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/>
  <mc:AlternateContent xmlns:mc="http://schemas.openxmlformats.org/markup-compatibility/2006">
    <mc:Choice Requires="x15">
      <x15ac:absPath xmlns:x15ac="http://schemas.microsoft.com/office/spreadsheetml/2010/11/ac" url="C:\Users\Guenter\AppData\Local\Box\Box Edit\Documents\cWZOrOJLt0icK+l4cXX2DQ==\"/>
    </mc:Choice>
  </mc:AlternateContent>
  <xr:revisionPtr revIDLastSave="0" documentId="13_ncr:1_{83EAA2E6-559B-462E-A2FE-90C07B64DE5D}" xr6:coauthVersionLast="36" xr6:coauthVersionMax="47" xr10:uidLastSave="{00000000-0000-0000-0000-000000000000}"/>
  <bookViews>
    <workbookView xWindow="0" yWindow="0" windowWidth="27480" windowHeight="9465" tabRatio="645" activeTab="1" xr2:uid="{00000000-000D-0000-FFFF-FFFF00000000}"/>
  </bookViews>
  <sheets>
    <sheet name="Wegeübersicht" sheetId="34" r:id="rId1"/>
    <sheet name="Wege im Detail" sheetId="3" r:id="rId2"/>
    <sheet name="Wegeübersicht_EXPORT_Aug23" sheetId="46" r:id="rId3"/>
    <sheet name="Auswertung" sheetId="4" r:id="rId4"/>
    <sheet name="Gelöscht aus Wegedetails" sheetId="44" r:id="rId5"/>
    <sheet name="Aufgelassene Wege" sheetId="43" r:id="rId6"/>
    <sheet name="KOMOOT-Berechnung" sheetId="41" r:id="rId7"/>
    <sheet name="Legende_Defintionen" sheetId="5" r:id="rId8"/>
    <sheet name="FGV-WegNr HWW" sheetId="38" r:id="rId9"/>
    <sheet name="FGV-WegNr Örtliche Wege" sheetId="39" r:id="rId10"/>
    <sheet name="Handlungsbedarf" sheetId="10" r:id="rId11"/>
    <sheet name="LVG - UK-Symbole" sheetId="25" r:id="rId12"/>
    <sheet name="UK-Symbole" sheetId="13" r:id="rId13"/>
    <sheet name="Notizen DB-Beauftragter" sheetId="9" r:id="rId14"/>
    <sheet name="Wege landkreisbezogen" sheetId="35" r:id="rId15"/>
  </sheets>
  <externalReferences>
    <externalReference r:id="rId16"/>
  </externalReferences>
  <definedNames>
    <definedName name="_xlnm._FilterDatabase" localSheetId="1" hidden="1">'Wege im Detail'!$A$1:$V$630</definedName>
    <definedName name="_xlnm._FilterDatabase" localSheetId="0" hidden="1">Wegeübersicht!$A$2:$J$352</definedName>
    <definedName name="_xlnm._FilterDatabase" localSheetId="2" hidden="1">Wegeübersicht_EXPORT_Aug23!$A$3:$J$330</definedName>
    <definedName name="_xlnm.Print_Area" localSheetId="1">'Wege im Detail'!$A$2:$S$632</definedName>
    <definedName name="_xlnm.Print_Area" localSheetId="0">Wegeübersicht!$A$3:$J$325</definedName>
    <definedName name="_xlnm.Print_Area" localSheetId="2">Wegeübersicht_EXPORT_Aug23!$A$1:$J$349</definedName>
    <definedName name="_xlnm.Print_Titles" localSheetId="1">'Wege im Detail'!#REF!</definedName>
    <definedName name="_xlnm.Print_Titles" localSheetId="0">Wegeübersicht!$3:$3</definedName>
    <definedName name="_xlnm.Print_Titles" localSheetId="2">Wegeübersicht_EXPORT_Aug23!#REF!</definedName>
  </definedNames>
  <calcPr calcId="191028" iterateDelta="1E-4"/>
</workbook>
</file>

<file path=xl/calcChain.xml><?xml version="1.0" encoding="utf-8"?>
<calcChain xmlns="http://schemas.openxmlformats.org/spreadsheetml/2006/main">
  <c r="I348" i="34" l="1"/>
  <c r="R630" i="3"/>
  <c r="R629" i="3"/>
  <c r="R628" i="3"/>
  <c r="I347" i="34" l="1"/>
  <c r="R2" i="3" l="1"/>
  <c r="Q2" i="3"/>
  <c r="I3" i="34" l="1"/>
  <c r="I3" i="46" l="1"/>
  <c r="I347" i="46"/>
  <c r="I346" i="46"/>
  <c r="I345" i="46"/>
  <c r="I344" i="46"/>
  <c r="I343" i="46"/>
  <c r="I342" i="46"/>
  <c r="I341" i="46"/>
  <c r="I340" i="46"/>
  <c r="I339" i="46"/>
  <c r="I338" i="46"/>
  <c r="I337" i="46"/>
  <c r="I336" i="46"/>
  <c r="I335" i="46"/>
  <c r="I334" i="46"/>
  <c r="I333" i="46"/>
  <c r="I332" i="46"/>
  <c r="I331" i="46"/>
  <c r="I330" i="46"/>
  <c r="I329" i="46"/>
  <c r="I328" i="46"/>
  <c r="I327" i="46"/>
  <c r="I326" i="46"/>
  <c r="I325" i="46"/>
  <c r="I324" i="46"/>
  <c r="I323" i="46"/>
  <c r="I322" i="46"/>
  <c r="I321" i="46"/>
  <c r="I320" i="46"/>
  <c r="I319" i="46"/>
  <c r="I318" i="46"/>
  <c r="I317" i="46"/>
  <c r="I316" i="46"/>
  <c r="I315" i="46"/>
  <c r="I314" i="46"/>
  <c r="I313" i="46"/>
  <c r="I312" i="46"/>
  <c r="I311" i="46"/>
  <c r="I310" i="46"/>
  <c r="I309" i="46"/>
  <c r="I308" i="46"/>
  <c r="I307" i="46"/>
  <c r="I306" i="46"/>
  <c r="I305" i="46"/>
  <c r="I304" i="46"/>
  <c r="I303" i="46"/>
  <c r="I302" i="46"/>
  <c r="I301" i="46"/>
  <c r="I300" i="46"/>
  <c r="I299" i="46"/>
  <c r="I298" i="46"/>
  <c r="I297" i="46"/>
  <c r="I296" i="46"/>
  <c r="I295" i="46"/>
  <c r="I294" i="46"/>
  <c r="I293" i="46"/>
  <c r="I292" i="46"/>
  <c r="I291" i="46"/>
  <c r="I290" i="46"/>
  <c r="I289" i="46"/>
  <c r="I28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I120" i="46"/>
  <c r="I119" i="46"/>
  <c r="I118" i="46"/>
  <c r="I117" i="46"/>
  <c r="I116" i="46"/>
  <c r="I115" i="46"/>
  <c r="I114" i="46"/>
  <c r="I113" i="46"/>
  <c r="I112" i="46"/>
  <c r="I111" i="46"/>
  <c r="I110" i="46"/>
  <c r="I109" i="46"/>
  <c r="I108" i="46"/>
  <c r="I107" i="46"/>
  <c r="I106" i="46"/>
  <c r="I105" i="46"/>
  <c r="I104" i="46"/>
  <c r="I103" i="46"/>
  <c r="I102" i="46"/>
  <c r="I101" i="46"/>
  <c r="I100" i="46"/>
  <c r="I99" i="46"/>
  <c r="I98" i="46"/>
  <c r="I97" i="46"/>
  <c r="I96" i="46"/>
  <c r="I95" i="46"/>
  <c r="I94" i="46"/>
  <c r="I93" i="46"/>
  <c r="I92" i="46"/>
  <c r="I91" i="46"/>
  <c r="I90" i="46"/>
  <c r="I89" i="46"/>
  <c r="I88" i="46"/>
  <c r="I87" i="46"/>
  <c r="I86" i="46"/>
  <c r="I85" i="46"/>
  <c r="I84" i="46"/>
  <c r="I83" i="46"/>
  <c r="I82" i="46"/>
  <c r="I81" i="46"/>
  <c r="I80" i="46"/>
  <c r="I79" i="46"/>
  <c r="I78" i="46"/>
  <c r="I77" i="46"/>
  <c r="I76" i="46"/>
  <c r="I75" i="46"/>
  <c r="I74" i="46"/>
  <c r="I73" i="46"/>
  <c r="I72" i="46"/>
  <c r="I71" i="46"/>
  <c r="I70" i="46"/>
  <c r="I69" i="46"/>
  <c r="I68" i="46"/>
  <c r="I67" i="46"/>
  <c r="I66" i="46"/>
  <c r="I65" i="46"/>
  <c r="I64" i="46"/>
  <c r="I63" i="46"/>
  <c r="I62" i="46"/>
  <c r="I61" i="46"/>
  <c r="I60" i="46"/>
  <c r="I59" i="46"/>
  <c r="I58" i="46"/>
  <c r="I57" i="46"/>
  <c r="I56" i="46"/>
  <c r="I55" i="46"/>
  <c r="I54" i="46"/>
  <c r="I53" i="46"/>
  <c r="I52" i="46"/>
  <c r="I51" i="46"/>
  <c r="I50" i="46"/>
  <c r="I49" i="46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10" i="46"/>
  <c r="I9" i="46"/>
  <c r="I8" i="46"/>
  <c r="I7" i="46"/>
  <c r="I6" i="46"/>
  <c r="I5" i="46"/>
  <c r="I4" i="46"/>
  <c r="I349" i="46" l="1"/>
  <c r="I348" i="46"/>
  <c r="R574" i="3"/>
  <c r="Q574" i="3"/>
  <c r="I296" i="34" l="1"/>
  <c r="R564" i="3"/>
  <c r="R563" i="3"/>
  <c r="Q564" i="3"/>
  <c r="I10" i="34" l="1"/>
  <c r="R573" i="3"/>
  <c r="Q573" i="3"/>
  <c r="I33" i="34" l="1"/>
  <c r="I305" i="34"/>
  <c r="I346" i="34"/>
  <c r="I345" i="34"/>
  <c r="R79" i="3" l="1"/>
  <c r="Y346" i="34" l="1"/>
  <c r="AI346" i="34" s="1"/>
  <c r="AH349" i="34"/>
  <c r="AG349" i="34"/>
  <c r="AF349" i="34"/>
  <c r="AE349" i="34"/>
  <c r="AD349" i="34"/>
  <c r="AC349" i="34"/>
  <c r="AB349" i="34"/>
  <c r="AA349" i="34"/>
  <c r="X349" i="34"/>
  <c r="W349" i="34"/>
  <c r="V349" i="34"/>
  <c r="U349" i="34"/>
  <c r="T349" i="34"/>
  <c r="S349" i="34"/>
  <c r="R349" i="34"/>
  <c r="P349" i="34"/>
  <c r="O349" i="34"/>
  <c r="N349" i="34"/>
  <c r="M349" i="34"/>
  <c r="Y349" i="34" l="1"/>
  <c r="Y341" i="34"/>
  <c r="Y340" i="34"/>
  <c r="Y339" i="34"/>
  <c r="Y338" i="34"/>
  <c r="Y33" i="34" l="1"/>
  <c r="Y345" i="34"/>
  <c r="I344" i="34"/>
  <c r="Y344" i="34"/>
  <c r="AI344" i="34" l="1"/>
  <c r="AI345" i="34"/>
  <c r="AI33" i="34"/>
  <c r="R627" i="3"/>
  <c r="S3" i="44" l="1"/>
  <c r="R3" i="44"/>
  <c r="R80" i="3" l="1"/>
  <c r="Q80" i="3"/>
  <c r="R379" i="3" l="1"/>
  <c r="Q379" i="3"/>
  <c r="R380" i="3"/>
  <c r="Q380" i="3"/>
  <c r="R626" i="3" l="1"/>
  <c r="Q626" i="3" l="1"/>
  <c r="R623" i="3" l="1"/>
  <c r="R622" i="3"/>
  <c r="Y337" i="34"/>
  <c r="R598" i="3" l="1"/>
  <c r="Y336" i="34" l="1"/>
  <c r="I339" i="34" l="1"/>
  <c r="AI339" i="34" s="1"/>
  <c r="I338" i="34"/>
  <c r="AI338" i="34" s="1"/>
  <c r="I337" i="34"/>
  <c r="AI337" i="34" s="1"/>
  <c r="I336" i="34"/>
  <c r="AI336" i="34" s="1"/>
  <c r="R621" i="3" l="1"/>
  <c r="R620" i="3"/>
  <c r="R618" i="3"/>
  <c r="R619" i="3"/>
  <c r="E99" i="4" l="1"/>
  <c r="I341" i="34" l="1"/>
  <c r="AI341" i="34" s="1"/>
  <c r="I340" i="34"/>
  <c r="AI340" i="34" s="1"/>
  <c r="I342" i="34"/>
  <c r="Y342" i="34"/>
  <c r="R624" i="3"/>
  <c r="R625" i="3"/>
  <c r="Y343" i="34"/>
  <c r="AI342" i="34" l="1"/>
  <c r="I343" i="34"/>
  <c r="AI343" i="34" s="1"/>
  <c r="I335" i="34" l="1"/>
  <c r="Y335" i="34"/>
  <c r="R617" i="3"/>
  <c r="I334" i="34"/>
  <c r="Y334" i="34"/>
  <c r="R616" i="3"/>
  <c r="AI335" i="34" l="1"/>
  <c r="AI334" i="34"/>
  <c r="D37" i="4"/>
  <c r="D36" i="4"/>
  <c r="Y333" i="34"/>
  <c r="I333" i="34"/>
  <c r="R615" i="3"/>
  <c r="AI333" i="34" l="1"/>
  <c r="R389" i="3"/>
  <c r="Q389" i="3"/>
  <c r="R384" i="3"/>
  <c r="Q384" i="3"/>
  <c r="R604" i="3" l="1"/>
  <c r="R593" i="3" l="1"/>
  <c r="R592" i="3"/>
  <c r="Q593" i="3"/>
  <c r="R560" i="3"/>
  <c r="Q560" i="3"/>
  <c r="F23" i="4" l="1"/>
  <c r="F22" i="4"/>
  <c r="F15" i="4"/>
  <c r="F10" i="4"/>
  <c r="F9" i="4"/>
  <c r="R603" i="3" l="1"/>
  <c r="R602" i="3"/>
  <c r="R609" i="3" l="1"/>
  <c r="Q609" i="3"/>
  <c r="R444" i="3" l="1"/>
  <c r="Q444" i="3"/>
  <c r="F20" i="4" l="1"/>
  <c r="R427" i="3" l="1"/>
  <c r="Y172" i="34" l="1"/>
  <c r="R374" i="3" l="1"/>
  <c r="R373" i="3" l="1"/>
  <c r="Q373" i="3"/>
  <c r="Y167" i="34" l="1"/>
  <c r="Y166" i="34"/>
  <c r="Y165" i="34"/>
  <c r="Y161" i="34" l="1"/>
  <c r="R362" i="3" l="1"/>
  <c r="Q362" i="3"/>
  <c r="R350" i="3" l="1"/>
  <c r="Q350" i="3"/>
  <c r="R348" i="3" l="1"/>
  <c r="Q348" i="3"/>
  <c r="R341" i="3" l="1"/>
  <c r="Q341" i="3"/>
  <c r="R334" i="3" l="1"/>
  <c r="Q334" i="3"/>
  <c r="R330" i="3" l="1"/>
  <c r="R331" i="3"/>
  <c r="R332" i="3"/>
  <c r="R328" i="3" l="1"/>
  <c r="Q328" i="3"/>
  <c r="R311" i="3" l="1"/>
  <c r="Q311" i="3"/>
  <c r="R314" i="3"/>
  <c r="Q314" i="3"/>
  <c r="F18" i="4" l="1"/>
  <c r="F19" i="4"/>
  <c r="F8" i="4"/>
  <c r="R321" i="3"/>
  <c r="Q321" i="3"/>
  <c r="R320" i="3"/>
  <c r="Q320" i="3"/>
  <c r="R319" i="3"/>
  <c r="Q319" i="3"/>
  <c r="R318" i="3"/>
  <c r="Q318" i="3"/>
  <c r="R317" i="3"/>
  <c r="Q317" i="3"/>
  <c r="R316" i="3"/>
  <c r="Q316" i="3"/>
  <c r="R309" i="3" l="1"/>
  <c r="Q309" i="3"/>
  <c r="R307" i="3" l="1"/>
  <c r="Q307" i="3"/>
  <c r="B1" i="4" l="1"/>
  <c r="Y173" i="34" l="1"/>
  <c r="I173" i="34" l="1"/>
  <c r="AI173" i="34" s="1"/>
  <c r="R398" i="3"/>
  <c r="R305" i="3" l="1"/>
  <c r="Q305" i="3"/>
  <c r="R613" i="3"/>
  <c r="Y332" i="34" l="1"/>
  <c r="R614" i="3"/>
  <c r="Y330" i="34" l="1"/>
  <c r="R612" i="3"/>
  <c r="R302" i="3"/>
  <c r="Q302" i="3"/>
  <c r="E43" i="4" l="1"/>
  <c r="D43" i="4"/>
  <c r="C43" i="4"/>
  <c r="R287" i="3" l="1"/>
  <c r="Q287" i="3"/>
  <c r="R286" i="3"/>
  <c r="Q286" i="3"/>
  <c r="R283" i="3"/>
  <c r="Q283" i="3"/>
  <c r="R12" i="3" l="1"/>
  <c r="Q12" i="3"/>
  <c r="AA3" i="41" l="1"/>
  <c r="R243" i="3" l="1"/>
  <c r="Q243" i="3"/>
  <c r="R241" i="3"/>
  <c r="Q241" i="3"/>
  <c r="R237" i="3"/>
  <c r="Q237" i="3"/>
  <c r="R229" i="3"/>
  <c r="Q229" i="3"/>
  <c r="R227" i="3" l="1"/>
  <c r="Q227" i="3"/>
  <c r="R225" i="3" l="1"/>
  <c r="Q225" i="3"/>
  <c r="I331" i="34" l="1"/>
  <c r="I332" i="34"/>
  <c r="I330" i="34"/>
  <c r="R608" i="3"/>
  <c r="Q608" i="3"/>
  <c r="R607" i="3"/>
  <c r="Q607" i="3"/>
  <c r="I323" i="34"/>
  <c r="Y154" i="34" l="1"/>
  <c r="Y153" i="34"/>
  <c r="Y152" i="34"/>
  <c r="Y151" i="34"/>
  <c r="Y150" i="34"/>
  <c r="Y149" i="34"/>
  <c r="Y148" i="34"/>
  <c r="Y147" i="34"/>
  <c r="Y146" i="34"/>
  <c r="Y145" i="34"/>
  <c r="Y144" i="34"/>
  <c r="Y143" i="34"/>
  <c r="Y142" i="34"/>
  <c r="Y141" i="34"/>
  <c r="Y140" i="34"/>
  <c r="Y139" i="34"/>
  <c r="Y138" i="34"/>
  <c r="Y137" i="34"/>
  <c r="Y136" i="34"/>
  <c r="Y135" i="34"/>
  <c r="Y134" i="34"/>
  <c r="Y133" i="34"/>
  <c r="Y132" i="34"/>
  <c r="Y131" i="34"/>
  <c r="Y130" i="34"/>
  <c r="Y129" i="34"/>
  <c r="Y128" i="34"/>
  <c r="Y127" i="34"/>
  <c r="Y126" i="34"/>
  <c r="Y125" i="34"/>
  <c r="Y124" i="34"/>
  <c r="Y123" i="34"/>
  <c r="Y121" i="34"/>
  <c r="Y120" i="34"/>
  <c r="Y119" i="34"/>
  <c r="Y118" i="34"/>
  <c r="Y117" i="34"/>
  <c r="Y116" i="34"/>
  <c r="Y115" i="34"/>
  <c r="Y114" i="34"/>
  <c r="Y113" i="34"/>
  <c r="Y112" i="34"/>
  <c r="Y111" i="34"/>
  <c r="Y110" i="34"/>
  <c r="Y109" i="34"/>
  <c r="Y108" i="34"/>
  <c r="Y107" i="34"/>
  <c r="Y106" i="34"/>
  <c r="Y105" i="34"/>
  <c r="Y104" i="34"/>
  <c r="Y101" i="34"/>
  <c r="Y100" i="34"/>
  <c r="Y99" i="34"/>
  <c r="Y98" i="34"/>
  <c r="Y97" i="34"/>
  <c r="Y96" i="34"/>
  <c r="Y95" i="34"/>
  <c r="Y94" i="34"/>
  <c r="Y93" i="34"/>
  <c r="Y92" i="34"/>
  <c r="Y91" i="34"/>
  <c r="Y90" i="34"/>
  <c r="Y88" i="34"/>
  <c r="Y87" i="34"/>
  <c r="Y86" i="34"/>
  <c r="Y85" i="34"/>
  <c r="Y84" i="34"/>
  <c r="Y83" i="34"/>
  <c r="Y82" i="34"/>
  <c r="Y81" i="34"/>
  <c r="Y80" i="34"/>
  <c r="Y79" i="34"/>
  <c r="Y76" i="34"/>
  <c r="Y75" i="34"/>
  <c r="Y74" i="34"/>
  <c r="Y73" i="34"/>
  <c r="Y72" i="34"/>
  <c r="Y71" i="34"/>
  <c r="Y70" i="34"/>
  <c r="Y69" i="34"/>
  <c r="Y68" i="34"/>
  <c r="Y67" i="34"/>
  <c r="Y66" i="34" l="1"/>
  <c r="Y78" i="34"/>
  <c r="Y65" i="34" l="1"/>
  <c r="Y64" i="34"/>
  <c r="Y63" i="34"/>
  <c r="Y62" i="34"/>
  <c r="R178" i="3" l="1"/>
  <c r="Q178" i="3"/>
  <c r="R177" i="3"/>
  <c r="Q177" i="3"/>
  <c r="R175" i="3" l="1"/>
  <c r="Q175" i="3"/>
  <c r="R174" i="3"/>
  <c r="Q174" i="3"/>
  <c r="Y57" i="34" l="1"/>
  <c r="Y56" i="34"/>
  <c r="Y55" i="34"/>
  <c r="R180" i="3"/>
  <c r="Q180" i="3"/>
  <c r="Y58" i="34"/>
  <c r="R182" i="3"/>
  <c r="Q182" i="3"/>
  <c r="Y54" i="34"/>
  <c r="R138" i="3"/>
  <c r="Q138" i="3"/>
  <c r="R165" i="3"/>
  <c r="Q165" i="3"/>
  <c r="Y59" i="34" l="1"/>
  <c r="R189" i="3"/>
  <c r="Q189" i="3"/>
  <c r="R186" i="3"/>
  <c r="Q186" i="3"/>
  <c r="R198" i="3"/>
  <c r="Q198" i="3"/>
  <c r="R197" i="3"/>
  <c r="Q197" i="3"/>
  <c r="R196" i="3"/>
  <c r="Q196" i="3"/>
  <c r="R195" i="3"/>
  <c r="Q195" i="3"/>
  <c r="Y122" i="34"/>
  <c r="R132" i="3" l="1"/>
  <c r="Q132" i="3"/>
  <c r="R131" i="3"/>
  <c r="Q131" i="3"/>
  <c r="R130" i="3"/>
  <c r="Q130" i="3"/>
  <c r="R121" i="3"/>
  <c r="Q121" i="3"/>
  <c r="Y24" i="34"/>
  <c r="Y25" i="34"/>
  <c r="Y26" i="34"/>
  <c r="R118" i="3"/>
  <c r="Q118" i="3"/>
  <c r="R157" i="3"/>
  <c r="Q157" i="3"/>
  <c r="Y9" i="34" l="1"/>
  <c r="Y11" i="34"/>
  <c r="R56" i="3"/>
  <c r="Q56" i="3"/>
  <c r="R53" i="3"/>
  <c r="Q53" i="3"/>
  <c r="R51" i="3"/>
  <c r="Q51" i="3"/>
  <c r="R50" i="3"/>
  <c r="Q50" i="3"/>
  <c r="R49" i="3"/>
  <c r="Q49" i="3"/>
  <c r="R47" i="3"/>
  <c r="Q47" i="3"/>
  <c r="R48" i="3"/>
  <c r="Q48" i="3"/>
  <c r="Y23" i="34"/>
  <c r="Y22" i="34"/>
  <c r="Y21" i="34"/>
  <c r="R109" i="3"/>
  <c r="Q109" i="3"/>
  <c r="R107" i="3"/>
  <c r="Q107" i="3"/>
  <c r="R105" i="3"/>
  <c r="Q105" i="3"/>
  <c r="Y20" i="34"/>
  <c r="R104" i="3"/>
  <c r="Q104" i="3"/>
  <c r="Y19" i="34" l="1"/>
  <c r="R155" i="3" l="1"/>
  <c r="Q155" i="3"/>
  <c r="R154" i="3"/>
  <c r="Q154" i="3"/>
  <c r="R152" i="3" l="1"/>
  <c r="Q152" i="3"/>
  <c r="R151" i="3"/>
  <c r="Q151" i="3"/>
  <c r="Y43" i="34"/>
  <c r="R147" i="3" l="1"/>
  <c r="Q147" i="3"/>
  <c r="R141" i="3" l="1"/>
  <c r="Q141" i="3"/>
  <c r="Y60" i="34"/>
  <c r="R423" i="3"/>
  <c r="R422" i="3"/>
  <c r="R424" i="3"/>
  <c r="R421" i="3"/>
  <c r="R420" i="3"/>
  <c r="R419" i="3"/>
  <c r="Q422" i="3"/>
  <c r="Q419" i="3"/>
  <c r="Y61" i="34" l="1"/>
  <c r="Y15" i="34" l="1"/>
  <c r="AB3" i="41"/>
  <c r="Z3" i="41"/>
  <c r="Y3" i="41"/>
  <c r="X3" i="41"/>
  <c r="W3" i="41"/>
  <c r="V3" i="41"/>
  <c r="U3" i="41"/>
  <c r="R3" i="41"/>
  <c r="Q3" i="41"/>
  <c r="P3" i="41"/>
  <c r="O3" i="41"/>
  <c r="N3" i="41"/>
  <c r="M3" i="41"/>
  <c r="L3" i="41"/>
  <c r="S635" i="41"/>
  <c r="S634" i="41"/>
  <c r="S633" i="41"/>
  <c r="S632" i="41"/>
  <c r="S631" i="41"/>
  <c r="S630" i="41"/>
  <c r="S629" i="41"/>
  <c r="S628" i="41"/>
  <c r="S627" i="41"/>
  <c r="S626" i="41"/>
  <c r="S625" i="41"/>
  <c r="S624" i="41"/>
  <c r="S623" i="41"/>
  <c r="S622" i="41"/>
  <c r="S621" i="41"/>
  <c r="S620" i="41"/>
  <c r="S619" i="41"/>
  <c r="S618" i="41"/>
  <c r="S617" i="41"/>
  <c r="S616" i="41"/>
  <c r="S615" i="41"/>
  <c r="S614" i="41"/>
  <c r="S613" i="41"/>
  <c r="S612" i="41"/>
  <c r="S611" i="41"/>
  <c r="S610" i="41"/>
  <c r="S609" i="41"/>
  <c r="S608" i="41"/>
  <c r="S607" i="41"/>
  <c r="S606" i="41"/>
  <c r="S605" i="41"/>
  <c r="S604" i="41"/>
  <c r="S603" i="41"/>
  <c r="S602" i="41"/>
  <c r="S601" i="41"/>
  <c r="S600" i="41"/>
  <c r="S599" i="41"/>
  <c r="S598" i="41"/>
  <c r="S597" i="41"/>
  <c r="S596" i="41"/>
  <c r="S595" i="41"/>
  <c r="S594" i="41"/>
  <c r="S593" i="41"/>
  <c r="S592" i="41"/>
  <c r="S591" i="41"/>
  <c r="S590" i="41"/>
  <c r="S589" i="41"/>
  <c r="S588" i="41"/>
  <c r="S587" i="41"/>
  <c r="S586" i="41"/>
  <c r="S585" i="41"/>
  <c r="S584" i="41"/>
  <c r="S583" i="41"/>
  <c r="S582" i="41"/>
  <c r="S581" i="41"/>
  <c r="S580" i="41"/>
  <c r="S579" i="41"/>
  <c r="S578" i="41"/>
  <c r="S577" i="41"/>
  <c r="S576" i="41"/>
  <c r="S575" i="41"/>
  <c r="S574" i="41"/>
  <c r="S573" i="41"/>
  <c r="S572" i="41"/>
  <c r="S571" i="41"/>
  <c r="S570" i="41"/>
  <c r="S569" i="41"/>
  <c r="S568" i="41"/>
  <c r="S567" i="41"/>
  <c r="S566" i="41"/>
  <c r="S565" i="41"/>
  <c r="S564" i="41"/>
  <c r="S563" i="41"/>
  <c r="S562" i="41"/>
  <c r="S561" i="41"/>
  <c r="S560" i="41"/>
  <c r="S559" i="41"/>
  <c r="S558" i="41"/>
  <c r="S557" i="41"/>
  <c r="S556" i="41"/>
  <c r="S555" i="41"/>
  <c r="S554" i="41"/>
  <c r="S553" i="41"/>
  <c r="S552" i="41"/>
  <c r="S551" i="41"/>
  <c r="S550" i="41"/>
  <c r="S549" i="41"/>
  <c r="S548" i="41"/>
  <c r="S547" i="41"/>
  <c r="S546" i="41"/>
  <c r="S545" i="41"/>
  <c r="S544" i="41"/>
  <c r="S543" i="41"/>
  <c r="S542" i="41"/>
  <c r="S541" i="41"/>
  <c r="S540" i="41"/>
  <c r="S539" i="41"/>
  <c r="S538" i="41"/>
  <c r="S537" i="41"/>
  <c r="S536" i="41"/>
  <c r="S535" i="41"/>
  <c r="S534" i="41"/>
  <c r="S533" i="41"/>
  <c r="S532" i="41"/>
  <c r="S531" i="41"/>
  <c r="S530" i="41"/>
  <c r="S529" i="41"/>
  <c r="S528" i="41"/>
  <c r="S527" i="41"/>
  <c r="S526" i="41"/>
  <c r="S525" i="41"/>
  <c r="S524" i="41"/>
  <c r="S523" i="41"/>
  <c r="S522" i="41"/>
  <c r="S521" i="41"/>
  <c r="S520" i="41"/>
  <c r="S519" i="41"/>
  <c r="S518" i="41"/>
  <c r="S517" i="41"/>
  <c r="S516" i="41"/>
  <c r="S515" i="41"/>
  <c r="S514" i="41"/>
  <c r="S513" i="41"/>
  <c r="S512" i="41"/>
  <c r="S511" i="41"/>
  <c r="S510" i="41"/>
  <c r="S509" i="41"/>
  <c r="S508" i="41"/>
  <c r="S507" i="41"/>
  <c r="S506" i="41"/>
  <c r="S505" i="41"/>
  <c r="S504" i="41"/>
  <c r="S503" i="41"/>
  <c r="S502" i="41"/>
  <c r="S501" i="41"/>
  <c r="S500" i="41"/>
  <c r="S499" i="41"/>
  <c r="S498" i="41"/>
  <c r="S497" i="41"/>
  <c r="S496" i="41"/>
  <c r="S495" i="41"/>
  <c r="S494" i="41"/>
  <c r="S493" i="41"/>
  <c r="S492" i="41"/>
  <c r="S491" i="41"/>
  <c r="S490" i="41"/>
  <c r="S489" i="41"/>
  <c r="S488" i="41"/>
  <c r="S487" i="41"/>
  <c r="S486" i="41"/>
  <c r="S485" i="41"/>
  <c r="S484" i="41"/>
  <c r="S483" i="41"/>
  <c r="S482" i="41"/>
  <c r="S481" i="41"/>
  <c r="S480" i="41"/>
  <c r="S479" i="41"/>
  <c r="S478" i="41"/>
  <c r="S477" i="41"/>
  <c r="S476" i="41"/>
  <c r="S475" i="41"/>
  <c r="S474" i="41"/>
  <c r="S473" i="41"/>
  <c r="S472" i="41"/>
  <c r="S471" i="41"/>
  <c r="S470" i="41"/>
  <c r="S469" i="41"/>
  <c r="S468" i="41"/>
  <c r="S467" i="41"/>
  <c r="S466" i="41"/>
  <c r="S465" i="41"/>
  <c r="S464" i="41"/>
  <c r="S463" i="41"/>
  <c r="S462" i="41"/>
  <c r="S461" i="41"/>
  <c r="S460" i="41"/>
  <c r="S459" i="41"/>
  <c r="S458" i="41"/>
  <c r="S457" i="41"/>
  <c r="S456" i="41"/>
  <c r="S455" i="41"/>
  <c r="S454" i="41"/>
  <c r="S453" i="41"/>
  <c r="S452" i="41"/>
  <c r="S451" i="41"/>
  <c r="S450" i="41"/>
  <c r="S449" i="41"/>
  <c r="S448" i="41"/>
  <c r="S447" i="41"/>
  <c r="S446" i="41"/>
  <c r="S445" i="41"/>
  <c r="S444" i="41"/>
  <c r="S443" i="41"/>
  <c r="S442" i="41"/>
  <c r="S441" i="41"/>
  <c r="S440" i="41"/>
  <c r="S439" i="41"/>
  <c r="S438" i="41"/>
  <c r="S437" i="41"/>
  <c r="S436" i="41"/>
  <c r="S435" i="41"/>
  <c r="S434" i="41"/>
  <c r="S433" i="41"/>
  <c r="S432" i="41"/>
  <c r="S431" i="41"/>
  <c r="S430" i="41"/>
  <c r="S429" i="41"/>
  <c r="S428" i="41"/>
  <c r="S427" i="41"/>
  <c r="S426" i="41"/>
  <c r="S425" i="41"/>
  <c r="S424" i="41"/>
  <c r="S423" i="41"/>
  <c r="S422" i="41"/>
  <c r="S421" i="41"/>
  <c r="S420" i="41"/>
  <c r="S419" i="41"/>
  <c r="S418" i="41"/>
  <c r="S417" i="41"/>
  <c r="S416" i="41"/>
  <c r="S415" i="41"/>
  <c r="S414" i="41"/>
  <c r="S413" i="41"/>
  <c r="S412" i="41"/>
  <c r="S411" i="41"/>
  <c r="S410" i="41"/>
  <c r="S409" i="41"/>
  <c r="S408" i="41"/>
  <c r="S407" i="41"/>
  <c r="S406" i="41"/>
  <c r="S405" i="41"/>
  <c r="S404" i="41"/>
  <c r="S403" i="41"/>
  <c r="S402" i="41"/>
  <c r="S401" i="41"/>
  <c r="S400" i="41"/>
  <c r="S399" i="41"/>
  <c r="S398" i="41"/>
  <c r="S397" i="41"/>
  <c r="S396" i="41"/>
  <c r="S395" i="41"/>
  <c r="S394" i="41"/>
  <c r="S393" i="41"/>
  <c r="S392" i="41"/>
  <c r="S391" i="41"/>
  <c r="S390" i="41"/>
  <c r="R98" i="3"/>
  <c r="Q98" i="3"/>
  <c r="AC3" i="41" l="1"/>
  <c r="Y16" i="34"/>
  <c r="R87" i="3"/>
  <c r="Q87" i="3"/>
  <c r="R85" i="3"/>
  <c r="Q85" i="3"/>
  <c r="R84" i="3"/>
  <c r="Q84" i="3"/>
  <c r="R77" i="3" l="1"/>
  <c r="Q77" i="3"/>
  <c r="R76" i="3"/>
  <c r="Q76" i="3"/>
  <c r="R75" i="3"/>
  <c r="Q75" i="3"/>
  <c r="R72" i="3"/>
  <c r="Q72" i="3"/>
  <c r="I329" i="34" l="1"/>
  <c r="R611" i="3"/>
  <c r="R610" i="3"/>
  <c r="Y14" i="34"/>
  <c r="R70" i="3"/>
  <c r="Q70" i="3"/>
  <c r="R69" i="3"/>
  <c r="Q69" i="3"/>
  <c r="Y17" i="34"/>
  <c r="Y8" i="34" l="1"/>
  <c r="R40" i="3"/>
  <c r="Q40" i="3"/>
  <c r="R41" i="3"/>
  <c r="Q41" i="3"/>
  <c r="Y51" i="34" l="1"/>
  <c r="Y50" i="34"/>
  <c r="Y49" i="34"/>
  <c r="Y48" i="34"/>
  <c r="Y47" i="34"/>
  <c r="Y46" i="34"/>
  <c r="Y45" i="34"/>
  <c r="Y44" i="34"/>
  <c r="Y42" i="34"/>
  <c r="Y41" i="34"/>
  <c r="Y40" i="34"/>
  <c r="Y39" i="34"/>
  <c r="Y38" i="34"/>
  <c r="Y37" i="34"/>
  <c r="Y36" i="34"/>
  <c r="Y35" i="34"/>
  <c r="Y34" i="34"/>
  <c r="Y32" i="34"/>
  <c r="Y31" i="34"/>
  <c r="Y30" i="34"/>
  <c r="Y29" i="34"/>
  <c r="Y331" i="34"/>
  <c r="Y27" i="34"/>
  <c r="I325" i="34" l="1"/>
  <c r="I328" i="34"/>
  <c r="I327" i="34"/>
  <c r="I326" i="34"/>
  <c r="Y158" i="34" l="1"/>
  <c r="Y157" i="34"/>
  <c r="Y89" i="34"/>
  <c r="Y77" i="34" l="1"/>
  <c r="Y103" i="34"/>
  <c r="Y102" i="34"/>
  <c r="R266" i="3"/>
  <c r="R265" i="3"/>
  <c r="R222" i="3"/>
  <c r="I77" i="34"/>
  <c r="I102" i="34"/>
  <c r="I103" i="34"/>
  <c r="I101" i="34"/>
  <c r="Y174" i="34"/>
  <c r="Y170" i="34"/>
  <c r="Y171" i="34"/>
  <c r="I175" i="34"/>
  <c r="Q222" i="3"/>
  <c r="Q265" i="3"/>
  <c r="Q266" i="3"/>
  <c r="R264" i="3"/>
  <c r="Q264" i="3"/>
  <c r="I324" i="34"/>
  <c r="I319" i="34"/>
  <c r="R397" i="3"/>
  <c r="Q397" i="3"/>
  <c r="R194" i="3"/>
  <c r="Q194" i="3"/>
  <c r="Y13" i="34" l="1"/>
  <c r="R67" i="3"/>
  <c r="Q67" i="3"/>
  <c r="Y7" i="34"/>
  <c r="R34" i="3"/>
  <c r="R29" i="3"/>
  <c r="Y53" i="34"/>
  <c r="R170" i="3"/>
  <c r="Q170" i="3"/>
  <c r="Y52" i="34"/>
  <c r="Y12" i="34"/>
  <c r="R65" i="3"/>
  <c r="Q65" i="3"/>
  <c r="R63" i="3"/>
  <c r="Q63" i="3"/>
  <c r="I12" i="34"/>
  <c r="Y329" i="34"/>
  <c r="Y325" i="34"/>
  <c r="Y328" i="34"/>
  <c r="AI328" i="34" s="1"/>
  <c r="Y327" i="34"/>
  <c r="AI327" i="34" s="1"/>
  <c r="Y326" i="34"/>
  <c r="Y324" i="34"/>
  <c r="AI324" i="34" s="1"/>
  <c r="Y323" i="34"/>
  <c r="Y322" i="34"/>
  <c r="Y321" i="34"/>
  <c r="Y320" i="34"/>
  <c r="Y319" i="34"/>
  <c r="Y318" i="34"/>
  <c r="Y317" i="34"/>
  <c r="Y316" i="34"/>
  <c r="Y315" i="34"/>
  <c r="Y314" i="34"/>
  <c r="Y313" i="34"/>
  <c r="Y312" i="34"/>
  <c r="Y311" i="34"/>
  <c r="Y310" i="34"/>
  <c r="Y309" i="34"/>
  <c r="Y308" i="34"/>
  <c r="Y307" i="34"/>
  <c r="Y306" i="34"/>
  <c r="Y304" i="34"/>
  <c r="Y303" i="34"/>
  <c r="Y302" i="34"/>
  <c r="Y301" i="34"/>
  <c r="Y300" i="34"/>
  <c r="Y299" i="34"/>
  <c r="Y298" i="34"/>
  <c r="Y297" i="34"/>
  <c r="Y295" i="34"/>
  <c r="Y294" i="34"/>
  <c r="Y293" i="34"/>
  <c r="Y292" i="34"/>
  <c r="Y291" i="34"/>
  <c r="Y290" i="34"/>
  <c r="Y289" i="34"/>
  <c r="Y288" i="34"/>
  <c r="Y287" i="34"/>
  <c r="Y286" i="34"/>
  <c r="Y285" i="34"/>
  <c r="Y284" i="34"/>
  <c r="Y283" i="34"/>
  <c r="Y282" i="34"/>
  <c r="Y281" i="34"/>
  <c r="Y280" i="34"/>
  <c r="Y279" i="34"/>
  <c r="Y278" i="34"/>
  <c r="Y277" i="34"/>
  <c r="Y276" i="34"/>
  <c r="L276" i="34" s="1"/>
  <c r="Y275" i="34"/>
  <c r="Y274" i="34"/>
  <c r="Y273" i="34"/>
  <c r="Y272" i="34"/>
  <c r="Y271" i="34"/>
  <c r="Y270" i="34"/>
  <c r="Y269" i="34"/>
  <c r="Y268" i="34"/>
  <c r="Y267" i="34"/>
  <c r="Y266" i="34"/>
  <c r="Y265" i="34"/>
  <c r="Y264" i="34"/>
  <c r="Y263" i="34"/>
  <c r="Y262" i="34"/>
  <c r="Y261" i="34"/>
  <c r="Y260" i="34"/>
  <c r="Y259" i="34"/>
  <c r="Y258" i="34"/>
  <c r="Y257" i="34"/>
  <c r="Y256" i="34"/>
  <c r="Y255" i="34"/>
  <c r="Y254" i="34"/>
  <c r="Y253" i="34"/>
  <c r="Y252" i="34"/>
  <c r="Y251" i="34"/>
  <c r="Y250" i="34"/>
  <c r="Y249" i="34"/>
  <c r="Y248" i="34"/>
  <c r="Y247" i="34"/>
  <c r="Y246" i="34"/>
  <c r="Y245" i="34"/>
  <c r="Y244" i="34"/>
  <c r="Y243" i="34"/>
  <c r="Y242" i="34"/>
  <c r="Y241" i="34"/>
  <c r="Y240" i="34"/>
  <c r="Y239" i="34"/>
  <c r="Y238" i="34"/>
  <c r="Y237" i="34"/>
  <c r="Y236" i="34"/>
  <c r="Y235" i="34"/>
  <c r="Y234" i="34"/>
  <c r="Y233" i="34"/>
  <c r="Y232" i="34"/>
  <c r="Y231" i="34"/>
  <c r="Y230" i="34"/>
  <c r="Y229" i="34"/>
  <c r="Y228" i="34"/>
  <c r="Y227" i="34"/>
  <c r="Y226" i="34"/>
  <c r="Y225" i="34"/>
  <c r="Y224" i="34"/>
  <c r="Y223" i="34"/>
  <c r="Y222" i="34"/>
  <c r="Y221" i="34"/>
  <c r="Y220" i="34"/>
  <c r="Y219" i="34"/>
  <c r="Y218" i="34"/>
  <c r="Y217" i="34"/>
  <c r="Y216" i="34"/>
  <c r="Y215" i="34"/>
  <c r="Y214" i="34"/>
  <c r="Y213" i="34"/>
  <c r="Y212" i="34"/>
  <c r="Y211" i="34"/>
  <c r="Y210" i="34"/>
  <c r="Y209" i="34"/>
  <c r="Y208" i="34"/>
  <c r="Y207" i="34"/>
  <c r="Y206" i="34"/>
  <c r="Y205" i="34"/>
  <c r="Y204" i="34"/>
  <c r="Y203" i="34"/>
  <c r="Y202" i="34"/>
  <c r="Y201" i="34"/>
  <c r="Y200" i="34"/>
  <c r="Y199" i="34"/>
  <c r="Y198" i="34"/>
  <c r="Y197" i="34"/>
  <c r="Y196" i="34"/>
  <c r="Y195" i="34"/>
  <c r="Y194" i="34"/>
  <c r="Y193" i="34"/>
  <c r="Y192" i="34"/>
  <c r="Y191" i="34"/>
  <c r="Y190" i="34"/>
  <c r="Y189" i="34"/>
  <c r="Y188" i="34"/>
  <c r="Y187" i="34"/>
  <c r="Y186" i="34"/>
  <c r="Y185" i="34"/>
  <c r="Y184" i="34"/>
  <c r="Y183" i="34"/>
  <c r="Y182" i="34"/>
  <c r="Y181" i="34"/>
  <c r="Y180" i="34"/>
  <c r="Y179" i="34"/>
  <c r="Y178" i="34"/>
  <c r="Y177" i="34"/>
  <c r="Y176" i="34"/>
  <c r="Y175" i="34"/>
  <c r="Y169" i="34"/>
  <c r="Y168" i="34"/>
  <c r="Y164" i="34"/>
  <c r="Y163" i="34"/>
  <c r="Y162" i="34"/>
  <c r="Y160" i="34"/>
  <c r="Y159" i="34"/>
  <c r="Y156" i="34"/>
  <c r="Y155" i="34"/>
  <c r="Y3" i="34"/>
  <c r="Y4" i="34"/>
  <c r="Y5" i="34"/>
  <c r="Y6" i="34" l="1"/>
  <c r="R26" i="3"/>
  <c r="Q26" i="3"/>
  <c r="R24" i="3"/>
  <c r="Q24" i="3"/>
  <c r="R23" i="3" l="1"/>
  <c r="Q23" i="3"/>
  <c r="R21" i="3"/>
  <c r="Q21" i="3"/>
  <c r="R536" i="3"/>
  <c r="Q536" i="3"/>
  <c r="R533" i="3"/>
  <c r="Q533" i="3"/>
  <c r="R359" i="3"/>
  <c r="Q359" i="3"/>
  <c r="R17" i="3"/>
  <c r="Q17" i="3"/>
  <c r="R250" i="3"/>
  <c r="Q250" i="3"/>
  <c r="R7" i="3"/>
  <c r="Q7" i="3"/>
  <c r="R5" i="3"/>
  <c r="Q5" i="3"/>
  <c r="R4" i="3"/>
  <c r="Q4" i="3"/>
  <c r="R606" i="3"/>
  <c r="E37" i="4"/>
  <c r="C37" i="4"/>
  <c r="E36" i="4"/>
  <c r="R256" i="3"/>
  <c r="Q256" i="3"/>
  <c r="Q598" i="3"/>
  <c r="R405" i="3"/>
  <c r="Q405" i="3"/>
  <c r="I170" i="34"/>
  <c r="AI170" i="34" s="1"/>
  <c r="R377" i="3"/>
  <c r="Q377" i="3"/>
  <c r="I265" i="34"/>
  <c r="R496" i="3"/>
  <c r="Q496" i="3"/>
  <c r="I32" i="34"/>
  <c r="R127" i="3"/>
  <c r="R126" i="3"/>
  <c r="I320" i="34" l="1"/>
  <c r="Q602" i="3"/>
  <c r="Q603" i="3"/>
  <c r="R601" i="3"/>
  <c r="I322" i="34"/>
  <c r="I321" i="34"/>
  <c r="Q601" i="3"/>
  <c r="R600" i="3"/>
  <c r="R599" i="3"/>
  <c r="Q600" i="3"/>
  <c r="Q599" i="3"/>
  <c r="R391" i="3"/>
  <c r="Q391" i="3"/>
  <c r="G7" i="35"/>
  <c r="F7" i="35"/>
  <c r="E7" i="35"/>
  <c r="D7" i="35"/>
  <c r="C7" i="35"/>
  <c r="B7" i="35"/>
  <c r="H6" i="35"/>
  <c r="H5" i="35"/>
  <c r="H4" i="35"/>
  <c r="H3" i="35"/>
  <c r="F7" i="4"/>
  <c r="C99" i="4"/>
  <c r="C85" i="4"/>
  <c r="F11" i="4"/>
  <c r="D99" i="4"/>
  <c r="G99" i="4"/>
  <c r="C33" i="4"/>
  <c r="I318" i="34"/>
  <c r="I285" i="34"/>
  <c r="R597" i="3"/>
  <c r="R596" i="3"/>
  <c r="Q596" i="3"/>
  <c r="I302" i="34"/>
  <c r="I198" i="34"/>
  <c r="I317" i="34"/>
  <c r="I316" i="34"/>
  <c r="I315" i="34"/>
  <c r="I314" i="34"/>
  <c r="I313" i="34"/>
  <c r="I312" i="34"/>
  <c r="I311" i="34"/>
  <c r="I310" i="34"/>
  <c r="I309" i="34"/>
  <c r="I308" i="34"/>
  <c r="AI308" i="34" s="1"/>
  <c r="I307" i="34"/>
  <c r="I306" i="34"/>
  <c r="I304" i="34"/>
  <c r="I303" i="34"/>
  <c r="I301" i="34"/>
  <c r="I300" i="34"/>
  <c r="I299" i="34"/>
  <c r="AI299" i="34" s="1"/>
  <c r="I298" i="34"/>
  <c r="AI298" i="34" s="1"/>
  <c r="I297" i="34"/>
  <c r="AI297" i="34" s="1"/>
  <c r="I295" i="34"/>
  <c r="AI295" i="34" s="1"/>
  <c r="I294" i="34"/>
  <c r="I293" i="34"/>
  <c r="AI293" i="34" s="1"/>
  <c r="I292" i="34"/>
  <c r="I291" i="34"/>
  <c r="I290" i="34"/>
  <c r="I289" i="34"/>
  <c r="AI289" i="34" s="1"/>
  <c r="I288" i="34"/>
  <c r="I287" i="34"/>
  <c r="I286" i="34"/>
  <c r="I284" i="34"/>
  <c r="I283" i="34"/>
  <c r="I282" i="34"/>
  <c r="I281" i="34"/>
  <c r="I280" i="34"/>
  <c r="I279" i="34"/>
  <c r="AI279" i="34" s="1"/>
  <c r="I278" i="34"/>
  <c r="I277" i="34"/>
  <c r="I276" i="34"/>
  <c r="I275" i="34"/>
  <c r="I274" i="34"/>
  <c r="I273" i="34"/>
  <c r="I272" i="34"/>
  <c r="AI272" i="34" s="1"/>
  <c r="I271" i="34"/>
  <c r="I270" i="34"/>
  <c r="I269" i="34"/>
  <c r="I268" i="34"/>
  <c r="I267" i="34"/>
  <c r="AI267" i="34" s="1"/>
  <c r="I266" i="34"/>
  <c r="I264" i="34"/>
  <c r="I263" i="34"/>
  <c r="I262" i="34"/>
  <c r="I261" i="34"/>
  <c r="I260" i="34"/>
  <c r="I259" i="34"/>
  <c r="AI259" i="34" s="1"/>
  <c r="I258" i="34"/>
  <c r="AI258" i="34" s="1"/>
  <c r="I257" i="34"/>
  <c r="I256" i="34"/>
  <c r="AI256" i="34" s="1"/>
  <c r="I255" i="34"/>
  <c r="AI255" i="34" s="1"/>
  <c r="I254" i="34"/>
  <c r="AI254" i="34" s="1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AI235" i="34" s="1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AI216" i="34" s="1"/>
  <c r="I215" i="34"/>
  <c r="I214" i="34"/>
  <c r="I213" i="34"/>
  <c r="I212" i="34"/>
  <c r="I211" i="34"/>
  <c r="AI211" i="34" s="1"/>
  <c r="I210" i="34"/>
  <c r="I209" i="34"/>
  <c r="I208" i="34"/>
  <c r="AI208" i="34" s="1"/>
  <c r="I207" i="34"/>
  <c r="AI207" i="34" s="1"/>
  <c r="I206" i="34"/>
  <c r="AI206" i="34" s="1"/>
  <c r="I205" i="34"/>
  <c r="I204" i="34"/>
  <c r="AI204" i="34" s="1"/>
  <c r="I203" i="34"/>
  <c r="AI203" i="34" s="1"/>
  <c r="I202" i="34"/>
  <c r="I201" i="34"/>
  <c r="AI201" i="34" s="1"/>
  <c r="I200" i="34"/>
  <c r="AI200" i="34" s="1"/>
  <c r="I199" i="34"/>
  <c r="AI199" i="34" s="1"/>
  <c r="I197" i="34"/>
  <c r="AI197" i="34" s="1"/>
  <c r="I196" i="34"/>
  <c r="AI196" i="34" s="1"/>
  <c r="I195" i="34"/>
  <c r="AI195" i="34" s="1"/>
  <c r="I194" i="34"/>
  <c r="AI194" i="34" s="1"/>
  <c r="I193" i="34"/>
  <c r="AI193" i="34" s="1"/>
  <c r="I192" i="34"/>
  <c r="AI192" i="34" s="1"/>
  <c r="I191" i="34"/>
  <c r="AI191" i="34" s="1"/>
  <c r="I190" i="34"/>
  <c r="AI190" i="34" s="1"/>
  <c r="I189" i="34"/>
  <c r="AI189" i="34" s="1"/>
  <c r="I188" i="34"/>
  <c r="AI188" i="34" s="1"/>
  <c r="I187" i="34"/>
  <c r="AI187" i="34" s="1"/>
  <c r="I186" i="34"/>
  <c r="AI186" i="34" s="1"/>
  <c r="I185" i="34"/>
  <c r="I184" i="34"/>
  <c r="AI184" i="34" s="1"/>
  <c r="I183" i="34"/>
  <c r="AI183" i="34" s="1"/>
  <c r="I182" i="34"/>
  <c r="AI182" i="34" s="1"/>
  <c r="I181" i="34"/>
  <c r="AI181" i="34" s="1"/>
  <c r="I180" i="34"/>
  <c r="AI180" i="34" s="1"/>
  <c r="I179" i="34"/>
  <c r="AI179" i="34" s="1"/>
  <c r="I178" i="34"/>
  <c r="AI178" i="34" s="1"/>
  <c r="I177" i="34"/>
  <c r="AI177" i="34" s="1"/>
  <c r="I176" i="34"/>
  <c r="AI176" i="34" s="1"/>
  <c r="AI175" i="34"/>
  <c r="I174" i="34"/>
  <c r="I172" i="34"/>
  <c r="I171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AI110" i="34" s="1"/>
  <c r="I109" i="34"/>
  <c r="I108" i="34"/>
  <c r="I107" i="34"/>
  <c r="AI103" i="34" s="1"/>
  <c r="I106" i="34"/>
  <c r="AI102" i="34" s="1"/>
  <c r="I105" i="34"/>
  <c r="AI101" i="34" s="1"/>
  <c r="I104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6" i="34"/>
  <c r="I75" i="34"/>
  <c r="AI75" i="34" s="1"/>
  <c r="I74" i="34"/>
  <c r="AI74" i="34" s="1"/>
  <c r="I73" i="34"/>
  <c r="AI73" i="34" s="1"/>
  <c r="I72" i="34"/>
  <c r="AI72" i="34" s="1"/>
  <c r="I71" i="34"/>
  <c r="AI71" i="34" s="1"/>
  <c r="I70" i="34"/>
  <c r="AI70" i="34" s="1"/>
  <c r="I69" i="34"/>
  <c r="I68" i="34"/>
  <c r="I67" i="34"/>
  <c r="AI67" i="34" s="1"/>
  <c r="I66" i="34"/>
  <c r="AI66" i="34" s="1"/>
  <c r="I65" i="34"/>
  <c r="I64" i="34"/>
  <c r="AI64" i="34" s="1"/>
  <c r="I63" i="34"/>
  <c r="I62" i="34"/>
  <c r="I61" i="34"/>
  <c r="I60" i="34"/>
  <c r="AI60" i="34" s="1"/>
  <c r="I59" i="34"/>
  <c r="I58" i="34"/>
  <c r="AI58" i="34" s="1"/>
  <c r="I57" i="34"/>
  <c r="AI57" i="34" s="1"/>
  <c r="I56" i="34"/>
  <c r="AI56" i="34" s="1"/>
  <c r="I55" i="34"/>
  <c r="I54" i="34"/>
  <c r="AI54" i="34" s="1"/>
  <c r="I53" i="34"/>
  <c r="AI53" i="34" s="1"/>
  <c r="I52" i="34"/>
  <c r="AI52" i="34" s="1"/>
  <c r="I51" i="34"/>
  <c r="AI51" i="34" s="1"/>
  <c r="I50" i="34"/>
  <c r="AI50" i="34" s="1"/>
  <c r="I49" i="34"/>
  <c r="AI49" i="34" s="1"/>
  <c r="I48" i="34"/>
  <c r="AI48" i="34" s="1"/>
  <c r="I47" i="34"/>
  <c r="AI47" i="34" s="1"/>
  <c r="I46" i="34"/>
  <c r="AI46" i="34" s="1"/>
  <c r="I45" i="34"/>
  <c r="I44" i="34"/>
  <c r="I43" i="34"/>
  <c r="AI43" i="34" s="1"/>
  <c r="I42" i="34"/>
  <c r="AI42" i="34" s="1"/>
  <c r="I41" i="34"/>
  <c r="AI41" i="34" s="1"/>
  <c r="I40" i="34"/>
  <c r="I39" i="34"/>
  <c r="I38" i="34"/>
  <c r="I37" i="34"/>
  <c r="I36" i="34"/>
  <c r="I35" i="34"/>
  <c r="I34" i="34"/>
  <c r="I31" i="34"/>
  <c r="AI31" i="34" s="1"/>
  <c r="I30" i="34"/>
  <c r="AI30" i="34" s="1"/>
  <c r="I29" i="34"/>
  <c r="AI331" i="34"/>
  <c r="I28" i="34"/>
  <c r="AI28" i="34" s="1"/>
  <c r="I27" i="34"/>
  <c r="AI332" i="34"/>
  <c r="AI330" i="34"/>
  <c r="I26" i="34"/>
  <c r="AI26" i="34" s="1"/>
  <c r="I25" i="34"/>
  <c r="AI25" i="34" s="1"/>
  <c r="I24" i="34"/>
  <c r="AI24" i="34" s="1"/>
  <c r="I23" i="34"/>
  <c r="AI23" i="34" s="1"/>
  <c r="I22" i="34"/>
  <c r="AI22" i="34" s="1"/>
  <c r="I21" i="34"/>
  <c r="AI21" i="34" s="1"/>
  <c r="I20" i="34"/>
  <c r="I19" i="34"/>
  <c r="I18" i="34"/>
  <c r="AI18" i="34" s="1"/>
  <c r="I17" i="34"/>
  <c r="I16" i="34"/>
  <c r="AI16" i="34" s="1"/>
  <c r="I15" i="34"/>
  <c r="I14" i="34"/>
  <c r="AI14" i="34" s="1"/>
  <c r="I13" i="34"/>
  <c r="AI13" i="34" s="1"/>
  <c r="I9" i="34"/>
  <c r="AI9" i="34" s="1"/>
  <c r="I11" i="34"/>
  <c r="I8" i="34"/>
  <c r="I7" i="34"/>
  <c r="AI7" i="34" s="1"/>
  <c r="I6" i="34"/>
  <c r="AI6" i="34" s="1"/>
  <c r="I5" i="34"/>
  <c r="AI5" i="34" s="1"/>
  <c r="I4" i="34"/>
  <c r="R474" i="3"/>
  <c r="D52" i="4"/>
  <c r="F16" i="4"/>
  <c r="R633" i="3"/>
  <c r="R461" i="3"/>
  <c r="R595" i="3"/>
  <c r="R594" i="3"/>
  <c r="R591" i="3"/>
  <c r="R590" i="3"/>
  <c r="R589" i="3"/>
  <c r="R588" i="3"/>
  <c r="R587" i="3"/>
  <c r="R586" i="3"/>
  <c r="R585" i="3"/>
  <c r="R584" i="3"/>
  <c r="R583" i="3"/>
  <c r="R582" i="3"/>
  <c r="R572" i="3"/>
  <c r="R571" i="3"/>
  <c r="R570" i="3"/>
  <c r="R569" i="3"/>
  <c r="R568" i="3"/>
  <c r="R567" i="3"/>
  <c r="R566" i="3"/>
  <c r="R565" i="3"/>
  <c r="R562" i="3"/>
  <c r="R561" i="3"/>
  <c r="R559" i="3"/>
  <c r="R558" i="3"/>
  <c r="R557" i="3"/>
  <c r="R556" i="3"/>
  <c r="R555" i="3"/>
  <c r="R552" i="3"/>
  <c r="R553" i="3"/>
  <c r="R554" i="3"/>
  <c r="R551" i="3"/>
  <c r="R550" i="3"/>
  <c r="R549" i="3"/>
  <c r="R547" i="3"/>
  <c r="R548" i="3"/>
  <c r="R546" i="3"/>
  <c r="R545" i="3"/>
  <c r="R544" i="3"/>
  <c r="R543" i="3"/>
  <c r="R542" i="3"/>
  <c r="R541" i="3"/>
  <c r="R540" i="3"/>
  <c r="R539" i="3"/>
  <c r="R538" i="3"/>
  <c r="R537" i="3"/>
  <c r="R535" i="3"/>
  <c r="R506" i="3"/>
  <c r="R505" i="3"/>
  <c r="R504" i="3"/>
  <c r="R503" i="3"/>
  <c r="R502" i="3"/>
  <c r="R501" i="3"/>
  <c r="R500" i="3"/>
  <c r="R499" i="3"/>
  <c r="R498" i="3"/>
  <c r="R497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6" i="3"/>
  <c r="R425" i="3"/>
  <c r="R417" i="3"/>
  <c r="R418" i="3"/>
  <c r="R416" i="3"/>
  <c r="R415" i="3"/>
  <c r="R414" i="3"/>
  <c r="R413" i="3"/>
  <c r="R412" i="3"/>
  <c r="R411" i="3"/>
  <c r="R410" i="3"/>
  <c r="R409" i="3"/>
  <c r="R408" i="3"/>
  <c r="R407" i="3"/>
  <c r="R406" i="3"/>
  <c r="R404" i="3"/>
  <c r="R403" i="3"/>
  <c r="R402" i="3"/>
  <c r="R401" i="3"/>
  <c r="R400" i="3"/>
  <c r="R399" i="3"/>
  <c r="R382" i="3"/>
  <c r="R383" i="3"/>
  <c r="R385" i="3"/>
  <c r="R386" i="3"/>
  <c r="R387" i="3"/>
  <c r="R388" i="3"/>
  <c r="R390" i="3"/>
  <c r="R392" i="3"/>
  <c r="R393" i="3"/>
  <c r="R394" i="3"/>
  <c r="R395" i="3"/>
  <c r="R396" i="3"/>
  <c r="R381" i="3"/>
  <c r="R378" i="3"/>
  <c r="R376" i="3"/>
  <c r="R375" i="3"/>
  <c r="R372" i="3"/>
  <c r="R371" i="3"/>
  <c r="R370" i="3"/>
  <c r="R369" i="3"/>
  <c r="R368" i="3"/>
  <c r="R367" i="3"/>
  <c r="R366" i="3"/>
  <c r="R365" i="3"/>
  <c r="R364" i="3"/>
  <c r="R363" i="3"/>
  <c r="R361" i="3"/>
  <c r="R360" i="3"/>
  <c r="R358" i="3"/>
  <c r="R356" i="3"/>
  <c r="R357" i="3"/>
  <c r="R355" i="3"/>
  <c r="R354" i="3"/>
  <c r="R353" i="3"/>
  <c r="R352" i="3"/>
  <c r="R351" i="3"/>
  <c r="R349" i="3"/>
  <c r="R347" i="3"/>
  <c r="R346" i="3"/>
  <c r="R345" i="3"/>
  <c r="R344" i="3"/>
  <c r="R343" i="3"/>
  <c r="R342" i="3"/>
  <c r="R340" i="3"/>
  <c r="R339" i="3"/>
  <c r="R338" i="3"/>
  <c r="R337" i="3"/>
  <c r="R336" i="3"/>
  <c r="R335" i="3"/>
  <c r="R333" i="3"/>
  <c r="R329" i="3"/>
  <c r="R327" i="3"/>
  <c r="R326" i="3"/>
  <c r="R325" i="3"/>
  <c r="R324" i="3"/>
  <c r="R323" i="3"/>
  <c r="R322" i="3"/>
  <c r="R313" i="3"/>
  <c r="R315" i="3"/>
  <c r="R312" i="3"/>
  <c r="R310" i="3"/>
  <c r="R308" i="3"/>
  <c r="R306" i="3"/>
  <c r="R304" i="3"/>
  <c r="R303" i="3"/>
  <c r="R301" i="3"/>
  <c r="R300" i="3"/>
  <c r="R299" i="3"/>
  <c r="R298" i="3"/>
  <c r="R297" i="3"/>
  <c r="R293" i="3"/>
  <c r="R294" i="3"/>
  <c r="R295" i="3"/>
  <c r="R296" i="3"/>
  <c r="R292" i="3"/>
  <c r="R291" i="3"/>
  <c r="R290" i="3"/>
  <c r="R289" i="3"/>
  <c r="R288" i="3"/>
  <c r="R285" i="3"/>
  <c r="R284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509" i="3"/>
  <c r="R508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4" i="3"/>
  <c r="R507" i="3"/>
  <c r="R263" i="3"/>
  <c r="R262" i="3"/>
  <c r="R261" i="3"/>
  <c r="R260" i="3"/>
  <c r="R259" i="3"/>
  <c r="R258" i="3"/>
  <c r="R257" i="3"/>
  <c r="R605" i="3"/>
  <c r="R255" i="3"/>
  <c r="R254" i="3"/>
  <c r="R253" i="3"/>
  <c r="R245" i="3"/>
  <c r="R246" i="3"/>
  <c r="R247" i="3"/>
  <c r="R248" i="3"/>
  <c r="R249" i="3"/>
  <c r="R251" i="3"/>
  <c r="R252" i="3"/>
  <c r="R244" i="3"/>
  <c r="R242" i="3"/>
  <c r="R240" i="3"/>
  <c r="R239" i="3"/>
  <c r="R238" i="3"/>
  <c r="R236" i="3"/>
  <c r="R235" i="3"/>
  <c r="R234" i="3"/>
  <c r="R233" i="3"/>
  <c r="R232" i="3"/>
  <c r="R231" i="3"/>
  <c r="R230" i="3"/>
  <c r="R228" i="3"/>
  <c r="R226" i="3"/>
  <c r="R224" i="3"/>
  <c r="R223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0" i="3"/>
  <c r="R201" i="3"/>
  <c r="R202" i="3"/>
  <c r="R203" i="3"/>
  <c r="R204" i="3"/>
  <c r="R199" i="3"/>
  <c r="R185" i="3"/>
  <c r="R187" i="3"/>
  <c r="R188" i="3"/>
  <c r="R190" i="3"/>
  <c r="R191" i="3"/>
  <c r="R192" i="3"/>
  <c r="R193" i="3"/>
  <c r="R184" i="3"/>
  <c r="R183" i="3"/>
  <c r="R181" i="3"/>
  <c r="R179" i="3"/>
  <c r="R176" i="3"/>
  <c r="R173" i="3"/>
  <c r="R172" i="3"/>
  <c r="R171" i="3"/>
  <c r="R169" i="3"/>
  <c r="R168" i="3"/>
  <c r="R167" i="3"/>
  <c r="R166" i="3"/>
  <c r="R164" i="3"/>
  <c r="R163" i="3"/>
  <c r="R161" i="3"/>
  <c r="R162" i="3"/>
  <c r="R160" i="3"/>
  <c r="R159" i="3"/>
  <c r="R158" i="3"/>
  <c r="R156" i="3"/>
  <c r="R153" i="3"/>
  <c r="R150" i="3"/>
  <c r="R149" i="3"/>
  <c r="R148" i="3"/>
  <c r="R146" i="3"/>
  <c r="R143" i="3"/>
  <c r="R144" i="3"/>
  <c r="R145" i="3"/>
  <c r="R142" i="3"/>
  <c r="R140" i="3"/>
  <c r="R139" i="3"/>
  <c r="R137" i="3"/>
  <c r="R136" i="3"/>
  <c r="R135" i="3"/>
  <c r="R134" i="3"/>
  <c r="R133" i="3"/>
  <c r="R129" i="3"/>
  <c r="R128" i="3"/>
  <c r="R125" i="3"/>
  <c r="R124" i="3"/>
  <c r="R123" i="3"/>
  <c r="R122" i="3"/>
  <c r="R120" i="3"/>
  <c r="R119" i="3"/>
  <c r="R117" i="3"/>
  <c r="R114" i="3"/>
  <c r="R115" i="3"/>
  <c r="R116" i="3"/>
  <c r="R113" i="3"/>
  <c r="R112" i="3"/>
  <c r="R111" i="3"/>
  <c r="R110" i="3"/>
  <c r="R108" i="3"/>
  <c r="R106" i="3"/>
  <c r="R103" i="3"/>
  <c r="R102" i="3"/>
  <c r="R101" i="3"/>
  <c r="R100" i="3"/>
  <c r="R99" i="3"/>
  <c r="R93" i="3"/>
  <c r="R94" i="3"/>
  <c r="R95" i="3"/>
  <c r="R96" i="3"/>
  <c r="R97" i="3"/>
  <c r="R92" i="3"/>
  <c r="R81" i="3"/>
  <c r="R82" i="3"/>
  <c r="R88" i="3"/>
  <c r="R86" i="3"/>
  <c r="R89" i="3"/>
  <c r="R90" i="3"/>
  <c r="R91" i="3"/>
  <c r="R83" i="3"/>
  <c r="R74" i="3"/>
  <c r="R73" i="3"/>
  <c r="R78" i="3"/>
  <c r="R71" i="3"/>
  <c r="R68" i="3"/>
  <c r="R66" i="3"/>
  <c r="R64" i="3"/>
  <c r="R62" i="3"/>
  <c r="R61" i="3"/>
  <c r="R55" i="3"/>
  <c r="R57" i="3"/>
  <c r="R58" i="3"/>
  <c r="R59" i="3"/>
  <c r="R60" i="3"/>
  <c r="R52" i="3"/>
  <c r="R54" i="3"/>
  <c r="R46" i="3"/>
  <c r="R39" i="3"/>
  <c r="R42" i="3"/>
  <c r="R43" i="3"/>
  <c r="R44" i="3"/>
  <c r="R45" i="3"/>
  <c r="R38" i="3"/>
  <c r="R31" i="3"/>
  <c r="R32" i="3"/>
  <c r="R33" i="3"/>
  <c r="R35" i="3"/>
  <c r="R36" i="3"/>
  <c r="R37" i="3"/>
  <c r="R30" i="3"/>
  <c r="R20" i="3"/>
  <c r="R22" i="3"/>
  <c r="R25" i="3"/>
  <c r="R27" i="3"/>
  <c r="R28" i="3"/>
  <c r="R19" i="3"/>
  <c r="R18" i="3"/>
  <c r="R14" i="3"/>
  <c r="R15" i="3"/>
  <c r="R16" i="3"/>
  <c r="R13" i="3"/>
  <c r="R6" i="3"/>
  <c r="R8" i="3"/>
  <c r="R9" i="3"/>
  <c r="R10" i="3"/>
  <c r="R11" i="3"/>
  <c r="R3" i="3"/>
  <c r="Q395" i="3"/>
  <c r="Q394" i="3"/>
  <c r="Q393" i="3"/>
  <c r="Q390" i="3"/>
  <c r="Q388" i="3"/>
  <c r="Q387" i="3"/>
  <c r="Q386" i="3"/>
  <c r="Q385" i="3"/>
  <c r="Q383" i="3"/>
  <c r="Q505" i="3"/>
  <c r="Q381" i="3"/>
  <c r="Q382" i="3"/>
  <c r="Q396" i="3"/>
  <c r="Q392" i="3"/>
  <c r="Q271" i="3"/>
  <c r="Q226" i="3"/>
  <c r="Q92" i="3"/>
  <c r="Q591" i="3"/>
  <c r="Q592" i="3"/>
  <c r="Q142" i="3"/>
  <c r="Q595" i="3"/>
  <c r="Q27" i="3"/>
  <c r="Q367" i="3"/>
  <c r="Q412" i="3"/>
  <c r="Q240" i="3"/>
  <c r="Q548" i="3"/>
  <c r="Q547" i="3"/>
  <c r="Q546" i="3"/>
  <c r="Q443" i="3"/>
  <c r="Q525" i="3"/>
  <c r="Q62" i="3"/>
  <c r="Q407" i="3"/>
  <c r="Q582" i="3"/>
  <c r="Q433" i="3"/>
  <c r="Q432" i="3"/>
  <c r="Q404" i="3"/>
  <c r="Q403" i="3"/>
  <c r="Q402" i="3"/>
  <c r="Q401" i="3"/>
  <c r="Q400" i="3"/>
  <c r="Q399" i="3"/>
  <c r="Q365" i="3"/>
  <c r="Q163" i="3"/>
  <c r="Q269" i="3"/>
  <c r="Q145" i="3"/>
  <c r="Q520" i="3"/>
  <c r="Q482" i="3"/>
  <c r="Q483" i="3"/>
  <c r="I350" i="34" l="1"/>
  <c r="F26" i="4"/>
  <c r="I349" i="34"/>
  <c r="AI3" i="34"/>
  <c r="AI77" i="34"/>
  <c r="AI78" i="34"/>
  <c r="AI20" i="34"/>
  <c r="AI32" i="34"/>
  <c r="AI34" i="34"/>
  <c r="AI38" i="34"/>
  <c r="AI62" i="34"/>
  <c r="AI205" i="34"/>
  <c r="AI209" i="34"/>
  <c r="AI213" i="34"/>
  <c r="AI217" i="34"/>
  <c r="AI221" i="34"/>
  <c r="AI225" i="34"/>
  <c r="AI229" i="34"/>
  <c r="AI233" i="34"/>
  <c r="AI237" i="34"/>
  <c r="AI241" i="34"/>
  <c r="AI245" i="34"/>
  <c r="AI249" i="34"/>
  <c r="AI253" i="34"/>
  <c r="AI257" i="34"/>
  <c r="AI261" i="34"/>
  <c r="AI270" i="34"/>
  <c r="AI274" i="34"/>
  <c r="AI278" i="34"/>
  <c r="AI281" i="34"/>
  <c r="AI286" i="34"/>
  <c r="AI290" i="34"/>
  <c r="AI294" i="34"/>
  <c r="AI303" i="34"/>
  <c r="AI312" i="34"/>
  <c r="AI316" i="34"/>
  <c r="AI285" i="34"/>
  <c r="AI45" i="34"/>
  <c r="AI325" i="34"/>
  <c r="AI11" i="34"/>
  <c r="AI15" i="34"/>
  <c r="AI19" i="34"/>
  <c r="AI37" i="34"/>
  <c r="AI61" i="34"/>
  <c r="AI65" i="34"/>
  <c r="AI69" i="34"/>
  <c r="AI212" i="34"/>
  <c r="AI220" i="34"/>
  <c r="AI224" i="34"/>
  <c r="AI228" i="34"/>
  <c r="AI232" i="34"/>
  <c r="AI236" i="34"/>
  <c r="AI240" i="34"/>
  <c r="AI244" i="34"/>
  <c r="AI248" i="34"/>
  <c r="AI252" i="34"/>
  <c r="AI260" i="34"/>
  <c r="AI264" i="34"/>
  <c r="AI269" i="34"/>
  <c r="AI273" i="34"/>
  <c r="AI277" i="34"/>
  <c r="AI280" i="34"/>
  <c r="AI284" i="34"/>
  <c r="AI301" i="34"/>
  <c r="AI307" i="34"/>
  <c r="AI311" i="34"/>
  <c r="AI315" i="34"/>
  <c r="AI302" i="34"/>
  <c r="AI329" i="34"/>
  <c r="AI36" i="34"/>
  <c r="AI40" i="34"/>
  <c r="AI44" i="34"/>
  <c r="AI76" i="34"/>
  <c r="AI215" i="34"/>
  <c r="AI219" i="34"/>
  <c r="AI223" i="34"/>
  <c r="AI227" i="34"/>
  <c r="AI231" i="34"/>
  <c r="AI239" i="34"/>
  <c r="AI243" i="34"/>
  <c r="AI247" i="34"/>
  <c r="AI251" i="34"/>
  <c r="AI263" i="34"/>
  <c r="AI268" i="34"/>
  <c r="AI276" i="34"/>
  <c r="AI283" i="34"/>
  <c r="AI288" i="34"/>
  <c r="AI292" i="34"/>
  <c r="AI300" i="34"/>
  <c r="AI306" i="34"/>
  <c r="AI310" i="34"/>
  <c r="AI314" i="34"/>
  <c r="AI198" i="34"/>
  <c r="AI319" i="34"/>
  <c r="AI17" i="34"/>
  <c r="AI12" i="34"/>
  <c r="AI185" i="34"/>
  <c r="AI265" i="34"/>
  <c r="AI242" i="34"/>
  <c r="AI27" i="34"/>
  <c r="AI29" i="34"/>
  <c r="AI35" i="34"/>
  <c r="AI39" i="34"/>
  <c r="AI55" i="34"/>
  <c r="AI59" i="34"/>
  <c r="AI63" i="34"/>
  <c r="AI202" i="34"/>
  <c r="AI210" i="34"/>
  <c r="AI214" i="34"/>
  <c r="AI218" i="34"/>
  <c r="AI222" i="34"/>
  <c r="AI226" i="34"/>
  <c r="AI230" i="34"/>
  <c r="AI234" i="34"/>
  <c r="AI238" i="34"/>
  <c r="AI246" i="34"/>
  <c r="AI250" i="34"/>
  <c r="AI262" i="34"/>
  <c r="AI271" i="34"/>
  <c r="AI275" i="34"/>
  <c r="AI282" i="34"/>
  <c r="AI287" i="34"/>
  <c r="AI291" i="34"/>
  <c r="AI304" i="34"/>
  <c r="AI309" i="34"/>
  <c r="AI313" i="34"/>
  <c r="AI317" i="34"/>
  <c r="AI318" i="34"/>
  <c r="AI8" i="34"/>
  <c r="L8" i="34"/>
  <c r="AI106" i="34"/>
  <c r="AI114" i="34"/>
  <c r="AI122" i="34"/>
  <c r="AI130" i="34"/>
  <c r="AI138" i="34"/>
  <c r="AI146" i="34"/>
  <c r="AI154" i="34"/>
  <c r="AI155" i="34"/>
  <c r="AI131" i="34"/>
  <c r="AI139" i="34"/>
  <c r="AI147" i="34"/>
  <c r="AI82" i="34"/>
  <c r="AI90" i="34"/>
  <c r="AI98" i="34"/>
  <c r="AI4" i="34"/>
  <c r="AI107" i="34"/>
  <c r="AI115" i="34"/>
  <c r="AI123" i="34"/>
  <c r="H7" i="35"/>
  <c r="AI108" i="34"/>
  <c r="AI116" i="34"/>
  <c r="AI124" i="34"/>
  <c r="AI132" i="34"/>
  <c r="AI140" i="34"/>
  <c r="AI148" i="34"/>
  <c r="AI156" i="34"/>
  <c r="AI164" i="34"/>
  <c r="AI109" i="34"/>
  <c r="AI117" i="34"/>
  <c r="AI125" i="34"/>
  <c r="AI133" i="34"/>
  <c r="AI141" i="34"/>
  <c r="AI149" i="34"/>
  <c r="AI157" i="34"/>
  <c r="AI165" i="34"/>
  <c r="AI320" i="34"/>
  <c r="AI81" i="34"/>
  <c r="AI89" i="34"/>
  <c r="AI97" i="34"/>
  <c r="AI83" i="34"/>
  <c r="AI91" i="34"/>
  <c r="AI99" i="34"/>
  <c r="AI162" i="34"/>
  <c r="AI166" i="34"/>
  <c r="AI322" i="34"/>
  <c r="AI105" i="34"/>
  <c r="AI113" i="34"/>
  <c r="AI121" i="34"/>
  <c r="AI129" i="34"/>
  <c r="AI137" i="34"/>
  <c r="AI145" i="34"/>
  <c r="AI153" i="34"/>
  <c r="AI161" i="34"/>
  <c r="AI174" i="34"/>
  <c r="AI323" i="34"/>
  <c r="AI326" i="34"/>
  <c r="AI80" i="34"/>
  <c r="AI88" i="34"/>
  <c r="AI96" i="34"/>
  <c r="AI104" i="34"/>
  <c r="AI112" i="34"/>
  <c r="AI120" i="34"/>
  <c r="AI128" i="34"/>
  <c r="AI136" i="34"/>
  <c r="AI144" i="34"/>
  <c r="AI152" i="34"/>
  <c r="AI160" i="34"/>
  <c r="AI169" i="34"/>
  <c r="AI172" i="34"/>
  <c r="AI79" i="34"/>
  <c r="AI87" i="34"/>
  <c r="AI95" i="34"/>
  <c r="AI111" i="34"/>
  <c r="AI119" i="34"/>
  <c r="AI127" i="34"/>
  <c r="AI135" i="34"/>
  <c r="AI143" i="34"/>
  <c r="AI151" i="34"/>
  <c r="AI159" i="34"/>
  <c r="AI168" i="34"/>
  <c r="AI171" i="34"/>
  <c r="AI86" i="34"/>
  <c r="AI94" i="34"/>
  <c r="AI118" i="34"/>
  <c r="AI126" i="34"/>
  <c r="AI134" i="34"/>
  <c r="AI142" i="34"/>
  <c r="AI150" i="34"/>
  <c r="AI158" i="34"/>
  <c r="AI85" i="34"/>
  <c r="AI93" i="34"/>
  <c r="AI84" i="34"/>
  <c r="AI92" i="34"/>
  <c r="AI100" i="34"/>
  <c r="AI163" i="34"/>
  <c r="AI167" i="34"/>
  <c r="AI321" i="34"/>
  <c r="L3" i="34"/>
  <c r="L7" i="34"/>
  <c r="L5" i="34"/>
  <c r="L4" i="34"/>
  <c r="I99" i="4"/>
  <c r="Q135" i="3"/>
  <c r="Q133" i="3"/>
  <c r="Q491" i="3"/>
  <c r="Q509" i="3"/>
  <c r="Q325" i="3"/>
  <c r="Q559" i="3"/>
  <c r="Q551" i="3"/>
  <c r="Q323" i="3"/>
  <c r="Q190" i="3"/>
  <c r="Q493" i="3"/>
  <c r="Q340" i="3"/>
  <c r="Q192" i="3"/>
  <c r="Q594" i="3"/>
  <c r="Q515" i="3"/>
  <c r="Q606" i="3"/>
  <c r="Q597" i="3"/>
  <c r="Q586" i="3"/>
  <c r="Q590" i="3"/>
  <c r="Q589" i="3"/>
  <c r="Q585" i="3"/>
  <c r="Q587" i="3"/>
  <c r="Q588" i="3"/>
  <c r="Q584" i="3"/>
  <c r="Q583" i="3"/>
  <c r="Q572" i="3"/>
  <c r="Q571" i="3"/>
  <c r="Q570" i="3"/>
  <c r="Q569" i="3"/>
  <c r="Q568" i="3"/>
  <c r="Q567" i="3"/>
  <c r="Q566" i="3"/>
  <c r="Q565" i="3"/>
  <c r="Q563" i="3"/>
  <c r="Q562" i="3"/>
  <c r="Q561" i="3"/>
  <c r="Q558" i="3"/>
  <c r="Q553" i="3"/>
  <c r="Q552" i="3"/>
  <c r="Q554" i="3"/>
  <c r="Q550" i="3"/>
  <c r="Q549" i="3"/>
  <c r="Q544" i="3"/>
  <c r="Q543" i="3"/>
  <c r="Q541" i="3"/>
  <c r="Q540" i="3"/>
  <c r="Q539" i="3"/>
  <c r="Q538" i="3"/>
  <c r="Q537" i="3"/>
  <c r="Q535" i="3"/>
  <c r="Q534" i="3"/>
  <c r="Q532" i="3"/>
  <c r="Q531" i="3"/>
  <c r="Q530" i="3"/>
  <c r="Q529" i="3"/>
  <c r="Q528" i="3"/>
  <c r="Q527" i="3"/>
  <c r="Q526" i="3"/>
  <c r="Q524" i="3"/>
  <c r="Q523" i="3"/>
  <c r="Q522" i="3"/>
  <c r="Q521" i="3"/>
  <c r="Q519" i="3"/>
  <c r="Q517" i="3"/>
  <c r="Q514" i="3"/>
  <c r="Q513" i="3"/>
  <c r="Q512" i="3"/>
  <c r="Q511" i="3"/>
  <c r="Q510" i="3"/>
  <c r="Q508" i="3"/>
  <c r="Q507" i="3"/>
  <c r="Q506" i="3"/>
  <c r="Q504" i="3"/>
  <c r="Q503" i="3"/>
  <c r="Q502" i="3"/>
  <c r="Q501" i="3"/>
  <c r="Q500" i="3"/>
  <c r="Q499" i="3"/>
  <c r="Q498" i="3"/>
  <c r="Q497" i="3"/>
  <c r="Q495" i="3"/>
  <c r="Q494" i="3"/>
  <c r="Q492" i="3"/>
  <c r="Q490" i="3"/>
  <c r="Q489" i="3"/>
  <c r="Q488" i="3"/>
  <c r="Q487" i="3"/>
  <c r="Q486" i="3"/>
  <c r="Q485" i="3"/>
  <c r="Q484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2" i="3"/>
  <c r="Q441" i="3"/>
  <c r="Q440" i="3"/>
  <c r="Q439" i="3"/>
  <c r="Q438" i="3"/>
  <c r="Q437" i="3"/>
  <c r="Q436" i="3"/>
  <c r="Q435" i="3"/>
  <c r="Q434" i="3"/>
  <c r="Q431" i="3"/>
  <c r="Q430" i="3"/>
  <c r="Q429" i="3"/>
  <c r="Q428" i="3"/>
  <c r="Q427" i="3"/>
  <c r="Q426" i="3"/>
  <c r="Q425" i="3"/>
  <c r="Q424" i="3"/>
  <c r="Q423" i="3"/>
  <c r="Q421" i="3"/>
  <c r="Q420" i="3"/>
  <c r="Q418" i="3"/>
  <c r="Q417" i="3"/>
  <c r="Q416" i="3"/>
  <c r="Q415" i="3"/>
  <c r="Q414" i="3"/>
  <c r="Q413" i="3"/>
  <c r="Q411" i="3"/>
  <c r="Q410" i="3"/>
  <c r="Q409" i="3"/>
  <c r="Q408" i="3"/>
  <c r="Q406" i="3"/>
  <c r="Q604" i="3"/>
  <c r="Q378" i="3"/>
  <c r="Q376" i="3"/>
  <c r="Q375" i="3"/>
  <c r="Q374" i="3"/>
  <c r="Q372" i="3"/>
  <c r="Q371" i="3"/>
  <c r="Q370" i="3"/>
  <c r="Q369" i="3"/>
  <c r="Q368" i="3"/>
  <c r="Q366" i="3"/>
  <c r="Q364" i="3"/>
  <c r="Q363" i="3"/>
  <c r="Q361" i="3"/>
  <c r="Q360" i="3"/>
  <c r="Q358" i="3"/>
  <c r="Q357" i="3"/>
  <c r="Q356" i="3"/>
  <c r="Q355" i="3"/>
  <c r="Q354" i="3"/>
  <c r="Q353" i="3"/>
  <c r="Q19" i="3"/>
  <c r="Q18" i="3"/>
  <c r="Q352" i="3"/>
  <c r="Q351" i="3"/>
  <c r="Q349" i="3"/>
  <c r="Q347" i="3"/>
  <c r="Q346" i="3"/>
  <c r="Q345" i="3"/>
  <c r="Q344" i="3"/>
  <c r="Q343" i="3"/>
  <c r="Q342" i="3"/>
  <c r="Q339" i="3"/>
  <c r="Q338" i="3"/>
  <c r="Q337" i="3"/>
  <c r="Q336" i="3"/>
  <c r="Q335" i="3"/>
  <c r="Q333" i="3"/>
  <c r="Q329" i="3"/>
  <c r="Q327" i="3"/>
  <c r="Q326" i="3"/>
  <c r="Q324" i="3"/>
  <c r="Q322" i="3"/>
  <c r="Q315" i="3"/>
  <c r="Q313" i="3"/>
  <c r="Q312" i="3"/>
  <c r="Q310" i="3"/>
  <c r="Q308" i="3"/>
  <c r="Q306" i="3"/>
  <c r="Q304" i="3"/>
  <c r="Q303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5" i="3"/>
  <c r="Q284" i="3"/>
  <c r="Q282" i="3"/>
  <c r="Q281" i="3"/>
  <c r="Q280" i="3"/>
  <c r="Q279" i="3"/>
  <c r="Q278" i="3"/>
  <c r="Q277" i="3"/>
  <c r="Q276" i="3"/>
  <c r="Q275" i="3"/>
  <c r="Q274" i="3"/>
  <c r="Q273" i="3"/>
  <c r="Q272" i="3"/>
  <c r="Q270" i="3"/>
  <c r="Q268" i="3"/>
  <c r="Q267" i="3"/>
  <c r="Q263" i="3"/>
  <c r="Q262" i="3"/>
  <c r="Q261" i="3"/>
  <c r="Q260" i="3"/>
  <c r="Q259" i="3"/>
  <c r="Q258" i="3"/>
  <c r="Q257" i="3"/>
  <c r="Q605" i="3"/>
  <c r="Q255" i="3"/>
  <c r="Q254" i="3"/>
  <c r="Q253" i="3"/>
  <c r="Q252" i="3"/>
  <c r="Q251" i="3"/>
  <c r="Q249" i="3"/>
  <c r="Q248" i="3"/>
  <c r="Q247" i="3"/>
  <c r="Q246" i="3"/>
  <c r="Q245" i="3"/>
  <c r="Q244" i="3"/>
  <c r="Q242" i="3"/>
  <c r="Q239" i="3"/>
  <c r="Q238" i="3"/>
  <c r="Q236" i="3"/>
  <c r="Q235" i="3"/>
  <c r="Q234" i="3"/>
  <c r="Q233" i="3"/>
  <c r="Q232" i="3"/>
  <c r="Q231" i="3"/>
  <c r="Q230" i="3"/>
  <c r="Q228" i="3"/>
  <c r="Q224" i="3"/>
  <c r="Q223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3" i="3"/>
  <c r="Q191" i="3"/>
  <c r="Q188" i="3"/>
  <c r="Q187" i="3"/>
  <c r="Q185" i="3"/>
  <c r="Q184" i="3"/>
  <c r="Q183" i="3"/>
  <c r="Q181" i="3"/>
  <c r="Q179" i="3"/>
  <c r="Q176" i="3"/>
  <c r="Q173" i="3"/>
  <c r="Q172" i="3"/>
  <c r="Q171" i="3"/>
  <c r="Q169" i="3"/>
  <c r="Q168" i="3"/>
  <c r="Q167" i="3"/>
  <c r="Q166" i="3"/>
  <c r="Q164" i="3"/>
  <c r="Q162" i="3"/>
  <c r="Q161" i="3"/>
  <c r="Q160" i="3"/>
  <c r="Q159" i="3"/>
  <c r="Q158" i="3"/>
  <c r="Q156" i="3"/>
  <c r="Q153" i="3"/>
  <c r="Q150" i="3"/>
  <c r="Q149" i="3"/>
  <c r="Q148" i="3"/>
  <c r="Q146" i="3"/>
  <c r="Q144" i="3"/>
  <c r="Q143" i="3"/>
  <c r="Q140" i="3"/>
  <c r="Q139" i="3"/>
  <c r="Q137" i="3"/>
  <c r="Q136" i="3"/>
  <c r="Q134" i="3"/>
  <c r="Q129" i="3"/>
  <c r="Q128" i="3"/>
  <c r="Q125" i="3"/>
  <c r="Q124" i="3"/>
  <c r="Q123" i="3"/>
  <c r="Q613" i="3"/>
  <c r="Q122" i="3"/>
  <c r="Q614" i="3"/>
  <c r="Q612" i="3"/>
  <c r="Q120" i="3"/>
  <c r="Q119" i="3"/>
  <c r="Q117" i="3"/>
  <c r="Q116" i="3"/>
  <c r="Q115" i="3"/>
  <c r="Q114" i="3"/>
  <c r="Q113" i="3"/>
  <c r="Q112" i="3"/>
  <c r="Q111" i="3"/>
  <c r="Q110" i="3"/>
  <c r="Q108" i="3"/>
  <c r="Q106" i="3"/>
  <c r="Q103" i="3"/>
  <c r="Q102" i="3"/>
  <c r="Q101" i="3"/>
  <c r="Q100" i="3"/>
  <c r="Q99" i="3"/>
  <c r="Q97" i="3"/>
  <c r="Q96" i="3"/>
  <c r="Q95" i="3"/>
  <c r="Q94" i="3"/>
  <c r="Q93" i="3"/>
  <c r="Q91" i="3"/>
  <c r="Q90" i="3"/>
  <c r="Q89" i="3"/>
  <c r="Q86" i="3"/>
  <c r="Q88" i="3"/>
  <c r="Q82" i="3"/>
  <c r="Q81" i="3"/>
  <c r="Q83" i="3"/>
  <c r="Q78" i="3"/>
  <c r="Q73" i="3"/>
  <c r="Q74" i="3"/>
  <c r="Q71" i="3"/>
  <c r="Q68" i="3"/>
  <c r="Q66" i="3"/>
  <c r="Q64" i="3"/>
  <c r="Q61" i="3"/>
  <c r="Q60" i="3"/>
  <c r="Q59" i="3"/>
  <c r="Q58" i="3"/>
  <c r="Q57" i="3"/>
  <c r="Q55" i="3"/>
  <c r="Q54" i="3"/>
  <c r="Q52" i="3"/>
  <c r="Q46" i="3"/>
  <c r="Q45" i="3"/>
  <c r="Q44" i="3"/>
  <c r="Q43" i="3"/>
  <c r="Q42" i="3"/>
  <c r="Q39" i="3"/>
  <c r="Q38" i="3"/>
  <c r="Q37" i="3"/>
  <c r="Q36" i="3"/>
  <c r="Q35" i="3"/>
  <c r="Q33" i="3"/>
  <c r="Q32" i="3"/>
  <c r="Q31" i="3"/>
  <c r="Q30" i="3"/>
  <c r="Q28" i="3"/>
  <c r="Q25" i="3"/>
  <c r="Q22" i="3"/>
  <c r="Q20" i="3"/>
  <c r="Q16" i="3"/>
  <c r="Q15" i="3"/>
  <c r="Q14" i="3"/>
  <c r="Q13" i="3"/>
  <c r="Q11" i="3"/>
  <c r="Q10" i="3"/>
  <c r="Q9" i="3"/>
  <c r="Q8" i="3"/>
  <c r="Q6" i="3"/>
  <c r="Q3" i="3"/>
  <c r="E49" i="4"/>
  <c r="D49" i="4"/>
  <c r="C49" i="4"/>
  <c r="E67" i="4"/>
  <c r="D67" i="4"/>
  <c r="C67" i="4"/>
  <c r="E41" i="4"/>
  <c r="D41" i="4"/>
  <c r="C41" i="4"/>
  <c r="C97" i="4"/>
  <c r="E97" i="4"/>
  <c r="D97" i="4"/>
  <c r="E70" i="4"/>
  <c r="D70" i="4"/>
  <c r="C70" i="4"/>
  <c r="E45" i="4"/>
  <c r="D45" i="4"/>
  <c r="C45" i="4"/>
  <c r="E84" i="4"/>
  <c r="D84" i="4"/>
  <c r="C84" i="4"/>
  <c r="E72" i="4"/>
  <c r="D72" i="4"/>
  <c r="C72" i="4"/>
  <c r="E58" i="4"/>
  <c r="D58" i="4"/>
  <c r="C58" i="4"/>
  <c r="E34" i="4"/>
  <c r="F14" i="4"/>
  <c r="F13" i="4"/>
  <c r="F4" i="4"/>
  <c r="F6" i="4"/>
  <c r="E47" i="4"/>
  <c r="D47" i="4"/>
  <c r="C47" i="4"/>
  <c r="E33" i="4"/>
  <c r="D33" i="4"/>
  <c r="E79" i="4"/>
  <c r="D79" i="4"/>
  <c r="C79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E82" i="4"/>
  <c r="D82" i="4"/>
  <c r="C82" i="4"/>
  <c r="E81" i="4"/>
  <c r="D81" i="4"/>
  <c r="C81" i="4"/>
  <c r="E80" i="4"/>
  <c r="D80" i="4"/>
  <c r="C80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68" i="4"/>
  <c r="D68" i="4"/>
  <c r="C68" i="4"/>
  <c r="E69" i="4"/>
  <c r="D69" i="4"/>
  <c r="C69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44" i="4"/>
  <c r="D44" i="4"/>
  <c r="C44" i="4"/>
  <c r="E42" i="4"/>
  <c r="D42" i="4"/>
  <c r="C42" i="4"/>
  <c r="E40" i="4"/>
  <c r="D40" i="4"/>
  <c r="C40" i="4"/>
  <c r="E39" i="4"/>
  <c r="D39" i="4"/>
  <c r="C39" i="4"/>
  <c r="D38" i="4"/>
  <c r="C38" i="4"/>
  <c r="C36" i="4"/>
  <c r="E35" i="4"/>
  <c r="D35" i="4"/>
  <c r="C35" i="4"/>
  <c r="D34" i="4"/>
  <c r="C34" i="4"/>
  <c r="E59" i="4"/>
  <c r="D59" i="4"/>
  <c r="C59" i="4"/>
  <c r="D50" i="4"/>
  <c r="E50" i="4"/>
  <c r="E53" i="4"/>
  <c r="D53" i="4"/>
  <c r="C53" i="4"/>
  <c r="E51" i="4"/>
  <c r="D51" i="4"/>
  <c r="C51" i="4"/>
  <c r="E54" i="4"/>
  <c r="D54" i="4"/>
  <c r="C54" i="4"/>
  <c r="E55" i="4"/>
  <c r="D55" i="4"/>
  <c r="C55" i="4"/>
  <c r="E48" i="4"/>
  <c r="D48" i="4"/>
  <c r="C48" i="4"/>
  <c r="C50" i="4"/>
  <c r="E52" i="4"/>
  <c r="C52" i="4"/>
  <c r="E56" i="4"/>
  <c r="D56" i="4"/>
  <c r="C56" i="4"/>
  <c r="L349" i="34" l="1"/>
  <c r="H40" i="4"/>
  <c r="H38" i="4"/>
  <c r="H49" i="4"/>
  <c r="H35" i="4"/>
  <c r="H74" i="4"/>
  <c r="G72" i="4"/>
  <c r="I72" i="4" s="1"/>
  <c r="G84" i="4"/>
  <c r="I84" i="4" s="1"/>
  <c r="G58" i="4"/>
  <c r="I58" i="4" s="1"/>
  <c r="G33" i="4"/>
  <c r="I33" i="4" s="1"/>
  <c r="G47" i="4"/>
  <c r="I47" i="4" s="1"/>
  <c r="G100" i="4" l="1"/>
  <c r="J100" i="4" s="1"/>
</calcChain>
</file>

<file path=xl/sharedStrings.xml><?xml version="1.0" encoding="utf-8"?>
<sst xmlns="http://schemas.openxmlformats.org/spreadsheetml/2006/main" count="10667" uniqueCount="2298">
  <si>
    <t>Wegeübersicht</t>
  </si>
  <si>
    <r>
      <t xml:space="preserve">Asphalt / befestigt &amp; Verkehr 
</t>
    </r>
    <r>
      <rPr>
        <b/>
        <sz val="8"/>
        <rFont val="Arial"/>
        <family val="2"/>
      </rPr>
      <t>(in % der Strecke, Quelle: Bayernatlas)</t>
    </r>
  </si>
  <si>
    <r>
      <t xml:space="preserve">Wegbeschaffenheit
</t>
    </r>
    <r>
      <rPr>
        <b/>
        <sz val="8"/>
        <rFont val="Arial"/>
        <family val="2"/>
      </rPr>
      <t>(in km, Quelle: Komoot)</t>
    </r>
  </si>
  <si>
    <r>
      <t xml:space="preserve">Wegtypen
</t>
    </r>
    <r>
      <rPr>
        <b/>
        <sz val="8"/>
        <rFont val="Arial"/>
        <family val="2"/>
      </rPr>
      <t>(in km, Quelle Komoot)</t>
    </r>
  </si>
  <si>
    <t>Abweichungen im Wegverlauf
in Meter</t>
  </si>
  <si>
    <t>"reformiert"</t>
  </si>
  <si>
    <r>
      <t xml:space="preserve">LDBV – ID
</t>
    </r>
    <r>
      <rPr>
        <b/>
        <sz val="6"/>
        <color indexed="10"/>
        <rFont val="Arial"/>
        <family val="2"/>
      </rPr>
      <t>(Wege-nummer)</t>
    </r>
  </si>
  <si>
    <r>
      <t xml:space="preserve">LVG - Wegetyp
 </t>
    </r>
    <r>
      <rPr>
        <sz val="6"/>
        <rFont val="Arial"/>
        <family val="2"/>
      </rPr>
      <t>des</t>
    </r>
    <r>
      <rPr>
        <b/>
        <sz val="6"/>
        <rFont val="Arial"/>
        <family val="2"/>
      </rPr>
      <t xml:space="preserve"> </t>
    </r>
    <r>
      <rPr>
        <b/>
        <sz val="6"/>
        <color indexed="10"/>
        <rFont val="Arial"/>
        <family val="2"/>
      </rPr>
      <t>L</t>
    </r>
    <r>
      <rPr>
        <sz val="6"/>
        <color indexed="10"/>
        <rFont val="Arial"/>
        <family val="2"/>
      </rPr>
      <t xml:space="preserve">andesamts für </t>
    </r>
    <r>
      <rPr>
        <b/>
        <sz val="6"/>
        <color indexed="10"/>
        <rFont val="Arial"/>
        <family val="2"/>
      </rPr>
      <t>V</t>
    </r>
    <r>
      <rPr>
        <sz val="6"/>
        <color indexed="10"/>
        <rFont val="Arial"/>
        <family val="2"/>
      </rPr>
      <t xml:space="preserve">ermessung und </t>
    </r>
    <r>
      <rPr>
        <b/>
        <sz val="6"/>
        <color indexed="10"/>
        <rFont val="Arial"/>
        <family val="2"/>
      </rPr>
      <t>G</t>
    </r>
    <r>
      <rPr>
        <sz val="6"/>
        <color indexed="10"/>
        <rFont val="Arial"/>
        <family val="2"/>
      </rPr>
      <t>eoinformation</t>
    </r>
  </si>
  <si>
    <t>FGV-Kategorie</t>
  </si>
  <si>
    <t>Markie-rungs-zeichen</t>
  </si>
  <si>
    <t>UK-Symbol /
Beschrei-bung</t>
  </si>
  <si>
    <t>FGV-Wegnr.</t>
  </si>
  <si>
    <t>Unterteilung</t>
  </si>
  <si>
    <t>Markierungs-abschnitt</t>
  </si>
  <si>
    <t>Wegname</t>
  </si>
  <si>
    <t>Qualtitäts-merkmal</t>
  </si>
  <si>
    <t>Gebiet</t>
  </si>
  <si>
    <t>Zuständige Ortsgruppe</t>
  </si>
  <si>
    <t xml:space="preserve"> Abschn.
km</t>
  </si>
  <si>
    <t>Gesamt-länge 
Weg (FGV)</t>
  </si>
  <si>
    <t>Wegverlauf, grob
Näheres siehe Tabelle
"Wege im Detail"</t>
  </si>
  <si>
    <t>Datenbank-
Bearbeitungs-stand</t>
  </si>
  <si>
    <t>HINWEISE</t>
  </si>
  <si>
    <t>Korrektur / Lieferung</t>
  </si>
  <si>
    <t>Parallelmar-kierung 1</t>
  </si>
  <si>
    <t>Parallelmar-kierung 2</t>
  </si>
  <si>
    <t>Parallelmar-kierung 3</t>
  </si>
  <si>
    <t>Parallelwege
(FGV-Nr.)</t>
  </si>
  <si>
    <t>Korrekturen für nächste Lieferung vorgenommen ?</t>
  </si>
  <si>
    <t>Asphalt /
befestigt</t>
  </si>
  <si>
    <r>
      <t xml:space="preserve">Verkehr
</t>
    </r>
    <r>
      <rPr>
        <b/>
        <i/>
        <u/>
        <sz val="8"/>
        <rFont val="Arial"/>
        <family val="2"/>
      </rPr>
      <t>kein/ gering</t>
    </r>
  </si>
  <si>
    <r>
      <t xml:space="preserve">Verkehr
</t>
    </r>
    <r>
      <rPr>
        <b/>
        <i/>
        <u/>
        <sz val="8"/>
        <rFont val="Arial"/>
        <family val="2"/>
      </rPr>
      <t>mittel</t>
    </r>
    <r>
      <rPr>
        <b/>
        <sz val="8"/>
        <rFont val="Arial"/>
        <family val="2"/>
      </rPr>
      <t xml:space="preserve"> </t>
    </r>
  </si>
  <si>
    <r>
      <t xml:space="preserve">Verkehr
</t>
    </r>
    <r>
      <rPr>
        <b/>
        <i/>
        <u/>
        <sz val="8"/>
        <rFont val="Arial"/>
        <family val="2"/>
      </rPr>
      <t>groß</t>
    </r>
    <r>
      <rPr>
        <b/>
        <i/>
        <sz val="8"/>
        <rFont val="Arial"/>
        <family val="2"/>
      </rPr>
      <t xml:space="preserve"> </t>
    </r>
  </si>
  <si>
    <t>unbekannt</t>
  </si>
  <si>
    <t>Alpin</t>
  </si>
  <si>
    <t xml:space="preserve">natur </t>
  </si>
  <si>
    <t>lose</t>
  </si>
  <si>
    <t>Kies</t>
  </si>
  <si>
    <t>befestigt</t>
  </si>
  <si>
    <t>Asphalt</t>
  </si>
  <si>
    <t>Summe</t>
  </si>
  <si>
    <t>Berg-wander-weg</t>
  </si>
  <si>
    <t>Wander-weg</t>
  </si>
  <si>
    <t>Weg</t>
  </si>
  <si>
    <t>Fußweg</t>
  </si>
  <si>
    <t>Neben-straße</t>
  </si>
  <si>
    <t>Straße</t>
  </si>
  <si>
    <t>Bundes-straße</t>
  </si>
  <si>
    <r>
      <t xml:space="preserve">Off-Grid
</t>
    </r>
    <r>
      <rPr>
        <b/>
        <sz val="7"/>
        <rFont val="Arial"/>
        <family val="2"/>
      </rPr>
      <t>(unbekannt)</t>
    </r>
  </si>
  <si>
    <t>LVG : KOMOOT</t>
  </si>
  <si>
    <t>X</t>
  </si>
  <si>
    <t>Wanderweg</t>
  </si>
  <si>
    <t>Haupt-/Weit-/Fern-wanderweg</t>
  </si>
  <si>
    <t xml:space="preserve">E6, schwarz auf weiß, verläuft auf
Q, schwarz auf gelb
</t>
  </si>
  <si>
    <t>Europäischer Fernwander-weg Nr. 6</t>
  </si>
  <si>
    <t>JA</t>
  </si>
  <si>
    <t>Münchberg</t>
  </si>
  <si>
    <t>Europäischer Fernwanderweg Nr. 6 (E6), Ostsee - Wachau - Adria, Teilstsück Fichgtelgebirge, Wegverlauf siehe FGV-WegNr 14, Markierungsabschnitte 1 - 11</t>
  </si>
  <si>
    <t xml:space="preserve">
</t>
  </si>
  <si>
    <t>2009/01</t>
  </si>
  <si>
    <t>kA</t>
  </si>
  <si>
    <t>MD, blau auf weiß</t>
  </si>
  <si>
    <t>Main-Donau-Weg</t>
  </si>
  <si>
    <t>Ebnath</t>
  </si>
  <si>
    <t>Main-Donau-Weg, Ostlinie Bischofgrün-Passau; Teilstsück Fichgtelgebirge, Wegverlauf siehe FGV-WegNr 15, Markierungsabschnitte 1 - 4</t>
  </si>
  <si>
    <t>S1067, blau auf gelb</t>
  </si>
  <si>
    <t>Burgenweg</t>
  </si>
  <si>
    <t>Marktredwitz</t>
  </si>
  <si>
    <t>Burgenweg, Anteil Fichtelgebirge: Marktredwitz - Ruine Weißenstein, wegverlauf siehe FGV-WegNr 18, Markierungsabschnitte 1 - 2</t>
  </si>
  <si>
    <t>OWV: 00353</t>
  </si>
  <si>
    <t>Q, schwarz auf gelb</t>
  </si>
  <si>
    <t>Quellenweg</t>
  </si>
  <si>
    <t>Bad Alexandersbad</t>
  </si>
  <si>
    <t>Münchberg - Saalequelle - Egerquelle - Weißmainquelle - Fichtelnaabquelle - Marktredwitz,  FGV-WegNr 8, Markierungsabschnitte 1 - 9</t>
  </si>
  <si>
    <t>W, weiß auf rot</t>
  </si>
  <si>
    <t>Westweg</t>
  </si>
  <si>
    <t>Münchberg - Rauher Kulm,  FGV-WegNr 5, Markierungsabschnitte 1 - 9</t>
  </si>
  <si>
    <t>N, weiß auf rot</t>
  </si>
  <si>
    <t>Nordweg</t>
  </si>
  <si>
    <t>Selb</t>
  </si>
  <si>
    <t>Kulmbach - Ostweg (Hirschfelder Tor),  FGV-WegNr  2, Markierungsabschnitte 1 - 6</t>
  </si>
  <si>
    <t xml:space="preserve">E3, schwarz auf weiß, verläuft auf
S1068 blau auf weiß sowie Q  schwarz auf gelb
</t>
  </si>
  <si>
    <t>Europäischer Fernwander-weg Nr. 3</t>
  </si>
  <si>
    <t xml:space="preserve">Europäischer Fernwanderweg Nr. 3 (E3), Atlantik - Ardennen - Erzgebirge/Krusnè hory-  Karpaten - Schwarzes Meer, Teilstück Fichgtelgebirge, Wegverlauf siehe FGV-WegNr 13, Markierungsabschnitte 1 - 16
</t>
  </si>
  <si>
    <t>örtl. Wanderweg</t>
  </si>
  <si>
    <t>Rund-wanderweg</t>
  </si>
  <si>
    <t>5, schwarz auf lindgrün</t>
  </si>
  <si>
    <t>407-05</t>
  </si>
  <si>
    <t>RW 5</t>
  </si>
  <si>
    <t>Sparneck</t>
  </si>
  <si>
    <t>Rundwanderweg Nr. 5 der Gemeinde Sparneck</t>
  </si>
  <si>
    <t>Verb.-/
Anschluss-weg</t>
  </si>
  <si>
    <t>S1120, weiß-blau</t>
  </si>
  <si>
    <t>Bad Berneck</t>
  </si>
  <si>
    <t>Stein - Weißensteingipfel,  FGV-WegNr. 51, ein  Markierungsabschnitt</t>
  </si>
  <si>
    <t>S1310, blau auf weiß</t>
  </si>
  <si>
    <t>Weißenstein bei Stammbach - Saalequelle, FGV-WegNr 39, Markierungsabschnitt 1 - 2</t>
  </si>
  <si>
    <t>S1077, blau auf weiß</t>
  </si>
  <si>
    <t>Gefrees</t>
  </si>
  <si>
    <t>Gefrees - Großer Waldstein,  FGV-WegNr. 37,    
Markierungsabschnitte 1 - 3</t>
  </si>
  <si>
    <t>weißes H auf rot</t>
  </si>
  <si>
    <t>Höhenweg</t>
  </si>
  <si>
    <t>Schwarzenbach</t>
  </si>
  <si>
    <t>Schwarzenbach - Wunsiedel,  FGV-WegNr  1, Markierungsabschnitte 1 - 5</t>
  </si>
  <si>
    <t>S, blau auf weiß</t>
  </si>
  <si>
    <t>Seenweg</t>
  </si>
  <si>
    <t>Speichersdorf</t>
  </si>
  <si>
    <t>Seenweg, Markierungsabschnitt Fichtelgebirge; Hof - Kirchenlaibach,  FGV-WegNr. 17, Markierungsabschnitte 1 - 8</t>
  </si>
  <si>
    <t>&lt; 0,10</t>
  </si>
  <si>
    <t>E, schwarz auf gelb</t>
  </si>
  <si>
    <t>Egerweg</t>
  </si>
  <si>
    <t>Weißenstadt</t>
  </si>
  <si>
    <t>Egerquelle - Fischern,  FGV-WegNr 9, Markierungsabschnitte 1 - 6</t>
  </si>
  <si>
    <t>S1068, weiß-blau</t>
  </si>
  <si>
    <t>Weißenstadt - Hallerstein,  FGV-WegNr. 41,   Markierungsabschnitte 1 - 3</t>
  </si>
  <si>
    <t>S1071, blau auf weiß</t>
  </si>
  <si>
    <t>Sparneck - Kirchenlamitz,  FGV-WegNr. 40,   Markierungsabschnitte 1 - 2</t>
  </si>
  <si>
    <t>a</t>
  </si>
  <si>
    <t>Zell</t>
  </si>
  <si>
    <t>Zell - Waldstein,   FGV-WegNr 34a,  Markierungsabschnitte 1 - 2</t>
  </si>
  <si>
    <t>Hirschstein - Lamitzbrunnen,   FGV-WegNr 31,  Markierungsabschnitte 1 - 3</t>
  </si>
  <si>
    <t>S1308, blau auf weiß</t>
  </si>
  <si>
    <t>Sparneck - Großer Waldstein, FGV-WegNr. 38,   Markierungsabschnitte 1 - 2</t>
  </si>
  <si>
    <t>S1067, blau auf weiß</t>
  </si>
  <si>
    <t>Rehau</t>
  </si>
  <si>
    <t>Rehau - Kirchenlamitz Ost,   FGV-WegNr 23, Markierungsabschnitte 1 - 3</t>
  </si>
  <si>
    <t>Thierstein</t>
  </si>
  <si>
    <t>Schwarzenbach/Saale - Thierstein,  FGV-WegNr. 29, Markierungsabschnitte 1 - 4</t>
  </si>
  <si>
    <t>Röslau</t>
  </si>
  <si>
    <t>Röslau - Niederlamitz.  FGV-WegNr. 43,  Markierungsabschnitte 1 - 3</t>
  </si>
  <si>
    <t>Schwarzenbach/Saale - Hallerstein,  FGV-WegNr. 42, ein Markierungsabschnitt</t>
  </si>
  <si>
    <t>3, schwarz auf lindgrün</t>
  </si>
  <si>
    <t>407-03</t>
  </si>
  <si>
    <t>RW 3</t>
  </si>
  <si>
    <r>
      <rPr>
        <i/>
        <sz val="8"/>
        <rFont val="Arial"/>
        <family val="2"/>
      </rPr>
      <t xml:space="preserve">Sparneck (4):
</t>
    </r>
    <r>
      <rPr>
        <b/>
        <sz val="8"/>
        <rFont val="Arial"/>
        <family val="2"/>
      </rPr>
      <t xml:space="preserve">Parkplatz am Sportgelände </t>
    </r>
    <r>
      <rPr>
        <sz val="8"/>
        <rFont val="Arial"/>
        <family val="2"/>
      </rPr>
      <t xml:space="preserve">- Ri SW - Westhang Kleiner Waldstein - Höhe 738 - Höhe 632 - s Brandenstumpf - Einöden - </t>
    </r>
    <r>
      <rPr>
        <b/>
        <sz val="8"/>
        <rFont val="Arial"/>
        <family val="2"/>
      </rPr>
      <t>Ausgangspunkt</t>
    </r>
  </si>
  <si>
    <t>Rundwanderweg Nr. 3 der Gemeinde Sparneck</t>
  </si>
  <si>
    <t>4, schwarz auf lindgrün</t>
  </si>
  <si>
    <t>407-04</t>
  </si>
  <si>
    <t>RW 4</t>
  </si>
  <si>
    <t>Rundwanderweg Nr. 4 der Gemeinde Sparneck</t>
  </si>
  <si>
    <t>1, weiß auf dunklem Grund</t>
  </si>
  <si>
    <t>505-01</t>
  </si>
  <si>
    <t>RW 1</t>
  </si>
  <si>
    <t>Kirchenlamitz</t>
  </si>
  <si>
    <t>Rundwanderweg Nr. 1 der Gemeinde Kirchenlamitz</t>
  </si>
  <si>
    <t>2, weiß auf dunklem Grund</t>
  </si>
  <si>
    <t>505-02</t>
  </si>
  <si>
    <t>RW 2</t>
  </si>
  <si>
    <t>Rundwanderweg Nr. 2 der Gemeinde Kirchenlamitz</t>
  </si>
  <si>
    <t>3, weiß auf dunklem Grund</t>
  </si>
  <si>
    <t>505-03</t>
  </si>
  <si>
    <t>Rundwanderweg Nr. 3 der Gemeinde Kirchenlamitz</t>
  </si>
  <si>
    <t>505-12</t>
  </si>
  <si>
    <t>Steinbruch-weg</t>
  </si>
  <si>
    <t>Kartoffelweg, Rundwanderweg der Gemeinde Kirchenlamitz</t>
  </si>
  <si>
    <t>Steinbruchweg , Rundwanderweg der Gemeinde Kirchenlamitz</t>
  </si>
  <si>
    <t>Kartoffel-weg</t>
  </si>
  <si>
    <t>nicht komplett wegen mehrer  Teilabschnitte</t>
  </si>
  <si>
    <t>x</t>
  </si>
  <si>
    <t>S1317, blau auf weiß</t>
  </si>
  <si>
    <t>Röslau - Großer Waldstein,   FGV-WegNr 35, Markierungsabschnitte 1 - 5</t>
  </si>
  <si>
    <t>7, weiß auf grün</t>
  </si>
  <si>
    <t>507-07</t>
  </si>
  <si>
    <t>RW 7</t>
  </si>
  <si>
    <t>Marktleuthen</t>
  </si>
  <si>
    <t>Rundwanderweg Nr. 7 der Gemeinde Marktleuthen</t>
  </si>
  <si>
    <t>8, weiß auf grün</t>
  </si>
  <si>
    <t>507-08</t>
  </si>
  <si>
    <t>RW 8</t>
  </si>
  <si>
    <t>Rundwanderweg Nr. 8 der Gemeinde Marktleuthen</t>
  </si>
  <si>
    <t>6, weiß auf grün</t>
  </si>
  <si>
    <t>507-06</t>
  </si>
  <si>
    <t>RW 6</t>
  </si>
  <si>
    <t>Rundwanderweg Nr. 6 der Gemeinde Marktleuthen</t>
  </si>
  <si>
    <t>509-03</t>
  </si>
  <si>
    <t>Rundwanderweg Nr. 3 der Gemeinde Röslau</t>
  </si>
  <si>
    <t>S1093, blau auf weiß</t>
  </si>
  <si>
    <t>Rehau - Hallerstein,   FGV-WegNr 22, Markierungsabschnitte 1 - 3</t>
  </si>
  <si>
    <t>S1067, weiß-blau</t>
  </si>
  <si>
    <t>Röslau - Höhenweg (Schneeberg), FGV-WegNr. 67,  Markierungsabschnitte 1 - 2</t>
  </si>
  <si>
    <t>S1205, weiß-blau</t>
  </si>
  <si>
    <t>Wunsiedel</t>
  </si>
  <si>
    <t>Bischofsgrün - Wunsiedel, FGV-WegNr. 65,  Markierungsabschnitte 1 - 4</t>
  </si>
  <si>
    <t>36a</t>
  </si>
  <si>
    <t>Schönlind - Rudolfstein, FGV-WegNr. 36a,   Markierungsabschnitte 1 - 2</t>
  </si>
  <si>
    <t>Frohnlohe - Bischofsgrün, FGV-WegNr. 48,  Markierungsabschnitte 1 - 2</t>
  </si>
  <si>
    <t>S1070, blau auf weiß</t>
  </si>
  <si>
    <t>Bischofsgrün</t>
  </si>
  <si>
    <t>Höhenklinik - Höhen-/Röslauweg, Wegverlauf siehe FGV-WegNr 66,  Markierungsabschnitte  1 - 3</t>
  </si>
  <si>
    <t>S1312, blau auf weiß</t>
  </si>
  <si>
    <t>66a</t>
  </si>
  <si>
    <t>Backöfele-weg</t>
  </si>
  <si>
    <t>Bischofsgrün - Schneeberggipfel, "Backöfeleweg", FGV-WegNr.66a,  Markierungsabschnitte 1 - 3</t>
  </si>
  <si>
    <t>0.183</t>
  </si>
  <si>
    <t>Goetheweg</t>
  </si>
  <si>
    <t>Goetheweg (Karches - Weißmainfelsen)  FGV-WegNr  93,  ein Markierungsabschnitt</t>
  </si>
  <si>
    <t>0.362</t>
  </si>
  <si>
    <t>Abweichen-der Wegverlauf</t>
  </si>
  <si>
    <t>Hof</t>
  </si>
  <si>
    <t>Karches - Höhenweg;   FGV-WegNr. 92, Markierungsabschnitte 1 - 2</t>
  </si>
  <si>
    <t>S1082, blau auf weiß</t>
  </si>
  <si>
    <t>Plattesteig</t>
  </si>
  <si>
    <t>Fichtelberg-Neubau</t>
  </si>
  <si>
    <t>Plattesteig (Fichtelberg - Platte), FGV-WegNr. 96, ein Markierungsabschnitt</t>
  </si>
  <si>
    <t>S1315, weiß auf blau</t>
  </si>
  <si>
    <t>Vogelherd (ab WegNr 61) - Seehaus,  FGV-WegNr  60, Markierungsabschnitte 1 -4</t>
  </si>
  <si>
    <t>Warmensteinach</t>
  </si>
  <si>
    <t>Silberhaus - Warmensteinach,  FGV-WegNr. 63, Markierungsabschnitte 1 - 3</t>
  </si>
  <si>
    <t>Tröstau</t>
  </si>
  <si>
    <t>Tröstau - Hohe Matze,  FGV-WegNr  69,  ein Markierungsabschnitt</t>
  </si>
  <si>
    <t>Tröstau - Mittelweg,  FGV-WegNr  76,  ein Markierungsabschnitt</t>
  </si>
  <si>
    <t>S1306, blau-weiß</t>
  </si>
  <si>
    <t>Tröstau - Kösseine,  FGV-WegNr  71,  ein Markierungsabschnitt 1 - 2</t>
  </si>
  <si>
    <t>Tröstau - Höhenweg (Haberstein,  FGV-WegNr  72,  Markierungsabschnitt 1 - 2</t>
  </si>
  <si>
    <t>Ringweg</t>
  </si>
  <si>
    <t>S1124, gelb auf weiß</t>
  </si>
  <si>
    <t>Ringweg
Kösseine</t>
  </si>
  <si>
    <t>Ringweg Kösseine,  FGV-WegNr 203, Markierungsabschnitte 1 - 2</t>
  </si>
  <si>
    <t>S1313, blau auf weiß</t>
  </si>
  <si>
    <t>Fichtelsee-steig</t>
  </si>
  <si>
    <t>Mehlmeisel</t>
  </si>
  <si>
    <t>Ahornberg - Fichtelberg, Wegverlauf siehe FGV-WegNr 62, Markierungsabschnitte 1 - 3</t>
  </si>
  <si>
    <t>Fichtelberg - Fleckl (Einmündung FGV-WegNr 54),   Markierungsabschnitte 1 - 2</t>
  </si>
  <si>
    <t>Weißenstadt - Finkenmühle, FGV-WegNr. 132,  Markierungsabschnitte 1 - 2</t>
  </si>
  <si>
    <t>M, schwarz auf gelb</t>
  </si>
  <si>
    <t>Mittelweg</t>
  </si>
  <si>
    <t>Bayreuth</t>
  </si>
  <si>
    <t>Bayreuth - Hohenberg,  FGV-WegNr  3, Markierungsabschnitte 1 - 15</t>
  </si>
  <si>
    <t>R, schwarz auf gelb</t>
  </si>
  <si>
    <t>Röslauweg</t>
  </si>
  <si>
    <t>Schirnding</t>
  </si>
  <si>
    <t>Röslauquelle - Fischern,  FGV-WegNr  10, Markierungsabschnitte 1 - 6</t>
  </si>
  <si>
    <t>M, blau auf weiß</t>
  </si>
  <si>
    <t>Main-wanderweg</t>
  </si>
  <si>
    <t>Mainwanderweg, Markierungsabschnitt Fichtelgebirge, Weißmainquelle - Himmelkron,  FGV-WegNr  12, Markierungsabschnitte 1 - 2, ab Himmelkron Frankenwaldverein</t>
  </si>
  <si>
    <t>509-01</t>
  </si>
  <si>
    <t>Rundwanderweg Nr. 1 der Gemeinde Röslau</t>
  </si>
  <si>
    <t>4, weiß auf dunklem Grund</t>
  </si>
  <si>
    <t>509-04</t>
  </si>
  <si>
    <t>Rundwanderweg Nr. 4 der Gemeinde Röslau</t>
  </si>
  <si>
    <t>1, schwarz auf weiß</t>
  </si>
  <si>
    <t>304-01</t>
  </si>
  <si>
    <t>Rundwanderweg Nr. 1 der Gemeinde Fichtelberg</t>
  </si>
  <si>
    <t>2, schwarz auf weiß</t>
  </si>
  <si>
    <t>304-02</t>
  </si>
  <si>
    <t>Rundwanderweg Nr. 2 der Gemeinde Fichtelberg</t>
  </si>
  <si>
    <t>1, rot auf weiß</t>
  </si>
  <si>
    <t>511-01</t>
  </si>
  <si>
    <t>Vordorf</t>
  </si>
  <si>
    <t>Rundwanderweg Nr. 1 der Gemeinde Vordorf</t>
  </si>
  <si>
    <t>2, rot auf weiß</t>
  </si>
  <si>
    <t>511-02</t>
  </si>
  <si>
    <t>Rundwanderweg Nr. 2 der Gemeinde Vordorf</t>
  </si>
  <si>
    <t>3, rot auf weiß</t>
  </si>
  <si>
    <t>511-03</t>
  </si>
  <si>
    <t>Rundwanderweg Nr. 3 der Gemeinde Vordorf</t>
  </si>
  <si>
    <t>4, rot auf weiß</t>
  </si>
  <si>
    <t>511-04</t>
  </si>
  <si>
    <t>Rundwanderweg Nr. 4 der Gemeinde Vordorf</t>
  </si>
  <si>
    <t>5, rot auf weiß</t>
  </si>
  <si>
    <t>511-05</t>
  </si>
  <si>
    <t>Rundwanderweg Nr. 5 der Gemeinde Vordorf</t>
  </si>
  <si>
    <t>6, rot auf weiß</t>
  </si>
  <si>
    <t>510-06</t>
  </si>
  <si>
    <t>Rundwanderweg Nr. 6 der Gemeinde Tröstau</t>
  </si>
  <si>
    <t>7, rot auf weiß</t>
  </si>
  <si>
    <t>510-07</t>
  </si>
  <si>
    <t>Rundwanderweg Nr. 7 der Gemeinde Tröstau</t>
  </si>
  <si>
    <t>8, rot auf weiß</t>
  </si>
  <si>
    <t>510-08</t>
  </si>
  <si>
    <t>Rundwanderweg Nr. 8 der Gemeinde Tröstau</t>
  </si>
  <si>
    <t>9, rot auf weiß</t>
  </si>
  <si>
    <t>510-09</t>
  </si>
  <si>
    <t>RW 9</t>
  </si>
  <si>
    <t>Rundwanderweg Nr. 9 der Gemeinde Tröstau</t>
  </si>
  <si>
    <t>10, rot auf weiß</t>
  </si>
  <si>
    <t>510-10</t>
  </si>
  <si>
    <t>RW 10</t>
  </si>
  <si>
    <t>Rundwanderweg Nr. 10 der Gemeinde Tröstau</t>
  </si>
  <si>
    <t>501-06</t>
  </si>
  <si>
    <t>Rundwanderweg Nr. 6 der Gemeinde Bad Alexandersbad</t>
  </si>
  <si>
    <t>!</t>
  </si>
  <si>
    <t xml:space="preserve">2, weiß auf blau </t>
  </si>
  <si>
    <t>513-04</t>
  </si>
  <si>
    <t>Rundwanderweg Nr. 4 der Gemeinde Wunsiedel</t>
  </si>
  <si>
    <t>Panoramaweg Bischofsgrün</t>
  </si>
  <si>
    <t>Qualitätsweg</t>
  </si>
  <si>
    <t>Nein</t>
  </si>
  <si>
    <t>Ringweg um Bischofsgrün, FGV-WegNr. 201, ein Markierungsabschnitt</t>
  </si>
  <si>
    <t>?</t>
  </si>
  <si>
    <t>weicht etwas ab</t>
  </si>
  <si>
    <t>Gefrees - Egerquelle,  FGV-WegNr. 47,  Markierungsabschnitte 1 - 2</t>
  </si>
  <si>
    <t xml:space="preserve">Bischofsgrün - Egerquelle, FGV-WegNr. 64,  ein Markierungsabschnitt </t>
  </si>
  <si>
    <t>Gefrees - Einmündung in FGV-WegNr. 64,  FGV-WegNr. 44,  Markierungsabschnitt 1 - 2</t>
  </si>
  <si>
    <t>Gefrees - Bischofsgrün,  FGV-WegNr. 46,  Markierungsabschnitte 1 - 2</t>
  </si>
  <si>
    <t>S1307, blau auf weiß</t>
  </si>
  <si>
    <t>Marktschorgast - Schweinsbach,  FGV-WegNr. 49,  ein Markierungsabschnitt</t>
  </si>
  <si>
    <t xml:space="preserve">Bischofsgrün (Glasermühle) - Warmensteinach, FGV-WegNr. 53,  Markierungsabschnitte 1 - 2 </t>
  </si>
  <si>
    <t>Beginn an Glasermühle oder in Bischofsgrün ??</t>
  </si>
  <si>
    <t>Oberwarmen-steinach</t>
  </si>
  <si>
    <t>Bischofsgrün - Ochsenkopf - Warmensteinach, FGV-WegNr. 54,  Markierungsabschnitte 1 - 2</t>
  </si>
  <si>
    <t>Fleckl - Fichtelnaabquelle,  FGV-WegNr. 52, ein Markierungsabschnitt</t>
  </si>
  <si>
    <t>Warmensteinach - Ochsenkopf, FGV-WegNr. 55,  ein Markierungsabschnitt</t>
  </si>
  <si>
    <t>Goldkronach</t>
  </si>
  <si>
    <t xml:space="preserve">Warmensteinach - Goldmühl/Escherlich, FGV-WegNr. 56,  Markierungsabschnitte 1 - 2 </t>
  </si>
  <si>
    <t>S, schwarz auf gelb</t>
  </si>
  <si>
    <t>Südweg</t>
  </si>
  <si>
    <t>Kulmbach</t>
  </si>
  <si>
    <t>Nordweg (Unterlangenroth) - Wiesau,  FGV-WegNr  4, Markierungsabschnitte 1 - 8</t>
  </si>
  <si>
    <t>9</t>
  </si>
  <si>
    <t>303-01</t>
  </si>
  <si>
    <t xml:space="preserve">RW 1
(Birnstengel)
</t>
  </si>
  <si>
    <t>Rundwanderweg Nr. 1 der Gemeinde Bischofsgrün (Birnstengel)</t>
  </si>
  <si>
    <t>303-02</t>
  </si>
  <si>
    <t>RW 2
(Glaser-mühle)</t>
  </si>
  <si>
    <t>Rundwanderweg Nr. 2 der Gemeinde Bischofsgrün (Glasermühle)</t>
  </si>
  <si>
    <t>3, schwarz auf weiß</t>
  </si>
  <si>
    <t>303-03</t>
  </si>
  <si>
    <t>RW 3
(Wülfers-reuth)</t>
  </si>
  <si>
    <t>Rundwanderweg Nr. 3 der Gemeinde Bischofsgrün (Wülfersreuth)</t>
  </si>
  <si>
    <t>Lehrpfad</t>
  </si>
  <si>
    <t>S1124, rot auf weiß</t>
  </si>
  <si>
    <t>303-12</t>
  </si>
  <si>
    <t xml:space="preserve">Panorama-weg Wülfersreuth
</t>
  </si>
  <si>
    <t xml:space="preserve">Panoramawanderweg "Wülfersreuth", Rundwanderweg der Gemeinde Bischofsgrün </t>
  </si>
  <si>
    <t>S1124, grün auf weiß</t>
  </si>
  <si>
    <t>303-11</t>
  </si>
  <si>
    <t xml:space="preserve">Naturlehrpfad "Oberes Weißmaintal"
</t>
  </si>
  <si>
    <t xml:space="preserve">Naturlehrpfad "Oberes Weißmaintal", Rundwanderweg der Gemeinde Bischofsgrün </t>
  </si>
  <si>
    <t>311-11</t>
  </si>
  <si>
    <t>"Wasser-lebensweg"</t>
  </si>
  <si>
    <t>Rundwanderweg "Wasserlebensweg" der Gemeinde Warmensteinach</t>
  </si>
  <si>
    <t>5, weiß auf dunklem Grund</t>
  </si>
  <si>
    <t>311-05</t>
  </si>
  <si>
    <t>Rundwanderweg Nr. 5 der Gemeinde Warmensteinach</t>
  </si>
  <si>
    <t>311-01</t>
  </si>
  <si>
    <t>Rundwanderweg Nr. 1 der Gemeinde Warmensteinach</t>
  </si>
  <si>
    <t>311-02</t>
  </si>
  <si>
    <t>Rundwanderweg Nr. 2 der Gemeinde Warmensteinach</t>
  </si>
  <si>
    <t>311-03</t>
  </si>
  <si>
    <t>Rundwanderweg Nr. 3 der Gemeinde Warmensteinach</t>
  </si>
  <si>
    <t>311-04</t>
  </si>
  <si>
    <t>Rundwanderweg Nr. 4 der Gemeinde Warmensteinach</t>
  </si>
  <si>
    <t>513-01</t>
  </si>
  <si>
    <t>Rundwanderweg Nr. 1 der Gemeinde Wunsiedel</t>
  </si>
  <si>
    <t>513-02</t>
  </si>
  <si>
    <t>Rundwanderweg Nr. 2 der Gemeinde Wunsiedel</t>
  </si>
  <si>
    <t>513-03</t>
  </si>
  <si>
    <t>Rundwanderweg Nr. 3 der Gemeinde Wunsiedel</t>
  </si>
  <si>
    <t>1, schwarz auf gelb</t>
  </si>
  <si>
    <t>307-01</t>
  </si>
  <si>
    <t>Nemmersdorf</t>
  </si>
  <si>
    <t>Rundwanderweg Nr. 1 der Stadt Goldkronach</t>
  </si>
  <si>
    <t>2, schwarz auf gelb</t>
  </si>
  <si>
    <t>307-02</t>
  </si>
  <si>
    <t>Rundwanderweg Nr. 2 der Stadt Goldkronach</t>
  </si>
  <si>
    <t>4, schwarz auf gelb</t>
  </si>
  <si>
    <t>307-04</t>
  </si>
  <si>
    <t>Rundwanderweg Nr. 4 der Stadt Goldkronach</t>
  </si>
  <si>
    <t>3, schwarz auf gelb</t>
  </si>
  <si>
    <t>307-03</t>
  </si>
  <si>
    <t>Rundwanderweg Nr. 3 der Stadt Goldkronach</t>
  </si>
  <si>
    <t>Tanne, rot auf weiß</t>
  </si>
  <si>
    <t>302-01</t>
  </si>
  <si>
    <t>Thiesenring</t>
  </si>
  <si>
    <t>Rundwanderweg "Thiesenring" der Gemeinde Bad Berneck</t>
  </si>
  <si>
    <t>Themenweg</t>
  </si>
  <si>
    <t>Laubbaum, grün auf weiß</t>
  </si>
  <si>
    <t>302-04</t>
  </si>
  <si>
    <t>Knodentalweg</t>
  </si>
  <si>
    <t>Themenweg "Knodentalweg" der Gemeinde Bad Berneck</t>
  </si>
  <si>
    <t>Laubbaum schlank, grün auf weiß</t>
  </si>
  <si>
    <t>302-02</t>
  </si>
  <si>
    <t>Bärnreuth</t>
  </si>
  <si>
    <t>Rundwanderweg "Bärnreuith"  der Gemeinde Bad Berneck</t>
  </si>
  <si>
    <t>504-01</t>
  </si>
  <si>
    <t>Rundwanderweg Nr. 1 der Gemeinde Gefrees</t>
  </si>
  <si>
    <t>504-02</t>
  </si>
  <si>
    <t>Rundwanderweg Nr. 2 der Gemeinde Gefrees</t>
  </si>
  <si>
    <t>504-03</t>
  </si>
  <si>
    <t>Rundwanderweg Nr. 3 der Gemeinde Gefrees</t>
  </si>
  <si>
    <t>5, schwarz auf gelb</t>
  </si>
  <si>
    <t>307-05</t>
  </si>
  <si>
    <t>Rundwanderweg Nr. 5 der Gemeinde Nemmersdorf</t>
  </si>
  <si>
    <t>Schönwald</t>
  </si>
  <si>
    <t>FGV-WegNr 25 - Ostweg, Wegverlauf siehe FGV-WegNr 28, Markierungsabschnitte 1 -2</t>
  </si>
  <si>
    <t>Rehau - Schönwald,  FGV-WegNr. 20, Markierungsabschnitte 1 - 2</t>
  </si>
  <si>
    <t>Schönwald - Neuhausen,  FGV-WegNr 27, Markierungsabschnitte 1 - 2</t>
  </si>
  <si>
    <t>Schönwald - Vorsuchhütte (Nordweg),  FGV-WegNr 25, ein Markierungsabschnitt</t>
  </si>
  <si>
    <t>Oberkotzau</t>
  </si>
  <si>
    <t>Oberkotzau - Großer Kornberg,  FGV-WegNr.24,  Markierungsabschnitte 1 - 3</t>
  </si>
  <si>
    <t>Rehau - Wurlitz,   FGV-WegNr 33, Markierungsabschnitte 1 - 2</t>
  </si>
  <si>
    <t>Rehau - Ostweg, Wegverlauf siehe FGV-WegNr 94, Markierungsabschnitte 1 -2</t>
  </si>
  <si>
    <t>O, weiß auf rot</t>
  </si>
  <si>
    <t>Ostweg</t>
  </si>
  <si>
    <t>Ostweg, Dreiländereck -Kappl, Wegverlauf siehe FGV-WegNr 6, Markierungsabschnitte 1 - 5</t>
  </si>
  <si>
    <t>4, schwarz auf weiß</t>
  </si>
  <si>
    <t>105-04</t>
  </si>
  <si>
    <t>Rundwanderweg Nr. 4 der Gemeinde Schönwald</t>
  </si>
  <si>
    <t>5, schwarz auf weiß</t>
  </si>
  <si>
    <t>105-05</t>
  </si>
  <si>
    <t>Rundwanderweg Nr. 5 der Gemeinde Schönwald</t>
  </si>
  <si>
    <t>7, schwarz auf weiß</t>
  </si>
  <si>
    <t>105-07</t>
  </si>
  <si>
    <t>Rundwanderweg Nr. 7 der Gemeinde Schönwald</t>
  </si>
  <si>
    <t>1, rot, ohne Hintergrund</t>
  </si>
  <si>
    <t>108-01</t>
  </si>
  <si>
    <t>Rundwanderweg Nr. 1 der Gemeinde Selb-Plößberg</t>
  </si>
  <si>
    <t>107-05</t>
  </si>
  <si>
    <t>Rundwanderweg Nr. 5 der Stadt Selb</t>
  </si>
  <si>
    <t>S1205, blau auf weiß</t>
  </si>
  <si>
    <t>Marktleuthen - Kornberg, FGV-WegNr. 32, ein Markierungsabschnitt 1 - 2</t>
  </si>
  <si>
    <t>Selb - Nordweg, FGV-WegNr. 30, ein Markierungsabschnitte 1 - 2</t>
  </si>
  <si>
    <t>Schönwald - Egerweg,  FGV-WegNr. 26, Markierungsabschnitte 1 - 2</t>
  </si>
  <si>
    <t>2.,0</t>
  </si>
  <si>
    <t>geschwungene Linie blau auf weiß</t>
  </si>
  <si>
    <t>Selbbachweg - Egerweg, Wegeverlauf FGV-WegNr 30a, Markierungsabschnitte 1 - 2</t>
  </si>
  <si>
    <t>b</t>
  </si>
  <si>
    <t>Nordweg - Häusellohe, FGV-WegNr 30b, ein Markierungsabschnitt</t>
  </si>
  <si>
    <t>S1083, blau auf weiß</t>
  </si>
  <si>
    <t>Marktleuthen-Mitterteich,  FGV-WegNr 78, Markierungsabschnitte 1 - 3</t>
  </si>
  <si>
    <t>Marktleuthen - Thierstein, FGV-WegNr. 88, Abshnitte 1 - 2</t>
  </si>
  <si>
    <t>Selb - Leupoldshammer - E3,   FGV-WegNr 79, Markierungsabschnitte 1 - 2</t>
  </si>
  <si>
    <t>S1082, weiß-blau</t>
  </si>
  <si>
    <t>Selb (Wunsiedler Weiher) - Egerweg, FGV-WegNr. 89, ein Abschnitt</t>
  </si>
  <si>
    <t>Arzberg</t>
  </si>
  <si>
    <t>Arzberg - Wellerthal,  FGV-WegNr 81,  Markierungsabschnitte 1 - 2</t>
  </si>
  <si>
    <t>&lt; 200</t>
  </si>
  <si>
    <t>Selb - Egerweg/Hirschsprung, FGV-WegNr. 90, ein Abschnitt</t>
  </si>
  <si>
    <t>Oberwoltersgrün - Steinhäuser, FGV-WegNr. 95, Abschnitte 1 - 2</t>
  </si>
  <si>
    <t>Dünkelhammer - Schletzenmühle,  Markierungsabschnitte 1 - 2</t>
  </si>
  <si>
    <t>Marktredwitz - Kösseine, FGV-WegNr 75, Markierungsabschnitte 1 - 4</t>
  </si>
  <si>
    <t>&lt;100</t>
  </si>
  <si>
    <t>Waldershof</t>
  </si>
  <si>
    <t>Waldershof - Kleinwendern,  FGV-WegNr 91, Markierungsabschnitte 1 - 2</t>
  </si>
  <si>
    <t>Marktredwitz - Kappl,  FGV-WegNr  80, Markierungsabschnitte 1 - 2</t>
  </si>
  <si>
    <t>Hohenberg</t>
  </si>
  <si>
    <t>Hohenberg - Wartberg,  FGV-WegNr  81a, Markierungsabschnitte 1 - 2</t>
  </si>
  <si>
    <t>S????, blau auf weiß
(S1307 horizontal gespiegelt)</t>
  </si>
  <si>
    <t>Arzberg - Wartberg,  FGV-WegNr 82, Markierungsabschnitte 1 - 3</t>
  </si>
  <si>
    <t>Brand b. Marktredwitz - St2176 (Parkplatz Lindenberg), FGV-WegNr 85, ein Markierungsabschnitt</t>
  </si>
  <si>
    <t>Arzberg - Kappl, WegNr 83, ein Markierungsabschnitt</t>
  </si>
  <si>
    <t>Parkplatz St2171/Lindenberg - Kappl,  FGV-WegNr 84, ein Markierungsabschnitt</t>
  </si>
  <si>
    <t>Arzberg - (Röslauweg) - Ruhberg, FGV-WegNr. 86, ein Abshnitt</t>
  </si>
  <si>
    <t>Schirnding - Preußenstein,  FGV-WegNr  87,  ein Markierungsabschnitt</t>
  </si>
  <si>
    <t>S1082,blau auf weiß</t>
  </si>
  <si>
    <t>Pullenreuth</t>
  </si>
  <si>
    <t>Pullenreuth -Marktredwitzer Haus, Wegverlauf siehe FGV-WegNr 120, Markierungsabschnitte 1 - 2, ab MAK-Haus aufgelöst</t>
  </si>
  <si>
    <t>Rodenzenreuth - Kleinwendern, Wegeverlauf sehe FGV-WegNr 73, Markierungsabschnitte 1 - 2</t>
  </si>
  <si>
    <t>S1080, blau auf weiß</t>
  </si>
  <si>
    <t>Marktredwitz - Saubadfelsen,  FGV WegNr 121,  Markierungsabschnitte 1 - 3 (Abschnitt 3 OWV)</t>
  </si>
  <si>
    <t>Abweichung = Abschnitt OWV</t>
  </si>
  <si>
    <t>Pullenreuth - Steinwald (Einmündung OWV 16208), Wegverlauf siehe FGV-WegNr 123, ein Markierungsab schnitt</t>
  </si>
  <si>
    <t>Pullenreuth - Waldhaus, Wegverlauf siehe FGV-WegNr 122, ein Markierungsab schnitt</t>
  </si>
  <si>
    <t>Kemnath</t>
  </si>
  <si>
    <t>Kemnath - Girgelhöhle,  FGV-WegNr 68, Markierungsabschnitte 1 - 3</t>
  </si>
  <si>
    <t>S1079_blau auf weiß</t>
  </si>
  <si>
    <t>c</t>
  </si>
  <si>
    <t>Brand i.d. Opf.</t>
  </si>
  <si>
    <t>Seenweg - Quellenweg,  FGV-WegNr. 70c, ein Markierungsabschnitt</t>
  </si>
  <si>
    <t>Brand - Einmündung Frä nkischer Gebirgsweg (GV-WegNr 500 / 011739), Markierungsabschnitte 1-2</t>
  </si>
  <si>
    <t>Neusorg</t>
  </si>
  <si>
    <t>Neusorg - Armesberg, WegNr 96, Markierungsabschnitte 1 - 2</t>
  </si>
  <si>
    <t>0.898</t>
  </si>
  <si>
    <t>S1209, weiß auf blau</t>
  </si>
  <si>
    <t>Fichtelgebirge-Südrandweg</t>
  </si>
  <si>
    <t>Weidenberg</t>
  </si>
  <si>
    <t>Fichtelgebirge Südrandweg, (Verbindung Mittelweg - Südweg),  FGV-WegNr. 105, Markierungsabschnitte 1 - 2</t>
  </si>
  <si>
    <t>Seybothenreuth - Fichtelgebirge-Südrandweg,  FGV-WegNr  106, ein Markierungsabschnitt</t>
  </si>
  <si>
    <t>Tauritzmühle - Köningskron - Einmündung in Südweg,  FGV-WegNr. 61, Markierungsabschnitte 1 - 2</t>
  </si>
  <si>
    <t>Weidenberg - Mittelweg,  FGV-WegNr. 57, ein Markierungsabschnitt</t>
  </si>
  <si>
    <t>Ringweg
Warmen-steinch</t>
  </si>
  <si>
    <t>Ringweg Warmensteinach,  FGV-WegNr  202, ein Markierungsabschnitt</t>
  </si>
  <si>
    <t>Westweg - Einmündung Weg 61 (LVG-ID 3472),  FGV-WegNr 61a, ein Markierungsabschnitt</t>
  </si>
  <si>
    <t>Weidenberg - Königskron,  FGV-WegNr 59, ein Markierungsabschnitt</t>
  </si>
  <si>
    <t>Bad Berneck - Prinz-Rupprecht-Turm - Einmündung Nordweg,  FGV-WegNr. 98, Markierungsabschnitte 1 - 2</t>
  </si>
  <si>
    <t>y 100</t>
  </si>
  <si>
    <t>S1316 mit "M", rot auf weiß</t>
  </si>
  <si>
    <t>Maintäler-Verbindungs-weg</t>
  </si>
  <si>
    <t>Querverbindung zwischen Rotmain-Wanderweg, Main-Wanderweg und Nordweg, ein Markierungsabschn itt</t>
  </si>
  <si>
    <t>M, rot auf weiß</t>
  </si>
  <si>
    <t>Rotmain-Wanderweg</t>
  </si>
  <si>
    <t>Rotmain-Ursprung - Mainzusammenfluss,  FGV-WegNr  16, Markierungsabschnitte 1 - 2</t>
  </si>
  <si>
    <t>Marktredwitzer Haus - Hackelplatz, FGV-WegNr. 134, 2 Markierungsabschnitte, Abschnitt 2 durch OWV</t>
  </si>
  <si>
    <t>17!</t>
  </si>
  <si>
    <t>99!</t>
  </si>
  <si>
    <t>1!</t>
  </si>
  <si>
    <t>0!</t>
  </si>
  <si>
    <t>! = gesamter Weg</t>
  </si>
  <si>
    <t>406-04</t>
  </si>
  <si>
    <t>Rundwanderweg Nr. 4 der Gemeinde Schwarzenbach</t>
  </si>
  <si>
    <t>Jean-Paul-Portrait</t>
  </si>
  <si>
    <t>Jean-Paul-Weg</t>
  </si>
  <si>
    <t>Joditz - durchs Fichelgebirge - Bayreuth - Sanspareil,  FGV-WegNr. 600, wird nur teilweise vom FGV markiert, Markierungsabschnitte 1 - 13</t>
  </si>
  <si>
    <t>Wasser-scheidenweg</t>
  </si>
  <si>
    <t>Übernahme vom FWV Dreschersreuth - Kleinlosnitz (Bauernhofmuseum), FGV-WegNr 19, ein Markierungsabschnitt</t>
  </si>
  <si>
    <t xml:space="preserve">1, weiß auf blau </t>
  </si>
  <si>
    <t>310-06</t>
  </si>
  <si>
    <t>RW 6
(Gabellohe-weg)</t>
  </si>
  <si>
    <t>Rundwanderweg Nr. 6 der Gemeinde Speichersdorf (ehem. Immenreuth)</t>
  </si>
  <si>
    <t>310-02</t>
  </si>
  <si>
    <t>Rundwanderweg Nr. 2 der Gemeinde Speichersdorf</t>
  </si>
  <si>
    <t xml:space="preserve">5, weiß auf blau </t>
  </si>
  <si>
    <t>310-05</t>
  </si>
  <si>
    <t>Rundwanderweg Nr. 5 der Gemeinde Speichersdorf</t>
  </si>
  <si>
    <t xml:space="preserve">4, weiß auf blau </t>
  </si>
  <si>
    <t>310-04</t>
  </si>
  <si>
    <r>
      <rPr>
        <i/>
        <sz val="8"/>
        <rFont val="Arial"/>
        <family val="2"/>
      </rPr>
      <t xml:space="preserve">Speichersdorf (3):
</t>
    </r>
    <r>
      <rPr>
        <b/>
        <sz val="8"/>
        <rFont val="Arial"/>
        <family val="2"/>
      </rPr>
      <t xml:space="preserve">Parkplatz nahe St 2184 (Gasthaus Hammerwald) </t>
    </r>
    <r>
      <rPr>
        <sz val="8"/>
        <rFont val="Arial"/>
        <family val="2"/>
      </rPr>
      <t xml:space="preserve">- durch WA Herrenholz - Höhe 527,5 - entlang Kalenderberg - Eichschlag - WA Birker Pfarrwald - Querung Rinnleinsbrunnen - Höhe 483 - WA Lainbachholz - Höhe 502 - </t>
    </r>
    <r>
      <rPr>
        <b/>
        <sz val="8"/>
        <rFont val="Arial"/>
        <family val="2"/>
      </rPr>
      <t xml:space="preserve">Ausgangspunkt
</t>
    </r>
  </si>
  <si>
    <t>Rundwanderweg Nr. 4 der Gemeinde Speichersdorf</t>
  </si>
  <si>
    <t>310-01</t>
  </si>
  <si>
    <t>Rundwanderweg Nr. 1 der Gemeinde Speichersdorf</t>
  </si>
  <si>
    <t xml:space="preserve">3, weiß auf blau </t>
  </si>
  <si>
    <t>310-03</t>
  </si>
  <si>
    <t>Rundwanderweg Nr. 3 der Gemeinde Speichersdorf</t>
  </si>
  <si>
    <t xml:space="preserve">4, weiß auf schwarz </t>
  </si>
  <si>
    <t>312-04</t>
  </si>
  <si>
    <t>Rundwanderweg Nr. 4 der Gemeinde Weidenberg</t>
  </si>
  <si>
    <t xml:space="preserve">1, weiß auf schwarz </t>
  </si>
  <si>
    <t>312-11</t>
  </si>
  <si>
    <t>RW 1
(Sophienthal)</t>
  </si>
  <si>
    <t>Rundwanderweg Nr. 1  (Sophienthal) der Gemeinde Weidenberg</t>
  </si>
  <si>
    <t xml:space="preserve">2, weiß auf schwarz </t>
  </si>
  <si>
    <t>312-12</t>
  </si>
  <si>
    <t>RW 2
(Sophienthal)</t>
  </si>
  <si>
    <t>Rundwanderweg Nr. 2  (Sophienthal) der Gemeinde Weidenberg</t>
  </si>
  <si>
    <t xml:space="preserve">3, weiß auf schwarz </t>
  </si>
  <si>
    <t>312-13</t>
  </si>
  <si>
    <t>RW 3
(Sophienthal)</t>
  </si>
  <si>
    <t>Rundwanderweg Nr. 3  (Sophienthal) der Gemeinde Weidenberg</t>
  </si>
  <si>
    <t xml:space="preserve">5, weiß auf schwarz </t>
  </si>
  <si>
    <t>312-15</t>
  </si>
  <si>
    <t>RW 5
(Sophienthal)</t>
  </si>
  <si>
    <t>Rundwanderweg Nr. 5  (Sophienthal) der Gemeinde Weidenberg</t>
  </si>
  <si>
    <t xml:space="preserve">6, weiß auf schwarz </t>
  </si>
  <si>
    <t>312-16</t>
  </si>
  <si>
    <t>RW 6
(Sophienthal)</t>
  </si>
  <si>
    <t>Rundwanderweg Nr. 6  (Sophienthal) der Gemeinde Weidenberg</t>
  </si>
  <si>
    <t>6, weiß auf dunklem Grund</t>
  </si>
  <si>
    <t>311-06</t>
  </si>
  <si>
    <t>Rundwanderweg Nr. 6 der Gemeinde Warmensteinach</t>
  </si>
  <si>
    <t>7, weiß auf dunklem Grund</t>
  </si>
  <si>
    <t>311-07</t>
  </si>
  <si>
    <t>Rundwanderweg Nr. 7 der Gemeinde Warmensteinach</t>
  </si>
  <si>
    <t>8, weiß auf dunklem Grund</t>
  </si>
  <si>
    <t>311-08</t>
  </si>
  <si>
    <t>Rundwanderweg Nr. 8 der Gemeinde Warmensteinach</t>
  </si>
  <si>
    <t>9, weiß auf dunklem Grund</t>
  </si>
  <si>
    <t>311-09</t>
  </si>
  <si>
    <t>Rundwanderweg Nr. 9 der Gemeinde Warmensteinach</t>
  </si>
  <si>
    <t>10, weiß auf dunklem Grund</t>
  </si>
  <si>
    <t>311-10</t>
  </si>
  <si>
    <t>Rundwanderweg Nr. 10 der Gemeinde Warmensteinach</t>
  </si>
  <si>
    <t>1, blau auf weiß</t>
  </si>
  <si>
    <t>306-01</t>
  </si>
  <si>
    <t>RW 1
(Brunnen-weg)</t>
  </si>
  <si>
    <t>Rundwanderweg Nr. 1 der Gemeinde Mehlmeisel (Brunnenweg)</t>
  </si>
  <si>
    <t>Wegverlauf Gesundheitsbrunnen klären!</t>
  </si>
  <si>
    <t>6, schwarz auf gelb</t>
  </si>
  <si>
    <t>307-06</t>
  </si>
  <si>
    <t>Rundwanderweg Nr. 6 der Gemeinde Nemmersdorf</t>
  </si>
  <si>
    <t>4, blau auf weiß</t>
  </si>
  <si>
    <t>306-04</t>
  </si>
  <si>
    <t>RW 4
(Jägersteig)</t>
  </si>
  <si>
    <t>Rundwanderweg Nr. 4 der Gemeinde Mehlmeisel (Jägersteig)</t>
  </si>
  <si>
    <t>S1120, weiß-rot</t>
  </si>
  <si>
    <t>Steinwald-weg</t>
  </si>
  <si>
    <t>Kösseinegipfel - Steinwald - Großbüchlberg - Waldsassen,  FGV-WegNr 7, Markierungsabschnitte 1 - 6</t>
  </si>
  <si>
    <t>&lt; 0,100</t>
  </si>
  <si>
    <t>Notenschlüssel, schwarz auf weiß</t>
  </si>
  <si>
    <t>206-10</t>
  </si>
  <si>
    <t>Max-Reger-Weg</t>
  </si>
  <si>
    <t>Max-Reger-Weg, "Komponistenweg", Rundwanderweg der Gemeinde Brand, siehe FGV-WegNr. 20610, ein Markierungsabschnitt</t>
  </si>
  <si>
    <t>Trompete, gelb auf weiß</t>
  </si>
  <si>
    <t>306-06</t>
  </si>
  <si>
    <t>Echoweg
(RW 6 alt)</t>
  </si>
  <si>
    <t>Echoweg, Rundwanderweg der Gemeinde Mehlmeisel (RW 6 alt)</t>
  </si>
  <si>
    <t>3, blau auf weiß</t>
  </si>
  <si>
    <t>306-03</t>
  </si>
  <si>
    <t>RW 3
(Naabweg)</t>
  </si>
  <si>
    <t>Rundwanderweg Nr. 3 der Gemeinde Mehlmeisel (Naabweg)</t>
  </si>
  <si>
    <t>206-06</t>
  </si>
  <si>
    <t xml:space="preserve">Rundwanderweg Nr. 6 der Gemeinde Brand/Opf. </t>
  </si>
  <si>
    <t>7, schwarz auf gelb</t>
  </si>
  <si>
    <t>206-07</t>
  </si>
  <si>
    <t xml:space="preserve">Rundwanderweg Nr. 7 der Gemeinde Brand/Opf. </t>
  </si>
  <si>
    <t>Wolf, schwarz auf gelb</t>
  </si>
  <si>
    <t>306-05</t>
  </si>
  <si>
    <t>Wolfsäulen-weg
(RW 5 alt)</t>
  </si>
  <si>
    <t>Wolfsäulenweg, Rundwanderweg der Gemeinde Mehlmeisel (RW 5 alt)</t>
  </si>
  <si>
    <t>Marterl, schwarz auf weiß</t>
  </si>
  <si>
    <t>306-07</t>
  </si>
  <si>
    <t>Marterlweg
(RW 7 alt)</t>
  </si>
  <si>
    <t>Marterlweg, Rundwanderweg der Gemeinde Mehlmeisel (RW 7 alt))</t>
  </si>
  <si>
    <t>310-07</t>
  </si>
  <si>
    <t>RW 7
(Tannenberg-weg)</t>
  </si>
  <si>
    <t>Rundwanderweg Nr. 7 der Gemeinde Speichersdorf (ehem. Immenreuth)</t>
  </si>
  <si>
    <t>310-08</t>
  </si>
  <si>
    <t>RW 3
(Flötztalweg)</t>
  </si>
  <si>
    <t>201-01</t>
  </si>
  <si>
    <t>Rundwanderweg Nr. 1 der Gemeinde Ebnath</t>
  </si>
  <si>
    <t>201-02</t>
  </si>
  <si>
    <t>Rundwanderweg Nr. 2 der Gemeinde Ebnath</t>
  </si>
  <si>
    <t>201-03</t>
  </si>
  <si>
    <t>Rundwanderweg Nr. 3 der Gemeinde Ebnath</t>
  </si>
  <si>
    <t>Rundwanderweg Nr. 4 der Gemeinde Ebnath</t>
  </si>
  <si>
    <t>2, blau auf weiß</t>
  </si>
  <si>
    <t>205-02</t>
  </si>
  <si>
    <t>Rundwanderweg Nr. 2 der Gemeinde Neusorg</t>
  </si>
  <si>
    <t>205-03</t>
  </si>
  <si>
    <t>Rundwanderweg Nr. 3 der Gemeinde Neusorg</t>
  </si>
  <si>
    <t>205-01</t>
  </si>
  <si>
    <t>Rundwanderweg Nr. 1 der Gemeinde Neusorg</t>
  </si>
  <si>
    <t>306-02</t>
  </si>
  <si>
    <t>RW 2
(Flötztalweg)</t>
  </si>
  <si>
    <t>Rundwanderweg Nr. 2 der Gemeinde Mehlmeisel (Flötztalweg)</t>
  </si>
  <si>
    <t>312-14</t>
  </si>
  <si>
    <t>RW 4
(Sophienthal)</t>
  </si>
  <si>
    <t>Rundwanderweg Nr. 4  (Sophienthal) der Gemeinde Weidenberg</t>
  </si>
  <si>
    <t>Neusorg - Pullenreuth,  FGV-WegNr  130,  Markierungsabschnitte 1 - 2</t>
  </si>
  <si>
    <t>406-03</t>
  </si>
  <si>
    <t>Rundwanderweg Nr. 3 der Gemeinde Schwarzenbach</t>
  </si>
  <si>
    <t>406-01</t>
  </si>
  <si>
    <t>Rundwanderweg Nr. 1 der Gemeinde Schwarzenbach</t>
  </si>
  <si>
    <t>406-02</t>
  </si>
  <si>
    <t>Rundwanderweg Nr. 2 der Gemeinde Schwarzenbach</t>
  </si>
  <si>
    <t>405-04</t>
  </si>
  <si>
    <t>Rundwanderweg Nr. 4 der Gemeinde Rehau</t>
  </si>
  <si>
    <t>105-02</t>
  </si>
  <si>
    <t>Rundwanderweg Nr. 2 der Gemeinde Schönwald</t>
  </si>
  <si>
    <t>105-03</t>
  </si>
  <si>
    <t>Rundwanderweg Nr. 3 der Gemeinde Schönwald</t>
  </si>
  <si>
    <t>2, weiß auf grün</t>
  </si>
  <si>
    <t>507-02</t>
  </si>
  <si>
    <t>Rundwanderweg Nr. 2  der Gemeinde Marktleuthen</t>
  </si>
  <si>
    <t>3, weiß auf grün</t>
  </si>
  <si>
    <t>507-03</t>
  </si>
  <si>
    <t>Rundwanderweg Nr. 3  der Gemeinde Marktleuthen</t>
  </si>
  <si>
    <t>5, weiß auf grün</t>
  </si>
  <si>
    <t>507-04</t>
  </si>
  <si>
    <t>Rundwanderweg Nr. 4  der Gemeinde Marktleuthen</t>
  </si>
  <si>
    <t>507-05</t>
  </si>
  <si>
    <t>Rundwanderweg Nr. 5  der Gemeinde Marktleuthen</t>
  </si>
  <si>
    <t>110-03</t>
  </si>
  <si>
    <t>Rundwanderweg Nr. 3 der GemeindeThierstein</t>
  </si>
  <si>
    <t>105-01</t>
  </si>
  <si>
    <t>Rundwanderweg Nr. 1 der Gemeinde Schönwald</t>
  </si>
  <si>
    <t>107-06</t>
  </si>
  <si>
    <t>Rundwanderweg Nr. 6 der Stadt Selb ("Stadtrundweg")</t>
  </si>
  <si>
    <t>107-04</t>
  </si>
  <si>
    <t xml:space="preserve">Rundwanderweg Nr. 4 der Stadt Selb </t>
  </si>
  <si>
    <t>1, weiß auf grün</t>
  </si>
  <si>
    <t>110-01</t>
  </si>
  <si>
    <t>Rundwanderweg Nr. 1 der GemeindeThierstein</t>
  </si>
  <si>
    <t>110-02</t>
  </si>
  <si>
    <t>Rundwanderweg Nr. 2 der GemeindeThierstein</t>
  </si>
  <si>
    <t>109-04</t>
  </si>
  <si>
    <t>Thiersheim</t>
  </si>
  <si>
    <t>Rundwanderweg Nr. 4 der Gemeinde Thiersheim</t>
  </si>
  <si>
    <t>107-02</t>
  </si>
  <si>
    <t xml:space="preserve">Rundwanderweg Nr. 2 der Stadt Selb </t>
  </si>
  <si>
    <t>107-03</t>
  </si>
  <si>
    <t xml:space="preserve">Rundwanderweg Nr. 3 der Stadt Selb </t>
  </si>
  <si>
    <t>111-05</t>
  </si>
  <si>
    <t>Rundwanderweg Nr. 5 der  Gemeinde Hohenberg</t>
  </si>
  <si>
    <t>111-07</t>
  </si>
  <si>
    <t>Rundwanderweg Nr. 7 der  Gemeinde Hohenberg</t>
  </si>
  <si>
    <t>8, schwarz auf gelb</t>
  </si>
  <si>
    <t>107-08</t>
  </si>
  <si>
    <t xml:space="preserve">Rundwanderweg Nr. 8 der Stadt Selb, Stichweg Egergrund </t>
  </si>
  <si>
    <t>111-03</t>
  </si>
  <si>
    <t>Rundwanderweg Nr. 3 der  Gemeinde Hohenberg</t>
  </si>
  <si>
    <t>405-01</t>
  </si>
  <si>
    <t>Rundwanderweg Nr. 1 der Gemeinde Rehau</t>
  </si>
  <si>
    <t>405-02</t>
  </si>
  <si>
    <t>Rundwanderweg Nr. 2 der Gemeinde Rehau</t>
  </si>
  <si>
    <t>405-03</t>
  </si>
  <si>
    <t>Rundwanderweg Nr. 3 der Gemeinde Rehau</t>
  </si>
  <si>
    <t>109-03</t>
  </si>
  <si>
    <t>Rundwanderweg Nr. 3 der Gemeinde Thiersheim</t>
  </si>
  <si>
    <t>109-02</t>
  </si>
  <si>
    <t>Rundwanderweg Nr. 2 der Gemeinde Thiersheim</t>
  </si>
  <si>
    <t>109-01</t>
  </si>
  <si>
    <t>Rundwanderweg Nr. 1 der Gemeinde Thiersheim</t>
  </si>
  <si>
    <t>5. weiß auf grün</t>
  </si>
  <si>
    <t>101-05</t>
  </si>
  <si>
    <t>Rundwanderweg Nr. 5 der Gemeinde Arzberg</t>
  </si>
  <si>
    <t>509-02</t>
  </si>
  <si>
    <t>Rundwanderweg Nr. 2 der Gemeinde Röslau</t>
  </si>
  <si>
    <t>501-05</t>
  </si>
  <si>
    <t>Rundwanderweg Nr. 5 der Gemeinde Bad Alexandersbad</t>
  </si>
  <si>
    <t>501-03</t>
  </si>
  <si>
    <t>Rundwanderweg Nr. 3 der Gemeinde Bad Alexandersbad</t>
  </si>
  <si>
    <t>501-01</t>
  </si>
  <si>
    <t>Rundwanderweg Nr. 1 der Gemeinde Bad Alexandersbad</t>
  </si>
  <si>
    <t>501-02</t>
  </si>
  <si>
    <t>Rundwanderweg Nr. 2 der Gemeinde Bad Alexandersbad</t>
  </si>
  <si>
    <t>501-04</t>
  </si>
  <si>
    <t>Rundwanderweg Nr. 4 der Gemeinde Bad Alexandersbad</t>
  </si>
  <si>
    <t>2, weiß auf rot</t>
  </si>
  <si>
    <t>203-02</t>
  </si>
  <si>
    <t>Rundwanderweg Nr. 2 der Gemeinde Marktredwitz</t>
  </si>
  <si>
    <t>3, weiß auf rot</t>
  </si>
  <si>
    <t>203-03</t>
  </si>
  <si>
    <t>Rundwanderweg Nr. 3 der Gemeinde Marktredwitz</t>
  </si>
  <si>
    <t>4, weiß auf rot</t>
  </si>
  <si>
    <t>203-04</t>
  </si>
  <si>
    <t>Rundwanderweg Nr. 4 der Gemeinde Marktredwitz</t>
  </si>
  <si>
    <t>6, weiß auf rot</t>
  </si>
  <si>
    <t>203-06</t>
  </si>
  <si>
    <t>Rundwanderweg Nr. 6 der Gemeinde Marktredwitz</t>
  </si>
  <si>
    <t>107-07</t>
  </si>
  <si>
    <t>RW 7
"Bankerlweg"</t>
  </si>
  <si>
    <t>Rundwanderweg 7 "Bankerlweg" der Gemeinde Selb</t>
  </si>
  <si>
    <t>2, rot, ohne Hintergrund</t>
  </si>
  <si>
    <t>108-02</t>
  </si>
  <si>
    <t>Rundwanderweg Nr. 2 der Gemeinde Selb-Plößberg</t>
  </si>
  <si>
    <t>107-01</t>
  </si>
  <si>
    <t>Rundwanderweg Nr. 1 der Stadt Selb (Silberbach)</t>
  </si>
  <si>
    <t>111-01</t>
  </si>
  <si>
    <t>Rundwanderweg Nr. 1 der Gemeinde Hohenberg</t>
  </si>
  <si>
    <t>111-02</t>
  </si>
  <si>
    <t>Rundwanderweg Nr. 2 der Gemeinde Hohenberg</t>
  </si>
  <si>
    <t>4, weiß auf grün</t>
  </si>
  <si>
    <t>111-04</t>
  </si>
  <si>
    <t>Rundwanderweg Nr. 4 der Gemeinde Hohenberg</t>
  </si>
  <si>
    <t>6. weiß auf grün</t>
  </si>
  <si>
    <t>101-06</t>
  </si>
  <si>
    <t>Rundwanderweg Nr. 6 der Gemeinde Arzberg</t>
  </si>
  <si>
    <t>1. weiß auf grün</t>
  </si>
  <si>
    <t>101-01</t>
  </si>
  <si>
    <t>Rundwanderweg Nr. 1 der Gemeinde Arzberg</t>
  </si>
  <si>
    <t>3. weiß auf grün</t>
  </si>
  <si>
    <t>101-03</t>
  </si>
  <si>
    <t>Rundwanderweg Nr. 3 der Gemeinde Arzberg</t>
  </si>
  <si>
    <t>2. weiß auf grün</t>
  </si>
  <si>
    <t>101-02</t>
  </si>
  <si>
    <t>Rundwanderweg Nr. 2 der Gemeinde Arzberg</t>
  </si>
  <si>
    <t>4. weiß auf grün</t>
  </si>
  <si>
    <t>101-04</t>
  </si>
  <si>
    <t>Rundwanderweg Nr. 4 der Gemeinde Arzberg</t>
  </si>
  <si>
    <t>Ruine Weißenstein - Hackelstein, FGV-WegNr. 133, 2 Markierungsabschnitte, Abschnitt 2 durch OWV</t>
  </si>
  <si>
    <t>5, weiß auf rot</t>
  </si>
  <si>
    <t>203-05</t>
  </si>
  <si>
    <t>Rundwanderweg Nr. 5 der Gemeinde Marktredwitz</t>
  </si>
  <si>
    <t>209-01</t>
  </si>
  <si>
    <t>Rundwanderweg Nr. 1 der Gemeinde Waldershof</t>
  </si>
  <si>
    <t>209-02</t>
  </si>
  <si>
    <t>Rundwanderweg Nr. 2 der Gemeinde Waldershof</t>
  </si>
  <si>
    <t>209-03</t>
  </si>
  <si>
    <t>Rundwanderweg Nr. 3 der Gemeinde Waldershof</t>
  </si>
  <si>
    <t>Waldershof - Kössain, WegNr 131, ein Markierungsabschnitt</t>
  </si>
  <si>
    <t>312-03</t>
  </si>
  <si>
    <t>Rundwanderweg Nr. 3 der Gemeinde Weidenberg</t>
  </si>
  <si>
    <t>312-02</t>
  </si>
  <si>
    <t>Rundwanderweg Nr. 2 der Gemeinde Weidenberg</t>
  </si>
  <si>
    <t>312-01</t>
  </si>
  <si>
    <t xml:space="preserve">RW 1
</t>
  </si>
  <si>
    <t>Rundwanderweg Nr. 1 der Gemeinde Weidenberg</t>
  </si>
  <si>
    <t>Europäisches Muschelsymbol</t>
  </si>
  <si>
    <t>Oberfrän-kischer Jakobsweg</t>
  </si>
  <si>
    <t>Oberrfränkischer Jakobsweg Hof - Nürnberg,  FGV-WegNr 610, wird nur teilweise vom FGV markiert, Markierungsabschnitt A0X</t>
  </si>
  <si>
    <t>37!</t>
  </si>
  <si>
    <t>94!</t>
  </si>
  <si>
    <t>6!</t>
  </si>
  <si>
    <t>404-01</t>
  </si>
  <si>
    <t>Rundwanderweg Nr. 1 der Gemeinde Oberkotzau</t>
  </si>
  <si>
    <t>stilisierter Gebirgszug weiß auf rot</t>
  </si>
  <si>
    <t>Fränkischer Gebirgsweg</t>
  </si>
  <si>
    <t>Übernahme vom FWV in Münchberg / Übergabe an FSV am Wechselstein,  FGV-WegNr 500, Markierungsabschnitte 01 - 30</t>
  </si>
  <si>
    <t>Anteile FGV, ebenso %-Anteil Asphalt, Berechnung mit Formel in Spalte AA</t>
  </si>
  <si>
    <t>8, schwarz auf weiß</t>
  </si>
  <si>
    <t>105-08</t>
  </si>
  <si>
    <t>Rundwanderweg Nr. 8 der Gemeinde Schönwald</t>
  </si>
  <si>
    <t>9, schwarz auf weiß</t>
  </si>
  <si>
    <t>105-09</t>
  </si>
  <si>
    <t>Rundwanderweg Nr. 9 der Gemeinde Schönwald</t>
  </si>
  <si>
    <t>stilisierter Gebirgszug rot auf weiß</t>
  </si>
  <si>
    <t>Anschluss-weg-FGW</t>
  </si>
  <si>
    <t>Zuweg zum Fränkischen Gebirgsweg von Goldkronach</t>
  </si>
  <si>
    <t>Zuweg zum Fränkischen Gebirgsweg von Bad Berneck</t>
  </si>
  <si>
    <t>Zuwege zum Fränkischen Gebirgsweg von  Waldershof, FGV-WegNr 501a &amp; 501b</t>
  </si>
  <si>
    <t>Zuweg zum Fränkischen Gebirgsweg von Bad Alexandersbad</t>
  </si>
  <si>
    <t>Zuweg zum Fränkischen Gebirgsweg von Thiersheim</t>
  </si>
  <si>
    <t>Zuwege zum Fränkischen Gebirgsweg von Neusorg</t>
  </si>
  <si>
    <t>Zuwege zum Fränkischen Gebirgsweg von Tröstau</t>
  </si>
  <si>
    <t>Zuweg zum Fränkischen Gebirgsweg von Ebnath</t>
  </si>
  <si>
    <t>Zuweg zum Fränkischen Gebirgsweg von Brand</t>
  </si>
  <si>
    <t>Zuwege zum Fränkischen Gebirgsweg von Hohenberg,   FGV-WegNr 513a &amp; 513b mit Markierungsabschnitten 1 - 3</t>
  </si>
  <si>
    <t>Zuweg zum Fränkischen Gebirgsweg von Marktleuthen</t>
  </si>
  <si>
    <t>2009/01, 02</t>
  </si>
  <si>
    <t>Zuwege zum Fränkischen Gebirgsweg von Selb, FGV-WegNr 511a &amp; 511b</t>
  </si>
  <si>
    <t>Zuweg zum Fränkischen Gebirgsweg von Thierstein</t>
  </si>
  <si>
    <t>Zuweg zum Fränkischen Gebirgsweg von Schwarzenbach</t>
  </si>
  <si>
    <t>Zuweg zum Fränkischen Gebirgsweg von Nemmersdorf</t>
  </si>
  <si>
    <t>510-01</t>
  </si>
  <si>
    <t xml:space="preserve">Förster-Herrmann-Natur- und Erlebnisweg
</t>
  </si>
  <si>
    <t>Förster-Herrmann-Natur- und Erlebnisweg Tröstau</t>
  </si>
  <si>
    <t>Zuweg zum Fränkischen Gebirgsweg von Vordorf</t>
  </si>
  <si>
    <t>507-01</t>
  </si>
  <si>
    <t>Rundwanderweg Nr. 1  der Gemeinde Marktleuthen</t>
  </si>
  <si>
    <t>6, schwarz auf weiß</t>
  </si>
  <si>
    <t>105-06</t>
  </si>
  <si>
    <t>Rundwanderweg Nr. 6 der Gemeinde Schönwald</t>
  </si>
  <si>
    <t>9, schwarz auf gelb</t>
  </si>
  <si>
    <t>107-09</t>
  </si>
  <si>
    <t>Rundwanderweg Nr. 9 der Stadt Selb</t>
  </si>
  <si>
    <t>1, weiß auf rot</t>
  </si>
  <si>
    <t>203-01</t>
  </si>
  <si>
    <t>Rundwanderweg Nr. 1 der Gemeinde Marktredwitz</t>
  </si>
  <si>
    <t>7, weiß auf rot</t>
  </si>
  <si>
    <t>203-07</t>
  </si>
  <si>
    <t>Rundwanderweg Nr. 7 der Gemeinde Marktredwitz</t>
  </si>
  <si>
    <t>5, blau auf weiß</t>
  </si>
  <si>
    <t>109-05</t>
  </si>
  <si>
    <t>Rundwanderweg Nr. 5 der Gemeinde Thiersheim</t>
  </si>
  <si>
    <t>104-01</t>
  </si>
  <si>
    <t>Rundwanderweg Nr. 1 der Gemeinde Schirnding</t>
  </si>
  <si>
    <t>104-03</t>
  </si>
  <si>
    <t>Rundwanderweg Nr. 3 der Gemeinde Schirnding</t>
  </si>
  <si>
    <t>408-01</t>
  </si>
  <si>
    <t>Humboldtweg</t>
  </si>
  <si>
    <t>Qualitätstour</t>
  </si>
  <si>
    <t>Glaswanderweg</t>
  </si>
  <si>
    <t>Glaswanderweg (Weidenberg - Bischofsgrün), FGV-WegNr 133, vier Markierungsabschnitte</t>
  </si>
  <si>
    <t>in der Neuaufnahme 2021</t>
  </si>
  <si>
    <t>S1077, grün auf weiß</t>
  </si>
  <si>
    <t>310-10</t>
  </si>
  <si>
    <t xml:space="preserve">Naturlehrpfad
Tauritzmühle </t>
  </si>
  <si>
    <t xml:space="preserve">Naturlehrpfad Tauritzmühle, Rundwanderweg der GemeindeSpeichersdorf
</t>
  </si>
  <si>
    <t>501-07</t>
  </si>
  <si>
    <t>RW 7
"Bisonrunde"</t>
  </si>
  <si>
    <t>Rundwanderweg Nr. 7 der Gemeinde Bad Alexandersbad</t>
  </si>
  <si>
    <t>204-01</t>
  </si>
  <si>
    <t>Das Teutsche Paradeiß
(Hauptweg)</t>
  </si>
  <si>
    <t>Nagel</t>
  </si>
  <si>
    <t>Das Teutsche Paradeiß, Rundwanderweg der Gemeinde Nagel, Hauptweg</t>
  </si>
  <si>
    <t>S1124, grün auf gelb</t>
  </si>
  <si>
    <t>204-04</t>
  </si>
  <si>
    <t>Das Teutsche Paradeiß
(Landschaft aus Men-schenhand)</t>
  </si>
  <si>
    <t>Das Teutsche Paradeiß, Rundwanderweg der Gemeinde Nagel, Themenweg "Landschaft aus Menschenhand"</t>
  </si>
  <si>
    <t>Wanderweg 72a - Einmündung Höhenweg,  FGV-WegNr 72c, ein Markierungsabschnitt</t>
  </si>
  <si>
    <t>S1124, grün auf blau</t>
  </si>
  <si>
    <t>204-03</t>
  </si>
  <si>
    <t>Das Teutsche Paradeiß
(Tieren auf der Spur)</t>
  </si>
  <si>
    <t>Das Teutsche Paradeiß, Rundwanderweg der Gemeinde Nagel, Themenweg "Tieren auf der Spur"</t>
  </si>
  <si>
    <t>S1124, grün auf rot</t>
  </si>
  <si>
    <t>204-02</t>
  </si>
  <si>
    <t>Das Teutsche Paradeiß
(Blüten und Mythen)</t>
  </si>
  <si>
    <t>Das Teutsche Paradeiß, Rundwanderweg der Gemeinde Nagel, Themenweg "Blüten und Mythen"</t>
  </si>
  <si>
    <t>Labyrinth (oberer Ausgang) - Einmündung Wanderweg 72,  FGV-WegNr 72a, ein Markierungsabschnitt</t>
  </si>
  <si>
    <t>Burgsteinfelsen - Haberstein,  FGV-WegNr 72b, ein Markierungsabschnitt</t>
  </si>
  <si>
    <t>Zuwege zum Fränkischen Gebirgsweg von Weißenstadt. FGV-WegNr 517a ( zwei Markierungsabschnitte) und 517b</t>
  </si>
  <si>
    <t>Alte ID: 14264</t>
  </si>
  <si>
    <t>Tanne, grün auf weiß</t>
  </si>
  <si>
    <t>302-03</t>
  </si>
  <si>
    <t>Escherlich</t>
  </si>
  <si>
    <t>Rundwanderweg "Escherlich"  der Gemeinde Bad Berneck</t>
  </si>
  <si>
    <t>506-01</t>
  </si>
  <si>
    <t>Rundwanderweg 1 der Stadt Kulmbach,  FGV-WegNr 50601, ein Markierungsabschnitt</t>
  </si>
  <si>
    <t>Fränkisches Steinreich</t>
  </si>
  <si>
    <t xml:space="preserve">Fränkisches Steinreich, FGV-WegNr 550,  2 Markierungsabschnitte, Anteil FGV: Waldstein - Marienweiher,  Übergabe an FWV </t>
  </si>
  <si>
    <t>312-09</t>
  </si>
  <si>
    <t>Lehrpfad der Gemeinde Weidenberg</t>
  </si>
  <si>
    <t>107-11</t>
  </si>
  <si>
    <t>Kuselwusel-Walderlebnispfad (rot)</t>
  </si>
  <si>
    <t>Kuselwusel-Walderlebnispfad, roter Rundweg</t>
  </si>
  <si>
    <t>107-12</t>
  </si>
  <si>
    <t>Kuselwusel-Walderlebnispfad (grün)</t>
  </si>
  <si>
    <t>Kuselwusel-Walderlebnispfad, grüner Rundweg</t>
  </si>
  <si>
    <t>107-13</t>
  </si>
  <si>
    <t>Kuselwusel-Walderlebnispfad schwarz)</t>
  </si>
  <si>
    <t>Kuselwusel-Walderlebnispfad,  schwarz, Rollstuhl</t>
  </si>
  <si>
    <t>Mühlenweg</t>
  </si>
  <si>
    <t>Thiersheim - Arzberg, WegNr. 100, 2 Markierungsabschnitte</t>
  </si>
  <si>
    <t>312-08</t>
  </si>
  <si>
    <t>Mühlenweg der Gemeinde Weidenberg</t>
  </si>
  <si>
    <t>303-04</t>
  </si>
  <si>
    <t>Wolfsgartenweg</t>
  </si>
  <si>
    <t>Rundwanderweg der Gemeinde Bischofsgrün, Wolfsgartenweg (Themenweg)</t>
  </si>
  <si>
    <t>Jägersteig</t>
  </si>
  <si>
    <t>FGV-WegNr 56 - Ringweg Warmensteinach (FGV-WegNr 202)</t>
  </si>
  <si>
    <t>405-05</t>
  </si>
  <si>
    <t>Mit der Arnika in den Rehauer Forst</t>
  </si>
  <si>
    <t>Rundwanderweg Nr. 5 der Gemeinde Rehau, Arnikaprojekt LPV Hof: "Mit der Arnika in den Rehauer Forst", erstellt September 2016</t>
  </si>
  <si>
    <t>Mit der Arnika zum Kornberg</t>
  </si>
  <si>
    <t>Mit der Arnika auf den Kornberg</t>
  </si>
  <si>
    <t>FGV-WegNr 102, Rehau - Vorsuchhütte
Markierungsabschnitte 1 - 2
Arnikaprojekt LPV Hof: "Mit der Arnika auf den Kornberg", erstellt September 2016</t>
  </si>
  <si>
    <t>504-11</t>
  </si>
  <si>
    <t>RW-MSG 1</t>
  </si>
  <si>
    <t>Rundwandeweg 1 der Gemeinde Marktschorgast, betreut von OV Gefrees &amp; Weißensteinverein, 2 Makierungsabschnitte</t>
  </si>
  <si>
    <t>1, schwarz auf lindgrün</t>
  </si>
  <si>
    <t>407-01</t>
  </si>
  <si>
    <t>Rundwanderweg Nr. 1 der Gemeinde Sparneck</t>
  </si>
  <si>
    <t>6, schwarz auf lindgrün</t>
  </si>
  <si>
    <t>407-06</t>
  </si>
  <si>
    <t>Rundwanderweg Nr. 6 der Gemeinde Sparneck</t>
  </si>
  <si>
    <t>2, schwarz auf lindgrün</t>
  </si>
  <si>
    <t>407-02</t>
  </si>
  <si>
    <t>Rundwanderweg Nr. 2 der Gemeinde Sparneck</t>
  </si>
  <si>
    <t>112-01</t>
  </si>
  <si>
    <t>Rundwandeweg 1 der Gemeinde Höchstädt</t>
  </si>
  <si>
    <t>112-02</t>
  </si>
  <si>
    <t>Rundwandeweg 2 der Gemeinde Höchstädt</t>
  </si>
  <si>
    <t>112-03</t>
  </si>
  <si>
    <t>Rundwandeweg 3 der Gemeinde Höchstädt</t>
  </si>
  <si>
    <t>507-11</t>
  </si>
  <si>
    <t>RW 1
Schwarzenhammer</t>
  </si>
  <si>
    <t>Rundwanderweg 1 (Schwarzenhammer) der Gemeinde Thierstein, Markierung: Marktleuthen</t>
  </si>
  <si>
    <t>507-12</t>
  </si>
  <si>
    <t>RW 2
Schwarzenhammer</t>
  </si>
  <si>
    <t>Rundwanderweg 2 (Schwarzenhammer) der Gemeinde Thierstein, Markierung: Marktleuthen</t>
  </si>
  <si>
    <t>507-13</t>
  </si>
  <si>
    <t>RW 3
Schwarzenhammer</t>
  </si>
  <si>
    <t>Rundwanderweg 3 (Schwarzenhammer) der Gemeinde Thierstein, Markierung: Marktleuthen</t>
  </si>
  <si>
    <t>507-14</t>
  </si>
  <si>
    <t>RW 4
Schwarzenhammer</t>
  </si>
  <si>
    <t>Rundwanderweg 14 (Schwarzenhammer) der Gemeinde Thierstein, Markierung: Marktleuthen</t>
  </si>
  <si>
    <t>512-02</t>
  </si>
  <si>
    <t>Rundwanderweg 3 der Gemeinde Weißenstadt</t>
  </si>
  <si>
    <t>512-04</t>
  </si>
  <si>
    <t>512-03</t>
  </si>
  <si>
    <t>512-01</t>
  </si>
  <si>
    <t>Rundwanderweg 1 der Gemeinde Weißenstadt</t>
  </si>
  <si>
    <t>111-06</t>
  </si>
  <si>
    <t>Rundwanderweg 6 der Gemeinde Hohenberg</t>
  </si>
  <si>
    <t>303-13</t>
  </si>
  <si>
    <t>Weißmain-Ochsenkopf-Steig</t>
  </si>
  <si>
    <t>Rundwanderweg Nr. 13 der Gemeinde Bischofsgrün "Weißmain-Ochsenkopf-Steig"</t>
  </si>
  <si>
    <t>303-14</t>
  </si>
  <si>
    <t>Markgrafenrunde</t>
  </si>
  <si>
    <t>Rundwanderweg Nr. 14 der Gemeinde Bischofsgrün "Markgrafenrunde"</t>
  </si>
  <si>
    <t>N-2023_Erlebnispfad</t>
  </si>
  <si>
    <t>206-11</t>
  </si>
  <si>
    <t>Erfahrungspfad Lebensraum</t>
  </si>
  <si>
    <t xml:space="preserve"> laufende Korrektur</t>
  </si>
  <si>
    <t>%</t>
  </si>
  <si>
    <t>km</t>
  </si>
  <si>
    <t>Wegbe-schaffenheit fehlt noch</t>
  </si>
  <si>
    <t xml:space="preserve">laufende Korrektur &amp; Wegbe-schaffenheit fehlt noch </t>
  </si>
  <si>
    <t xml:space="preserve">
LDBV – ID
(Wege-nummer)</t>
  </si>
  <si>
    <t>LDBV - Wegetyp
 des Landesamts für Vermessung und Geoinformation</t>
  </si>
  <si>
    <t>FGV-
Unter-Kategorie</t>
  </si>
  <si>
    <t>Qualitäts-merkmal</t>
  </si>
  <si>
    <t>Condi-Bestll-nummer</t>
  </si>
  <si>
    <t xml:space="preserve">FGV-WegNr </t>
  </si>
  <si>
    <t>Summe Abschnitte</t>
  </si>
  <si>
    <t>Zuschuss-berechtigung FGV</t>
  </si>
  <si>
    <t>Zuständiger Ortsverein</t>
  </si>
  <si>
    <r>
      <t xml:space="preserve"> Ortsverein - </t>
    </r>
    <r>
      <rPr>
        <b/>
        <sz val="7"/>
        <color rgb="FFFF0000"/>
        <rFont val="Arial"/>
        <family val="2"/>
      </rPr>
      <t>(OV-Nummer)</t>
    </r>
    <r>
      <rPr>
        <b/>
        <sz val="7"/>
        <rFont val="Arial"/>
        <family val="2"/>
      </rPr>
      <t xml:space="preserve"> -  Wegeverlauf</t>
    </r>
  </si>
  <si>
    <t xml:space="preserve"> Abschn. 
km, auf 100m gerundet</t>
  </si>
  <si>
    <t>Bemerkungen</t>
  </si>
  <si>
    <t xml:space="preserve">NSP
Bearbeitungsstand </t>
  </si>
  <si>
    <r>
      <rPr>
        <b/>
        <sz val="12"/>
        <rFont val="Arial"/>
        <family val="2"/>
      </rPr>
      <t xml:space="preserve"> Laufende Korrektur</t>
    </r>
    <r>
      <rPr>
        <b/>
        <sz val="12"/>
        <color rgb="FFFF000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&gt;&gt; Korr-Datei</t>
    </r>
  </si>
  <si>
    <r>
      <rPr>
        <b/>
        <sz val="12"/>
        <rFont val="Arial"/>
        <family val="2"/>
      </rPr>
      <t>Bearbeitung Tabelle</t>
    </r>
    <r>
      <rPr>
        <b/>
        <sz val="12"/>
        <color rgb="FFFF0000"/>
        <rFont val="Arial"/>
        <family val="2"/>
      </rPr>
      <t xml:space="preserve"> 
</t>
    </r>
    <r>
      <rPr>
        <b/>
        <sz val="8"/>
        <color rgb="FFFF0000"/>
        <rFont val="Arial"/>
        <family val="2"/>
      </rPr>
      <t>Was / Wer / Wann</t>
    </r>
    <r>
      <rPr>
        <b/>
        <sz val="12"/>
        <color rgb="FFFF0000"/>
        <rFont val="Arial"/>
        <family val="2"/>
      </rPr>
      <t xml:space="preserve">
</t>
    </r>
    <r>
      <rPr>
        <b/>
        <sz val="12"/>
        <rFont val="Arial"/>
        <family val="2"/>
      </rPr>
      <t>und Anmerkungen</t>
    </r>
  </si>
  <si>
    <t xml:space="preserve">Münchberg (4):
Münchberg - Mechlenreuth - Kleinlosnitz - Schnackenhof - HO19 n Zell
</t>
  </si>
  <si>
    <t>000039_001992_001996_007589_011739_V_Korr-2020_Kleinlosnitz.pdf
(Meldung an LDBV)</t>
  </si>
  <si>
    <r>
      <rPr>
        <i/>
        <sz val="8"/>
        <rFont val="Arial"/>
        <family val="2"/>
      </rPr>
      <t xml:space="preserve">Zell (4):
</t>
    </r>
    <r>
      <rPr>
        <b/>
        <sz val="8"/>
        <rFont val="Arial"/>
        <family val="2"/>
      </rPr>
      <t xml:space="preserve">HO19 n Zell </t>
    </r>
    <r>
      <rPr>
        <sz val="8"/>
        <rFont val="Arial"/>
        <family val="2"/>
      </rPr>
      <t xml:space="preserve">- Zell - Saalequelle - ö Bärenhöhe / </t>
    </r>
    <r>
      <rPr>
        <b/>
        <sz val="8"/>
        <rFont val="Arial"/>
        <family val="2"/>
      </rPr>
      <t>Höhe 771</t>
    </r>
  </si>
  <si>
    <t xml:space="preserve">Europäischer Fernwanderweg Nr. 6 (E6), Ostsee - Wachau - Adria, Teilstsück Fichgtelgebirge, Wegverlauf siehe FGV-WegNr 14, Markierungsabschnitte 1 - 11
</t>
  </si>
  <si>
    <t>Weissenstadt</t>
  </si>
  <si>
    <r>
      <rPr>
        <i/>
        <sz val="8"/>
        <rFont val="Arial"/>
        <family val="2"/>
      </rPr>
      <t xml:space="preserve">Weissenstadt (5): 
</t>
    </r>
    <r>
      <rPr>
        <b/>
        <sz val="8"/>
        <rFont val="Arial"/>
        <family val="2"/>
      </rPr>
      <t xml:space="preserve">ö Bärenhöhe / Höhe 771 </t>
    </r>
    <r>
      <rPr>
        <sz val="8"/>
        <rFont val="Arial"/>
        <family val="2"/>
      </rPr>
      <t xml:space="preserve">- Torfmoorhölle - Egerquelle -  </t>
    </r>
    <r>
      <rPr>
        <b/>
        <sz val="8"/>
        <rFont val="Arial"/>
        <family val="2"/>
      </rPr>
      <t xml:space="preserve">WA Franzosenschacht / Höhe 820
</t>
    </r>
  </si>
  <si>
    <r>
      <rPr>
        <i/>
        <sz val="8"/>
        <rFont val="Arial"/>
        <family val="2"/>
      </rPr>
      <t xml:space="preserve">Bischofsgrün (3): 
</t>
    </r>
    <r>
      <rPr>
        <b/>
        <sz val="8"/>
        <rFont val="Arial"/>
        <family val="2"/>
      </rPr>
      <t xml:space="preserve">WA Franzosenschacht / Höhe 820 </t>
    </r>
    <r>
      <rPr>
        <sz val="8"/>
        <rFont val="Arial"/>
        <family val="2"/>
      </rPr>
      <t>- s Haberstein - Karches - Weißmainquelle - Weißmainfels -</t>
    </r>
    <r>
      <rPr>
        <b/>
        <sz val="8"/>
        <rFont val="Arial"/>
        <family val="2"/>
      </rPr>
      <t xml:space="preserve"> sö Weißmainfels
</t>
    </r>
  </si>
  <si>
    <r>
      <rPr>
        <i/>
        <sz val="8"/>
        <rFont val="Arial"/>
        <family val="2"/>
      </rPr>
      <t xml:space="preserve">Fichtelberg-Neubau (3): 
</t>
    </r>
    <r>
      <rPr>
        <b/>
        <sz val="8"/>
        <rFont val="Arial"/>
        <family val="2"/>
      </rPr>
      <t xml:space="preserve">sö Weißmainfels </t>
    </r>
    <r>
      <rPr>
        <sz val="8"/>
        <rFont val="Arial"/>
        <family val="2"/>
      </rPr>
      <t>- Fichtelsee - n Hüttenberg - Querung St2981- Gregnitzhügel -</t>
    </r>
    <r>
      <rPr>
        <b/>
        <sz val="8"/>
        <rFont val="Arial"/>
        <family val="2"/>
      </rPr>
      <t xml:space="preserve"> s Höhe 680
</t>
    </r>
  </si>
  <si>
    <t xml:space="preserve">Nagel (204:) 
s Höhe 680 - Querung Gregnitz &amp; WUN10 - n Reisingerhöhe - Nagel - Mühlbühl - Reichenbach - Höhe 724 - Tröstauer Forst Ost (n Kösseinegipfel / s Höhe 727 / 32U 713327E  5542309N)
</t>
  </si>
  <si>
    <t xml:space="preserve">Wunsiedel (5): 
 Tröstauer Forst Ost (n Kösseinegipfel / s Höhe 727 / 32U 713327E  5542309N) - w Haberstein - Luisenburg  (32U 714782E 5544476N)
</t>
  </si>
  <si>
    <t xml:space="preserve">Bad Alexandersbad (5): 
Luisenburg  (32U 714782E 5544476N) - Bad Alexandersbad (Luisenquelle)
</t>
  </si>
  <si>
    <t xml:space="preserve">Marktredwitz (2): 
Bad Alexandersbad (Luisenquelle) - Ruheberg (33U 298075E 542662N)
</t>
  </si>
  <si>
    <t xml:space="preserve">Arzberg (101): 
Ruheberg (33U 298075E 542662N) - s Kappl (33U 305063E 5545155N - Übergbabe an OWV)
</t>
  </si>
  <si>
    <r>
      <rPr>
        <i/>
        <sz val="8"/>
        <rFont val="Arial"/>
        <family val="2"/>
      </rPr>
      <t>Arzberg (101:)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 Kappl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 xml:space="preserve">Waldsassen </t>
    </r>
    <r>
      <rPr>
        <sz val="8"/>
        <rFont val="Arial"/>
        <family val="2"/>
      </rPr>
      <t>(Goetheplatz/Kirchenstr., Übergabe an OWV)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</si>
  <si>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Bischofsgrün (303): 
</t>
    </r>
    <r>
      <rPr>
        <b/>
        <sz val="8"/>
        <rFont val="Arial"/>
        <family val="2"/>
      </rPr>
      <t xml:space="preserve">Bischofsgrün (Rathaus) </t>
    </r>
    <r>
      <rPr>
        <sz val="8"/>
        <rFont val="Arial"/>
        <family val="2"/>
      </rPr>
      <t xml:space="preserve">- Forstgasse - Ochsenkopfstr. - Reißingerbrunnen - Ochsenkopf - </t>
    </r>
    <r>
      <rPr>
        <b/>
        <sz val="8"/>
        <rFont val="Arial"/>
        <family val="2"/>
      </rPr>
      <t>s Weißmainfels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</si>
  <si>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Fichtelberg-Neubau (304) 
</t>
    </r>
    <r>
      <rPr>
        <b/>
        <sz val="8"/>
        <rFont val="Arial"/>
        <family val="2"/>
      </rPr>
      <t>s Weißmainfels</t>
    </r>
    <r>
      <rPr>
        <sz val="8"/>
        <rFont val="Arial"/>
        <family val="2"/>
      </rPr>
      <t xml:space="preserve">- Fichtelnaabquelle - Fichtelsee - Gregnitzhügel - </t>
    </r>
    <r>
      <rPr>
        <b/>
        <sz val="8"/>
        <rFont val="Arial"/>
        <family val="2"/>
      </rPr>
      <t xml:space="preserve">s Höhe 680 </t>
    </r>
  </si>
  <si>
    <r>
      <rPr>
        <i/>
        <sz val="8"/>
        <rFont val="Arial"/>
        <family val="2"/>
      </rPr>
      <t xml:space="preserve">Nagel (204): 
</t>
    </r>
    <r>
      <rPr>
        <b/>
        <sz val="8"/>
        <rFont val="Arial"/>
        <family val="2"/>
      </rPr>
      <t xml:space="preserve">s Höhe 680 </t>
    </r>
    <r>
      <rPr>
        <sz val="8"/>
        <rFont val="Arial"/>
        <family val="2"/>
      </rPr>
      <t>- Querung Gregnitz &amp; WUN10 - n Reisingerhjöhe - Nagel -</t>
    </r>
    <r>
      <rPr>
        <b/>
        <sz val="8"/>
        <rFont val="Arial"/>
        <family val="2"/>
      </rPr>
      <t xml:space="preserve">  n Gregnitzberg
</t>
    </r>
  </si>
  <si>
    <r>
      <rPr>
        <i/>
        <sz val="8"/>
        <rFont val="Arial"/>
        <family val="2"/>
      </rPr>
      <t xml:space="preserve">Ebnath (201): 
</t>
    </r>
    <r>
      <rPr>
        <b/>
        <sz val="8"/>
        <rFont val="Arial"/>
        <family val="2"/>
      </rPr>
      <t xml:space="preserve">n Gregnitzberg </t>
    </r>
    <r>
      <rPr>
        <sz val="8"/>
        <rFont val="Arial"/>
        <family val="2"/>
      </rPr>
      <t xml:space="preserve">- Gregnitztal - Grünlasmühle - Selingau - Ebnath - Fichtelnaabtal - Wernersreuth - </t>
    </r>
    <r>
      <rPr>
        <b/>
        <sz val="8"/>
        <rFont val="Arial"/>
        <family val="2"/>
      </rPr>
      <t>St2177</t>
    </r>
    <r>
      <rPr>
        <sz val="8"/>
        <rFont val="Arial"/>
        <family val="2"/>
      </rPr>
      <t xml:space="preserve">
</t>
    </r>
  </si>
  <si>
    <t xml:space="preserve">Kemnath (202): 
St2177 - Wunschenberg - Erdenweis - s Armesberg (32U 711657E   5530428N)
</t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</si>
  <si>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>Marktredwitz (Markt)</t>
    </r>
    <r>
      <rPr>
        <sz val="8"/>
        <rFont val="Arial"/>
        <family val="2"/>
      </rPr>
      <t xml:space="preserve"> - Auenpark - w Pfaffenbühl - </t>
    </r>
    <r>
      <rPr>
        <b/>
        <sz val="8"/>
        <rFont val="Arial"/>
        <family val="2"/>
      </rPr>
      <t>St2121</t>
    </r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</si>
  <si>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St2121 - </t>
    </r>
    <r>
      <rPr>
        <sz val="8"/>
        <rFont val="Arial"/>
        <family val="2"/>
      </rPr>
      <t>Hammerrang - Neumühle - Mascher Berg - Walbenreuth - Kaltenlohe - Marktredwitzer Haus</t>
    </r>
    <r>
      <rPr>
        <b/>
        <sz val="8"/>
        <rFont val="Arial"/>
        <family val="2"/>
      </rPr>
      <t xml:space="preserve"> - Ruine Weißenstein
</t>
    </r>
  </si>
  <si>
    <t>Burgenweg, Anteil Fichtelgebirge: Marktredwitz - Ruine Weißenstein (Übergabe an OWV), Wegverlauf siehe FGV-WegNr 18, Markierungsabschnitte 1 - 2</t>
  </si>
  <si>
    <t xml:space="preserve">Münchberg (403):
Münchberg - Mechlenreuth - Kleinlosnitz - Schnackenhof - Einmündung in HO19
</t>
  </si>
  <si>
    <r>
      <rPr>
        <i/>
        <sz val="8"/>
        <rFont val="Arial"/>
        <family val="2"/>
      </rPr>
      <t xml:space="preserve">Zell (408)
</t>
    </r>
    <r>
      <rPr>
        <b/>
        <sz val="8"/>
        <rFont val="Arial"/>
        <family val="2"/>
      </rPr>
      <t xml:space="preserve"> Einmündung in HO19 </t>
    </r>
    <r>
      <rPr>
        <sz val="8"/>
        <rFont val="Arial"/>
        <family val="2"/>
      </rPr>
      <t xml:space="preserve">- Zell - Sächsische-Saale-Quelle - </t>
    </r>
    <r>
      <rPr>
        <b/>
        <sz val="8"/>
        <rFont val="Arial"/>
        <family val="2"/>
      </rPr>
      <t xml:space="preserve">Höhe 771 </t>
    </r>
    <r>
      <rPr>
        <sz val="8"/>
        <rFont val="Arial"/>
        <family val="2"/>
      </rPr>
      <t>(Kreuzung mit Waldstein-Kammweg)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</si>
  <si>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Weißenstadt (512):
</t>
    </r>
    <r>
      <rPr>
        <b/>
        <sz val="8"/>
        <rFont val="Arial"/>
        <family val="2"/>
      </rPr>
      <t xml:space="preserve"> Höhe 771 </t>
    </r>
    <r>
      <rPr>
        <sz val="8"/>
        <rFont val="Arial"/>
        <family val="2"/>
      </rPr>
      <t>(Kreuzung mit Waldstein-Kammweg)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Torfmoorhölle - Egerquelle - </t>
    </r>
    <r>
      <rPr>
        <b/>
        <sz val="8"/>
        <rFont val="Arial"/>
        <family val="2"/>
      </rPr>
      <t>Wegekreuzung Höhe 820</t>
    </r>
    <r>
      <rPr>
        <sz val="8"/>
        <rFont val="Arial"/>
        <family val="2"/>
      </rPr>
      <t xml:space="preserve"> (WA Franzosenschacht)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</si>
  <si>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 Wegekreuzung Höhe 820 </t>
    </r>
    <r>
      <rPr>
        <sz val="8"/>
        <rFont val="Arial"/>
        <family val="2"/>
      </rPr>
      <t>(WA Franzosenschacht) - Karches - Weißmainquelle - Weißmainfelsen -</t>
    </r>
    <r>
      <rPr>
        <b/>
        <sz val="8"/>
        <rFont val="Arial"/>
        <family val="2"/>
      </rPr>
      <t xml:space="preserve"> Wegekreuz sö Weißmainfelsen
</t>
    </r>
  </si>
  <si>
    <r>
      <rPr>
        <i/>
        <sz val="8"/>
        <rFont val="Arial"/>
        <family val="2"/>
      </rPr>
      <t xml:space="preserve">Fichtelberg (304):
</t>
    </r>
    <r>
      <rPr>
        <b/>
        <sz val="8"/>
        <rFont val="Arial"/>
        <family val="2"/>
      </rPr>
      <t xml:space="preserve">Wegekreuz sö Weißmainfelsen </t>
    </r>
    <r>
      <rPr>
        <sz val="8"/>
        <rFont val="Arial"/>
        <family val="2"/>
      </rPr>
      <t xml:space="preserve">- Fichtelsee - Kregnitzhügel - </t>
    </r>
    <r>
      <rPr>
        <b/>
        <sz val="8"/>
        <rFont val="Arial"/>
        <family val="2"/>
      </rPr>
      <t xml:space="preserve">Wegekreuz s Höhe 680
</t>
    </r>
  </si>
  <si>
    <t>001992_V_Korr-2021_Fichtelberg (Meldg. LDBV)</t>
  </si>
  <si>
    <r>
      <rPr>
        <i/>
        <sz val="8"/>
        <rFont val="Arial"/>
        <family val="2"/>
      </rPr>
      <t xml:space="preserve">Nagel (204):
</t>
    </r>
    <r>
      <rPr>
        <b/>
        <sz val="8"/>
        <rFont val="Arial"/>
        <family val="2"/>
      </rPr>
      <t xml:space="preserve">Wegekreuz s Höhe 680  </t>
    </r>
    <r>
      <rPr>
        <sz val="8"/>
        <rFont val="Arial"/>
        <family val="2"/>
      </rPr>
      <t>- Reisingerhöhe - Nagler See - Mühlbühl - Reichenbach -</t>
    </r>
    <r>
      <rPr>
        <b/>
        <sz val="8"/>
        <rFont val="Arial"/>
        <family val="2"/>
      </rPr>
      <t xml:space="preserve"> Höhe 724 - Tröstauer Forst </t>
    </r>
    <r>
      <rPr>
        <sz val="8"/>
        <rFont val="Arial"/>
        <family val="2"/>
      </rPr>
      <t xml:space="preserve"> (n Kösseinegipfel / s Höhe 727 / 713327E  5542309N)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</si>
  <si>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Tröstauer Forst </t>
    </r>
    <r>
      <rPr>
        <sz val="8"/>
        <rFont val="Arial"/>
        <family val="2"/>
      </rPr>
      <t xml:space="preserve"> (n Kösseinegipfel / s Höhe 727 / 32U 713327E  5542309N) -Luisenburg -</t>
    </r>
    <r>
      <rPr>
        <b/>
        <sz val="8"/>
        <rFont val="Arial"/>
        <family val="2"/>
      </rPr>
      <t xml:space="preserve"> Einmündung in  Forstweg w Wasserhäuschen
</t>
    </r>
  </si>
  <si>
    <r>
      <t xml:space="preserve">Bad Alexandersbad (501):
</t>
    </r>
    <r>
      <rPr>
        <b/>
        <sz val="8"/>
        <rFont val="Arial"/>
        <family val="2"/>
      </rPr>
      <t>Einmündung in Forstweg w Wasserhäuschen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Bad Alexandersbad (Luisenquelle) 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</si>
  <si>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>Bad Alexandersbad (Luisenquelle)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Marktredwitz</t>
    </r>
  </si>
  <si>
    <r>
      <rPr>
        <i/>
        <sz val="8"/>
        <rFont val="Arial"/>
        <family val="2"/>
      </rPr>
      <t xml:space="preserve">Münchberg (403):
</t>
    </r>
    <r>
      <rPr>
        <b/>
        <sz val="8"/>
        <rFont val="Arial"/>
        <family val="2"/>
      </rPr>
      <t>Münchberg -</t>
    </r>
    <r>
      <rPr>
        <sz val="8"/>
        <rFont val="Arial"/>
        <family val="2"/>
      </rPr>
      <t xml:space="preserve"> Straas - Biengarten - Ölschnitz - Metzlesdorf - </t>
    </r>
    <r>
      <rPr>
        <b/>
        <sz val="8"/>
        <rFont val="Arial"/>
        <family val="2"/>
      </rPr>
      <t xml:space="preserve">w Senftenhof </t>
    </r>
    <r>
      <rPr>
        <sz val="8"/>
        <rFont val="Arial"/>
        <family val="2"/>
      </rPr>
      <t xml:space="preserve">(Eisenbahnlinie bei Stammbach)
</t>
    </r>
  </si>
  <si>
    <t>Weißenstein-verein</t>
  </si>
  <si>
    <r>
      <rPr>
        <i/>
        <sz val="8"/>
        <rFont val="Arial"/>
        <family val="2"/>
      </rPr>
      <t xml:space="preserve">Weißensteinverein (410):
</t>
    </r>
    <r>
      <rPr>
        <b/>
        <sz val="8"/>
        <rFont val="Arial"/>
        <family val="2"/>
      </rPr>
      <t xml:space="preserve">w Senftenhof </t>
    </r>
    <r>
      <rPr>
        <sz val="8"/>
        <rFont val="Arial"/>
        <family val="2"/>
      </rPr>
      <t xml:space="preserve">(Eisenbahnlinie bei Stammbach) - Weißenstein - n Mittelbug - </t>
    </r>
    <r>
      <rPr>
        <b/>
        <sz val="8"/>
        <rFont val="Arial"/>
        <family val="2"/>
      </rPr>
      <t>BT 7</t>
    </r>
    <r>
      <rPr>
        <sz val="8"/>
        <rFont val="Arial"/>
        <family val="2"/>
      </rPr>
      <t xml:space="preserve"> (Eisenbahnlinie)
</t>
    </r>
  </si>
  <si>
    <t>001993_V_Korr-2020_Mittelbug</t>
  </si>
  <si>
    <r>
      <rPr>
        <i/>
        <sz val="8"/>
        <rFont val="Arial"/>
        <family val="2"/>
      </rPr>
      <t xml:space="preserve">Gefrees (504):
</t>
    </r>
    <r>
      <rPr>
        <b/>
        <sz val="8"/>
        <rFont val="Arial"/>
        <family val="2"/>
      </rPr>
      <t>BT 7 (Eisenbahnlinie)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-</t>
    </r>
    <r>
      <rPr>
        <sz val="8"/>
        <rFont val="Arial"/>
        <family val="2"/>
      </rPr>
      <t xml:space="preserve"> Streitau - NP-Grenze - Bechertshöfehn - Gefrees - Grünstein -Entenmühle - </t>
    </r>
    <r>
      <rPr>
        <b/>
        <sz val="8"/>
        <rFont val="Arial"/>
        <family val="2"/>
      </rPr>
      <t xml:space="preserve">Stein
</t>
    </r>
  </si>
  <si>
    <t>001993_V_Korr-2023_Gefrees</t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</si>
  <si>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>Stein</t>
    </r>
    <r>
      <rPr>
        <sz val="8"/>
        <rFont val="Arial"/>
        <family val="2"/>
      </rPr>
      <t xml:space="preserve"> - Bad Berneck - Vorderröhrenhof -</t>
    </r>
    <r>
      <rPr>
        <b/>
        <sz val="8"/>
        <rFont val="Arial"/>
        <family val="2"/>
      </rPr>
      <t xml:space="preserve"> B303 </t>
    </r>
    <r>
      <rPr>
        <sz val="8"/>
        <rFont val="Arial"/>
        <family val="2"/>
      </rPr>
      <t>(Vorderröhrenhof)</t>
    </r>
  </si>
  <si>
    <r>
      <rPr>
        <i/>
        <sz val="8"/>
        <rFont val="Arial"/>
        <family val="2"/>
      </rPr>
      <t xml:space="preserve">Goldkronach (305):
</t>
    </r>
    <r>
      <rPr>
        <b/>
        <sz val="8"/>
        <rFont val="Arial"/>
        <family val="2"/>
      </rPr>
      <t xml:space="preserve">B303 </t>
    </r>
    <r>
      <rPr>
        <sz val="8"/>
        <rFont val="Arial"/>
        <family val="2"/>
      </rPr>
      <t>(Vorderröhrenhof</t>
    </r>
    <r>
      <rPr>
        <b/>
        <sz val="8"/>
        <rFont val="Arial"/>
        <family val="2"/>
      </rPr>
      <t xml:space="preserve">) - </t>
    </r>
    <r>
      <rPr>
        <sz val="8"/>
        <rFont val="Arial"/>
        <family val="2"/>
      </rPr>
      <t xml:space="preserve">Escherlich - Beerfleck - Fürstenstein - </t>
    </r>
    <r>
      <rPr>
        <b/>
        <sz val="8"/>
        <rFont val="Arial"/>
        <family val="2"/>
      </rPr>
      <t xml:space="preserve">Kreuzung s Fürstenstein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</si>
  <si>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>Kreuzung s Fürstenstein</t>
    </r>
    <r>
      <rPr>
        <sz val="8"/>
        <rFont val="Arial"/>
        <family val="2"/>
      </rPr>
      <t xml:space="preserve"> - ö Sickenreuth - Querung Korn-/Seelohbach - Sommerleite - Pflanzgarten - </t>
    </r>
    <r>
      <rPr>
        <b/>
        <sz val="8"/>
        <rFont val="Arial"/>
        <family val="2"/>
      </rPr>
      <t>Wegegabel nw Winterleite</t>
    </r>
    <r>
      <rPr>
        <sz val="8"/>
        <rFont val="Arial"/>
        <family val="2"/>
      </rPr>
      <t xml:space="preserve"> (694040E, 5539983N)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</si>
  <si>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>Wegegabel nw Winterleite</t>
    </r>
    <r>
      <rPr>
        <sz val="8"/>
        <rFont val="Arial"/>
        <family val="2"/>
      </rPr>
      <t xml:space="preserve"> (32U 694040E, 5539983N) - Kattersreuth - Wildenreuth - Sophienthal - n Gänskopfhütte - Hahnengrün - Heidenaabquelle - </t>
    </r>
    <r>
      <rPr>
        <b/>
        <sz val="8"/>
        <rFont val="Arial"/>
        <family val="2"/>
      </rPr>
      <t>Wegegabel n Poppenberg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</si>
  <si>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>Wegegabel n Poppenberg</t>
    </r>
    <r>
      <rPr>
        <sz val="8"/>
        <rFont val="Arial"/>
        <family val="2"/>
      </rPr>
      <t xml:space="preserve"> - Hölzelmühle - Plößberg -</t>
    </r>
    <r>
      <rPr>
        <b/>
        <sz val="8"/>
        <rFont val="Arial"/>
        <family val="2"/>
      </rPr>
      <t xml:space="preserve"> Immenreuth</t>
    </r>
    <r>
      <rPr>
        <sz val="8"/>
        <rFont val="Arial"/>
        <family val="2"/>
      </rPr>
      <t xml:space="preserve"> 
</t>
    </r>
  </si>
  <si>
    <r>
      <rPr>
        <i/>
        <sz val="8"/>
        <rFont val="Arial"/>
        <family val="2"/>
      </rPr>
      <t xml:space="preserve">Kemnath (202):
</t>
    </r>
    <r>
      <rPr>
        <b/>
        <sz val="8"/>
        <rFont val="Arial"/>
        <family val="2"/>
      </rPr>
      <t xml:space="preserve">Immenreuth </t>
    </r>
    <r>
      <rPr>
        <sz val="8"/>
        <rFont val="Arial"/>
        <family val="2"/>
      </rPr>
      <t xml:space="preserve"> - Oberbruck - Kemnath - Reuth bei Kastl - Kastl - Weha - </t>
    </r>
    <r>
      <rPr>
        <b/>
        <sz val="8"/>
        <rFont val="Arial"/>
        <family val="2"/>
      </rPr>
      <t xml:space="preserve">Rauher Kulm
</t>
    </r>
  </si>
  <si>
    <r>
      <t xml:space="preserve">Kulmbach (506):
</t>
    </r>
    <r>
      <rPr>
        <b/>
        <sz val="8"/>
        <rFont val="Arial"/>
        <family val="2"/>
      </rPr>
      <t>Kulmbach</t>
    </r>
    <r>
      <rPr>
        <sz val="8"/>
        <rFont val="Arial"/>
        <family val="2"/>
      </rPr>
      <t xml:space="preserve"> (Marktplatz) - Föslschnitz - See - Wirsberg - Schorgasttal - </t>
    </r>
    <r>
      <rPr>
        <b/>
        <sz val="8"/>
        <rFont val="Arial"/>
        <family val="2"/>
      </rPr>
      <t xml:space="preserve">Grundmühle
</t>
    </r>
  </si>
  <si>
    <t>Kulmbach - Ostweg (Hirschfelder Tor),  FGV-WegNr  2, Markierungsabschnitte 1 - 8</t>
  </si>
  <si>
    <r>
      <t xml:space="preserve">Gefrees (504):
</t>
    </r>
    <r>
      <rPr>
        <b/>
        <sz val="8"/>
        <rFont val="Arial"/>
        <family val="2"/>
      </rPr>
      <t xml:space="preserve">Grundmühle </t>
    </r>
    <r>
      <rPr>
        <sz val="8"/>
        <rFont val="Arial"/>
        <family val="2"/>
      </rPr>
      <t xml:space="preserve">- Falls - BAB - Gefrees - Knopfhammer - Bärenhöhe - </t>
    </r>
    <r>
      <rPr>
        <b/>
        <sz val="8"/>
        <rFont val="Arial"/>
        <family val="2"/>
      </rPr>
      <t>Höhe 771</t>
    </r>
  </si>
  <si>
    <r>
      <t xml:space="preserve">Weißenstadt (512)
</t>
    </r>
    <r>
      <rPr>
        <b/>
        <sz val="8"/>
        <rFont val="Arial"/>
        <family val="2"/>
      </rPr>
      <t xml:space="preserve">Höhe 771 </t>
    </r>
    <r>
      <rPr>
        <sz val="8"/>
        <rFont val="Arial"/>
        <family val="2"/>
      </rPr>
      <t xml:space="preserve">- Zeller Fels - </t>
    </r>
    <r>
      <rPr>
        <b/>
        <sz val="8"/>
        <rFont val="Arial"/>
        <family val="2"/>
      </rPr>
      <t>Höhe 770</t>
    </r>
  </si>
  <si>
    <r>
      <t xml:space="preserve">Münchberg (403):
</t>
    </r>
    <r>
      <rPr>
        <b/>
        <sz val="8"/>
        <rFont val="Arial"/>
        <family val="2"/>
      </rPr>
      <t xml:space="preserve">Höhe 770 </t>
    </r>
    <r>
      <rPr>
        <sz val="8"/>
        <rFont val="Arial"/>
        <family val="2"/>
      </rPr>
      <t xml:space="preserve">- Waldstein - </t>
    </r>
    <r>
      <rPr>
        <b/>
        <sz val="8"/>
        <rFont val="Arial"/>
        <family val="2"/>
      </rPr>
      <t>HO 18</t>
    </r>
  </si>
  <si>
    <r>
      <t xml:space="preserve">Kirchenlamitz (505):
</t>
    </r>
    <r>
      <rPr>
        <b/>
        <sz val="8"/>
        <rFont val="Arial"/>
        <family val="2"/>
      </rPr>
      <t>HO 18</t>
    </r>
    <r>
      <rPr>
        <sz val="8"/>
        <rFont val="Arial"/>
        <family val="2"/>
      </rPr>
      <t xml:space="preserve"> - Epprechtstein - Kirchenlamitz - Abzweig von WUN 1 </t>
    </r>
    <r>
      <rPr>
        <b/>
        <sz val="8"/>
        <rFont val="Arial"/>
        <family val="2"/>
      </rPr>
      <t>w Niederlamitz</t>
    </r>
  </si>
  <si>
    <t>Niederlamitz</t>
  </si>
  <si>
    <r>
      <t xml:space="preserve">Niederlamitz (508):
</t>
    </r>
    <r>
      <rPr>
        <b/>
        <i/>
        <sz val="8"/>
        <rFont val="Arial"/>
        <family val="2"/>
      </rPr>
      <t xml:space="preserve">w </t>
    </r>
    <r>
      <rPr>
        <b/>
        <sz val="8"/>
        <rFont val="Arial"/>
        <family val="2"/>
      </rPr>
      <t>Niederlamitz</t>
    </r>
    <r>
      <rPr>
        <sz val="8"/>
        <rFont val="Arial"/>
        <family val="2"/>
      </rPr>
      <t xml:space="preserve"> - Ruine Hirschstein - Großer Kornberg - </t>
    </r>
    <r>
      <rPr>
        <b/>
        <sz val="8"/>
        <rFont val="Arial"/>
        <family val="2"/>
      </rPr>
      <t>Vorsuchhütte</t>
    </r>
  </si>
  <si>
    <r>
      <t xml:space="preserve">Schönwald (105):
</t>
    </r>
    <r>
      <rPr>
        <b/>
        <sz val="8"/>
        <rFont val="Arial"/>
        <family val="2"/>
      </rPr>
      <t>Vorsuchhütte</t>
    </r>
    <r>
      <rPr>
        <sz val="8"/>
        <rFont val="Arial"/>
        <family val="2"/>
      </rPr>
      <t xml:space="preserve"> - Brunn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Pfaffenberg </t>
    </r>
    <r>
      <rPr>
        <b/>
        <sz val="8"/>
        <rFont val="Arial"/>
        <family val="2"/>
      </rPr>
      <t>- Waldrand Vielitzer Höhe</t>
    </r>
  </si>
  <si>
    <r>
      <t xml:space="preserve">Selb (107):
</t>
    </r>
    <r>
      <rPr>
        <b/>
        <sz val="8"/>
        <rFont val="Arial"/>
        <family val="2"/>
      </rPr>
      <t>Waldrand Vielitzer Höhe</t>
    </r>
    <r>
      <rPr>
        <sz val="8"/>
        <rFont val="Arial"/>
        <family val="2"/>
      </rPr>
      <t xml:space="preserve"> - Vielitz - Selb - Stopfersreuth - </t>
    </r>
    <r>
      <rPr>
        <b/>
        <sz val="8"/>
        <rFont val="Arial"/>
        <family val="2"/>
      </rPr>
      <t xml:space="preserve">Hirschfelder Tor </t>
    </r>
    <r>
      <rPr>
        <sz val="8"/>
        <rFont val="Arial"/>
        <family val="2"/>
      </rPr>
      <t xml:space="preserve">(Ostweg)
</t>
    </r>
  </si>
  <si>
    <t>Münchberg (403):
Münchberg - Mechlenreuth - Kleinlosnitz - Schnackenhof - Einmündung HO19</t>
  </si>
  <si>
    <t>Europäischer Fernwanderweg Nr. 3 (E3), Atlantik - Ardennen - Erzgebirge/Krusnè hory-  Karpaten - Schwarzes Meer, Teilstück Fichgtelgebirge, Wegverlauf siehe FGV-WegNr 13, Markierungsabschnitte 1 - 16</t>
  </si>
  <si>
    <r>
      <rPr>
        <i/>
        <sz val="8"/>
        <rFont val="Arial"/>
        <family val="2"/>
      </rPr>
      <t xml:space="preserve">Zell (408):
</t>
    </r>
    <r>
      <rPr>
        <b/>
        <sz val="8"/>
        <rFont val="Arial"/>
        <family val="2"/>
      </rPr>
      <t xml:space="preserve">Einmündung HO19 - </t>
    </r>
    <r>
      <rPr>
        <sz val="8"/>
        <rFont val="Arial"/>
        <family val="2"/>
      </rPr>
      <t>Zell - Saalequelle</t>
    </r>
    <r>
      <rPr>
        <b/>
        <sz val="8"/>
        <rFont val="Arial"/>
        <family val="2"/>
      </rPr>
      <t xml:space="preserve"> - Abzweig s Höhe 825 </t>
    </r>
    <r>
      <rPr>
        <sz val="8"/>
        <rFont val="Arial"/>
        <family val="2"/>
      </rPr>
      <t>(32U 703309E 5556111N)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</si>
  <si>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Münchberg (403):
</t>
    </r>
    <r>
      <rPr>
        <b/>
        <sz val="8"/>
        <rFont val="Arial"/>
        <family val="2"/>
      </rPr>
      <t xml:space="preserve">Abzweig s Höhe 825 </t>
    </r>
    <r>
      <rPr>
        <sz val="8"/>
        <rFont val="Arial"/>
        <family val="2"/>
      </rPr>
      <t xml:space="preserve">(32U 703309E 5556111N) - Höhe 825 - Waldstein - </t>
    </r>
    <r>
      <rPr>
        <b/>
        <sz val="8"/>
        <rFont val="Arial"/>
        <family val="2"/>
      </rPr>
      <t xml:space="preserve">Abzweig bei Höhe 770
</t>
    </r>
  </si>
  <si>
    <r>
      <rPr>
        <i/>
        <sz val="8"/>
        <rFont val="Arial"/>
        <family val="2"/>
      </rPr>
      <t xml:space="preserve">Weißenstadt (512):
</t>
    </r>
    <r>
      <rPr>
        <b/>
        <sz val="8"/>
        <rFont val="Arial"/>
        <family val="2"/>
      </rPr>
      <t xml:space="preserve">Abzweig bei Höhe 770 </t>
    </r>
    <r>
      <rPr>
        <sz val="8"/>
        <rFont val="Arial"/>
        <family val="2"/>
      </rPr>
      <t>- WA Gollerwiese / Vogelherd - Weißenstädter Bad - Ostufer Weißenstädter See - Querung WUN1 -</t>
    </r>
    <r>
      <rPr>
        <b/>
        <sz val="8"/>
        <rFont val="Arial"/>
        <family val="2"/>
      </rPr>
      <t xml:space="preserve"> Abzweig w Deponie</t>
    </r>
    <r>
      <rPr>
        <sz val="8"/>
        <rFont val="Arial"/>
        <family val="2"/>
      </rPr>
      <t xml:space="preserve"> (32U 706168E 5552679N)</t>
    </r>
    <r>
      <rPr>
        <b/>
        <sz val="8"/>
        <rFont val="Arial"/>
        <family val="2"/>
      </rPr>
      <t xml:space="preserve">
</t>
    </r>
  </si>
  <si>
    <t>Korrektur 001996_002050_002051_Korr-2020_Weissensstadt.gpx erledigt /Günter / 05.05.21</t>
  </si>
  <si>
    <t>Franken</t>
  </si>
  <si>
    <r>
      <rPr>
        <i/>
        <sz val="8"/>
        <rFont val="Arial"/>
        <family val="2"/>
      </rPr>
      <t xml:space="preserve">Franken (503):
</t>
    </r>
    <r>
      <rPr>
        <b/>
        <sz val="8"/>
        <rFont val="Arial"/>
        <family val="2"/>
      </rPr>
      <t>Abzweig w Deponie</t>
    </r>
    <r>
      <rPr>
        <sz val="8"/>
        <rFont val="Arial"/>
        <family val="2"/>
      </rPr>
      <t xml:space="preserve"> (32U 706168E 5552679N) - Höhe 663 - Rudolfstein - Drei Brüder - Rudolfsattel - </t>
    </r>
    <r>
      <rPr>
        <b/>
        <sz val="8"/>
        <rFont val="Arial"/>
        <family val="2"/>
      </rPr>
      <t xml:space="preserve">Wegespinne bei Höhe 830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</si>
  <si>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>Wegespinne bei Höhe 830</t>
    </r>
    <r>
      <rPr>
        <sz val="8"/>
        <rFont val="Arial"/>
        <family val="2"/>
      </rPr>
      <t xml:space="preserve"> - Schneeberg - Nußhardt - Seehaus - Platte - </t>
    </r>
    <r>
      <rPr>
        <b/>
        <sz val="8"/>
        <rFont val="Arial"/>
        <family val="2"/>
      </rPr>
      <t>Silberhaus</t>
    </r>
    <r>
      <rPr>
        <sz val="8"/>
        <rFont val="Arial"/>
        <family val="2"/>
      </rPr>
      <t xml:space="preserve"> (B303)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</si>
  <si>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Tröstau (510):</t>
    </r>
    <r>
      <rPr>
        <b/>
        <sz val="8"/>
        <rFont val="Arial"/>
        <family val="2"/>
      </rPr>
      <t xml:space="preserve">
Silberhaus </t>
    </r>
    <r>
      <rPr>
        <sz val="8"/>
        <rFont val="Arial"/>
        <family val="2"/>
      </rPr>
      <t>(B303) - Girgelhöhle - Hinterer / Vorderer Ringberg - Hohe Mätze -</t>
    </r>
    <r>
      <rPr>
        <b/>
        <sz val="8"/>
        <rFont val="Arial"/>
        <family val="2"/>
      </rPr>
      <t xml:space="preserve"> Wegekreuz s Hohe Mätze
</t>
    </r>
  </si>
  <si>
    <r>
      <rPr>
        <i/>
        <sz val="8"/>
        <rFont val="Arial"/>
        <family val="2"/>
      </rPr>
      <t>Nagel (204):</t>
    </r>
    <r>
      <rPr>
        <b/>
        <sz val="8"/>
        <rFont val="Arial"/>
        <family val="2"/>
      </rPr>
      <t xml:space="preserve">
Wegekreuz s Hohe Mätze </t>
    </r>
    <r>
      <rPr>
        <sz val="8"/>
        <rFont val="Arial"/>
        <family val="2"/>
      </rPr>
      <t xml:space="preserve">- Querung St2665 - Hohenbrand - </t>
    </r>
    <r>
      <rPr>
        <b/>
        <sz val="8"/>
        <rFont val="Arial"/>
        <family val="2"/>
      </rPr>
      <t xml:space="preserve">Brunnen n Kösseine
</t>
    </r>
  </si>
  <si>
    <r>
      <rPr>
        <i/>
        <sz val="8"/>
        <rFont val="Arial"/>
        <family val="2"/>
      </rPr>
      <t>Wunsiedel (513):</t>
    </r>
    <r>
      <rPr>
        <b/>
        <sz val="8"/>
        <rFont val="Arial"/>
        <family val="2"/>
      </rPr>
      <t xml:space="preserve">
Brunnen n Kösseine </t>
    </r>
    <r>
      <rPr>
        <sz val="8"/>
        <rFont val="Arial"/>
        <family val="2"/>
      </rPr>
      <t xml:space="preserve">- Haberstein - Luisenburg - Wunsiedel - Schneckenhammer - Wintersreuth - </t>
    </r>
    <r>
      <rPr>
        <b/>
        <sz val="8"/>
        <rFont val="Arial"/>
        <family val="2"/>
      </rPr>
      <t>Eisenbahnviadukt Thölau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</si>
  <si>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Marktredwitz (203):</t>
    </r>
    <r>
      <rPr>
        <b/>
        <sz val="8"/>
        <rFont val="Arial"/>
        <family val="2"/>
      </rPr>
      <t xml:space="preserve">
Eisenbahnviadukt Thölau </t>
    </r>
    <r>
      <rPr>
        <sz val="8"/>
        <rFont val="Arial"/>
        <family val="2"/>
      </rPr>
      <t xml:space="preserve">- Oberthölau - </t>
    </r>
    <r>
      <rPr>
        <b/>
        <sz val="8"/>
        <rFont val="Arial"/>
        <family val="2"/>
      </rPr>
      <t>WUN14</t>
    </r>
    <r>
      <rPr>
        <sz val="8"/>
        <rFont val="Arial"/>
        <family val="2"/>
      </rPr>
      <t xml:space="preserve">  </t>
    </r>
  </si>
  <si>
    <t>Grafenreuth</t>
  </si>
  <si>
    <r>
      <rPr>
        <i/>
        <sz val="8"/>
        <rFont val="Arial"/>
        <family val="2"/>
      </rPr>
      <t>Grafenreuth (103):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WUN14 - Höhe 561 - Höhe 594 - Querung WUN17 / A93 - Leutenberg - </t>
    </r>
    <r>
      <rPr>
        <b/>
        <sz val="8"/>
        <rFont val="Arial"/>
        <family val="2"/>
      </rPr>
      <t>Kreuzung nw Grafenreuth</t>
    </r>
    <r>
      <rPr>
        <sz val="8"/>
        <rFont val="Arial"/>
        <family val="2"/>
      </rPr>
      <t xml:space="preserve"> (Höhe 608)
</t>
    </r>
  </si>
  <si>
    <r>
      <rPr>
        <i/>
        <sz val="8"/>
        <rFont val="Arial"/>
        <family val="2"/>
      </rPr>
      <t>Thiersheim (109):</t>
    </r>
    <r>
      <rPr>
        <b/>
        <sz val="8"/>
        <rFont val="Arial"/>
        <family val="2"/>
      </rPr>
      <t xml:space="preserve">
Kreuzung nw Grafenreuth</t>
    </r>
    <r>
      <rPr>
        <sz val="8"/>
        <rFont val="Arial"/>
        <family val="2"/>
      </rPr>
      <t xml:space="preserve"> (Höhe 608) - Wolfsloh / Pertschenloh -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Wartberg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Thiersheim - </t>
    </r>
    <r>
      <rPr>
        <b/>
        <sz val="8"/>
        <rFont val="Arial"/>
        <family val="2"/>
      </rPr>
      <t>Galgenberg</t>
    </r>
    <r>
      <rPr>
        <sz val="8"/>
        <rFont val="Arial"/>
        <family val="2"/>
      </rPr>
      <t xml:space="preserve"> (Kreuzung)
</t>
    </r>
  </si>
  <si>
    <r>
      <rPr>
        <i/>
        <sz val="8"/>
        <rFont val="Arial"/>
        <family val="2"/>
      </rPr>
      <t>Thierstein (110):</t>
    </r>
    <r>
      <rPr>
        <b/>
        <sz val="8"/>
        <rFont val="Arial"/>
        <family val="2"/>
      </rPr>
      <t xml:space="preserve">
Galgenberg </t>
    </r>
    <r>
      <rPr>
        <sz val="8"/>
        <rFont val="Arial"/>
        <family val="2"/>
      </rPr>
      <t xml:space="preserve">(Kreuzung) - Thierstein - Hafendeck - Pfannenstiel - Blumenthal - </t>
    </r>
    <r>
      <rPr>
        <b/>
        <sz val="8"/>
        <rFont val="Arial"/>
        <family val="2"/>
      </rPr>
      <t>Wellerthal</t>
    </r>
    <r>
      <rPr>
        <sz val="8"/>
        <rFont val="Arial"/>
        <family val="2"/>
      </rPr>
      <t xml:space="preserve"> (Abzweig Ri Norden nach Egerbrücke)
</t>
    </r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</si>
  <si>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Wellerthal </t>
    </r>
    <r>
      <rPr>
        <sz val="8"/>
        <rFont val="Arial"/>
        <family val="2"/>
      </rPr>
      <t xml:space="preserve">(Abzweig Ri Norden nach Egerbrücke) - Wunsiedler Weiher - Selb - Vielitz - </t>
    </r>
    <r>
      <rPr>
        <b/>
        <sz val="8"/>
        <rFont val="Arial"/>
        <family val="2"/>
      </rPr>
      <t>Waldrand Vielietzer Höhe</t>
    </r>
  </si>
  <si>
    <r>
      <rPr>
        <i/>
        <sz val="8"/>
        <rFont val="Arial"/>
        <family val="2"/>
      </rPr>
      <t>Schönwald (105):</t>
    </r>
    <r>
      <rPr>
        <b/>
        <sz val="8"/>
        <rFont val="Arial"/>
        <family val="2"/>
      </rPr>
      <t xml:space="preserve">
Waldrand Vielietzer Höhe</t>
    </r>
    <r>
      <rPr>
        <sz val="8"/>
        <rFont val="Arial"/>
        <family val="2"/>
      </rPr>
      <t xml:space="preserve"> - Querung WUN15 - s Schönwald -</t>
    </r>
    <r>
      <rPr>
        <b/>
        <sz val="8"/>
        <rFont val="Arial"/>
        <family val="2"/>
      </rPr>
      <t>Göringsreuth</t>
    </r>
  </si>
  <si>
    <r>
      <rPr>
        <i/>
        <sz val="8"/>
        <rFont val="Arial"/>
        <family val="2"/>
      </rPr>
      <t>Rehau (4):</t>
    </r>
    <r>
      <rPr>
        <b/>
        <sz val="8"/>
        <rFont val="Arial"/>
        <family val="2"/>
      </rPr>
      <t xml:space="preserve">
Göringsreuth </t>
    </r>
    <r>
      <rPr>
        <sz val="8"/>
        <rFont val="Arial"/>
        <family val="2"/>
      </rPr>
      <t xml:space="preserve">- Wüstenbrunn - NP-Grenze - Rehau - Osseck a. Wald - Klötzlamühle - Regnitzlosau - Nentschau - Mittelhammer - Oberzech - </t>
    </r>
    <r>
      <rPr>
        <b/>
        <sz val="8"/>
        <rFont val="Arial"/>
        <family val="2"/>
      </rPr>
      <t xml:space="preserve">Dreiländereck
</t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</si>
  <si>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Sparneck (Mühlteichplatz) </t>
    </r>
    <r>
      <rPr>
        <sz val="8"/>
        <rFont val="Arial"/>
        <family val="2"/>
      </rPr>
      <t xml:space="preserve">- Münchberger-/Rosmarin-/Humbertusstr. - HO 20 - Reinersreuth - entlang Kälbergraben - Querung Sächsische Saale -  Grobenbühl - Stockenroth / Germersreuth  - Höhe 543 - Saalmühle - Saalmühlstr. - Pfarrbachweg - </t>
    </r>
    <r>
      <rPr>
        <b/>
        <sz val="8"/>
        <rFont val="Arial"/>
        <family val="2"/>
      </rPr>
      <t>Ausgangspunkt</t>
    </r>
  </si>
  <si>
    <r>
      <t xml:space="preserve"> Bad Berneck (302):
</t>
    </r>
    <r>
      <rPr>
        <b/>
        <sz val="8"/>
        <rFont val="Arial"/>
        <family val="2"/>
      </rPr>
      <t xml:space="preserve">Stein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 xml:space="preserve">Kreuzung nw Ruine
</t>
    </r>
  </si>
  <si>
    <t>Stein - Weißensteingipfel,  FGV-WegNr. 51,  
Markierungsabschnitte 1 - 3</t>
  </si>
  <si>
    <r>
      <t xml:space="preserve"> Gefrees (504):
</t>
    </r>
    <r>
      <rPr>
        <b/>
        <sz val="8"/>
        <rFont val="Arial"/>
        <family val="2"/>
      </rPr>
      <t xml:space="preserve">Kreuzung nw Ruine </t>
    </r>
    <r>
      <rPr>
        <sz val="8"/>
        <rFont val="Arial"/>
        <family val="2"/>
      </rPr>
      <t xml:space="preserve">- Ölschnitztal - Entenmühle - Lützenreuth - n Wachberg - Höhe 544 - Querung A 9 - BT 10 - </t>
    </r>
    <r>
      <rPr>
        <b/>
        <sz val="8"/>
        <rFont val="Arial"/>
        <family val="2"/>
      </rPr>
      <t>Höhe 564 / w Höflas</t>
    </r>
    <r>
      <rPr>
        <b/>
        <sz val="8"/>
        <rFont val="Arial"/>
        <family val="2"/>
      </rPr>
      <t xml:space="preserve">
</t>
    </r>
  </si>
  <si>
    <r>
      <t xml:space="preserve"> Weißensteinverein (410):
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Höhe 564 / w Höflas</t>
    </r>
    <r>
      <rPr>
        <sz val="8"/>
        <rFont val="Arial"/>
        <family val="2"/>
      </rPr>
      <t xml:space="preserve"> - w Bärenbühl - </t>
    </r>
    <r>
      <rPr>
        <b/>
        <sz val="8"/>
        <rFont val="Arial"/>
        <family val="2"/>
      </rPr>
      <t>Weißensteingipfel</t>
    </r>
  </si>
  <si>
    <r>
      <rPr>
        <i/>
        <sz val="8"/>
        <rFont val="Arial"/>
        <family val="2"/>
      </rPr>
      <t xml:space="preserve">Weißensteinverein (410):
</t>
    </r>
    <r>
      <rPr>
        <b/>
        <sz val="8"/>
        <rFont val="Arial"/>
        <family val="2"/>
      </rPr>
      <t xml:space="preserve">Weißenstein </t>
    </r>
    <r>
      <rPr>
        <sz val="8"/>
        <rFont val="Arial"/>
        <family val="2"/>
      </rPr>
      <t>(AT bei Stammbach) - Tennersreuth -</t>
    </r>
    <r>
      <rPr>
        <b/>
        <sz val="8"/>
        <rFont val="Arial"/>
        <family val="2"/>
      </rPr>
      <t xml:space="preserve"> Mödlenreuth (B 2) </t>
    </r>
  </si>
  <si>
    <t>Weißenstein bei Stammbach - Saalequelle, FGV-WegNr 39, Markierungsabschnitte 1 - 2</t>
  </si>
  <si>
    <r>
      <rPr>
        <i/>
        <sz val="8"/>
        <rFont val="Arial"/>
        <family val="2"/>
      </rPr>
      <t xml:space="preserve">Zell (408):
</t>
    </r>
    <r>
      <rPr>
        <b/>
        <sz val="8"/>
        <rFont val="Arial"/>
        <family val="2"/>
      </rPr>
      <t xml:space="preserve">Mödlenreuth (B 2) </t>
    </r>
    <r>
      <rPr>
        <sz val="8"/>
        <rFont val="Arial"/>
        <family val="2"/>
      </rPr>
      <t xml:space="preserve">- Grossenau - Höhe 687,9 - </t>
    </r>
    <r>
      <rPr>
        <b/>
        <sz val="8"/>
        <rFont val="Arial"/>
        <family val="2"/>
      </rPr>
      <t xml:space="preserve">Sächsische Saalequelle
</t>
    </r>
  </si>
  <si>
    <r>
      <t xml:space="preserve">Gefrees (504):
</t>
    </r>
    <r>
      <rPr>
        <b/>
        <sz val="8"/>
        <rFont val="Arial"/>
        <family val="2"/>
      </rPr>
      <t>Gefrees (Westweg)</t>
    </r>
    <r>
      <rPr>
        <sz val="8"/>
        <rFont val="Arial"/>
        <family val="2"/>
      </rPr>
      <t xml:space="preserve"> - Hauptstr. - Ri O Galgenberg - s Oberneuenreuth - HO 39 - Tannenreuth -</t>
    </r>
    <r>
      <rPr>
        <b/>
        <sz val="8"/>
        <rFont val="Arial"/>
        <family val="2"/>
      </rPr>
      <t xml:space="preserve"> Münchberger Stadtwald  (Wegegabel w Höhe 687,9)
</t>
    </r>
  </si>
  <si>
    <t>Gefrees - Großer Waldstein,  FGV-WegNr. 37,  
3  Markierungsabschnitte</t>
  </si>
  <si>
    <t>002040_V_Korr-2021_Tannenreuth</t>
  </si>
  <si>
    <t>Korrekturmeldung an LDBV, Günter, 15.03.2021</t>
  </si>
  <si>
    <r>
      <t xml:space="preserve">Zell (408):
</t>
    </r>
    <r>
      <rPr>
        <b/>
        <sz val="8"/>
        <rFont val="Arial"/>
        <family val="2"/>
      </rPr>
      <t xml:space="preserve"> Münchberger Stadtwald  (Wegegabel w Höhe 687,9) </t>
    </r>
    <r>
      <rPr>
        <sz val="8"/>
        <rFont val="Arial"/>
        <family val="2"/>
      </rPr>
      <t xml:space="preserve"> - Höhe 687,9 - s Saalequelle - </t>
    </r>
    <r>
      <rPr>
        <b/>
        <sz val="8"/>
        <rFont val="Arial"/>
        <family val="2"/>
      </rPr>
      <t xml:space="preserve">Abzweig vor Wegespinne (ssw Höhe 825) 
</t>
    </r>
  </si>
  <si>
    <r>
      <t xml:space="preserve">Münchberg (403):
</t>
    </r>
    <r>
      <rPr>
        <b/>
        <sz val="8"/>
        <rFont val="Arial"/>
        <family val="2"/>
      </rPr>
      <t xml:space="preserve"> Abzweig vor Wegespinne (ssw Höhe 825) </t>
    </r>
    <r>
      <rPr>
        <sz val="8"/>
        <rFont val="Arial"/>
        <family val="2"/>
      </rPr>
      <t xml:space="preserve">- Höhe 837 - </t>
    </r>
    <r>
      <rPr>
        <b/>
        <sz val="8"/>
        <rFont val="Arial"/>
        <family val="2"/>
      </rPr>
      <t>Großer Waldstein</t>
    </r>
    <r>
      <rPr>
        <sz val="8"/>
        <rFont val="Arial"/>
        <family val="2"/>
      </rPr>
      <t xml:space="preserve"> 
</t>
    </r>
  </si>
  <si>
    <r>
      <rPr>
        <i/>
        <sz val="8"/>
        <rFont val="Arial"/>
        <family val="2"/>
      </rPr>
      <t>Schwarzenbach (406):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Schwarzenbach </t>
    </r>
    <r>
      <rPr>
        <sz val="8"/>
        <rFont val="Arial"/>
        <family val="2"/>
      </rPr>
      <t xml:space="preserve">– Hallerstein –  </t>
    </r>
    <r>
      <rPr>
        <b/>
        <sz val="8"/>
        <rFont val="Arial"/>
        <family val="2"/>
      </rPr>
      <t>St2176</t>
    </r>
  </si>
  <si>
    <t>Schwarzenbach - Wunsiedel,  FGV-WegNr  1, Markierungsabschnitte 1 - 9</t>
  </si>
  <si>
    <r>
      <rPr>
        <i/>
        <sz val="8"/>
        <rFont val="Arial"/>
        <family val="2"/>
      </rPr>
      <t>Sparneck (407):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St2176 </t>
    </r>
    <r>
      <rPr>
        <sz val="8"/>
        <rFont val="Arial"/>
        <family val="2"/>
      </rPr>
      <t xml:space="preserve">- w Bergkopf - Weidenbrunnen- </t>
    </r>
    <r>
      <rPr>
        <b/>
        <sz val="8"/>
        <rFont val="Arial"/>
        <family val="2"/>
      </rPr>
      <t>WUN 3</t>
    </r>
  </si>
  <si>
    <r>
      <rPr>
        <i/>
        <sz val="8"/>
        <rFont val="Arial"/>
        <family val="2"/>
      </rPr>
      <t>Münchberg (403):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WUN 3 - </t>
    </r>
    <r>
      <rPr>
        <sz val="8"/>
        <rFont val="Arial"/>
        <family val="2"/>
      </rPr>
      <t>Waldstein</t>
    </r>
    <r>
      <rPr>
        <b/>
        <sz val="8"/>
        <rFont val="Arial"/>
        <family val="2"/>
      </rPr>
      <t xml:space="preserve"> - Höhe 770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</si>
  <si>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Weißenstadt (512):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Höhe 770 - </t>
    </r>
    <r>
      <rPr>
        <sz val="8"/>
        <rFont val="Arial"/>
        <family val="2"/>
      </rPr>
      <t xml:space="preserve">Weißenstadt - </t>
    </r>
    <r>
      <rPr>
        <b/>
        <sz val="8"/>
        <rFont val="Arial"/>
        <family val="2"/>
      </rPr>
      <t xml:space="preserve"> Weißenstadt (w Deponie)</t>
    </r>
    <r>
      <rPr>
        <sz val="8"/>
        <rFont val="Arial"/>
        <family val="2"/>
      </rPr>
      <t xml:space="preserve">
</t>
    </r>
  </si>
  <si>
    <t>001996_002050_002051_Korr-2020_Weissensstadt.gpx</t>
  </si>
  <si>
    <r>
      <rPr>
        <i/>
        <sz val="8"/>
        <rFont val="Arial"/>
        <family val="2"/>
      </rPr>
      <t>Franken (503):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Weißenstadt</t>
    </r>
    <r>
      <rPr>
        <sz val="8"/>
        <rFont val="Arial"/>
        <family val="2"/>
      </rPr>
      <t xml:space="preserve"> (</t>
    </r>
    <r>
      <rPr>
        <b/>
        <sz val="8"/>
        <rFont val="Arial"/>
        <family val="2"/>
      </rPr>
      <t xml:space="preserve">w Deponie) </t>
    </r>
    <r>
      <rPr>
        <sz val="8"/>
        <rFont val="Arial"/>
        <family val="2"/>
      </rPr>
      <t xml:space="preserve">- Rudolfstein - Drei Brüder - Rudolfsattel - </t>
    </r>
    <r>
      <rPr>
        <b/>
        <sz val="8"/>
        <rFont val="Arial"/>
        <family val="2"/>
      </rPr>
      <t xml:space="preserve">Wegespinne (Höhe 830) 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</si>
  <si>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Vordorf (511):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Wegespinne (Höhe 830) </t>
    </r>
    <r>
      <rPr>
        <sz val="8"/>
        <rFont val="Arial"/>
        <family val="2"/>
      </rPr>
      <t xml:space="preserve">- Schneeberg - Nußhardt - Seehaus - Platte - </t>
    </r>
    <r>
      <rPr>
        <b/>
        <sz val="8"/>
        <rFont val="Arial"/>
        <family val="2"/>
      </rPr>
      <t>Silberhaus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</si>
  <si>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Tröstau (510):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Silberhaus </t>
    </r>
    <r>
      <rPr>
        <sz val="8"/>
        <rFont val="Arial"/>
        <family val="2"/>
      </rPr>
      <t xml:space="preserve">- Prinzenfelsen - Hinterer/Vorderer Ringberg - </t>
    </r>
    <r>
      <rPr>
        <b/>
        <sz val="8"/>
        <rFont val="Arial"/>
        <family val="2"/>
      </rPr>
      <t>Hohe Matze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</si>
  <si>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Nagel (204):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Hohe Matze - </t>
    </r>
    <r>
      <rPr>
        <sz val="8"/>
        <rFont val="Arial"/>
        <family val="2"/>
      </rPr>
      <t xml:space="preserve">Hohenbrand </t>
    </r>
    <r>
      <rPr>
        <b/>
        <sz val="8"/>
        <rFont val="Arial"/>
        <family val="2"/>
      </rPr>
      <t>- n Kösseine</t>
    </r>
  </si>
  <si>
    <r>
      <rPr>
        <i/>
        <sz val="8"/>
        <rFont val="Arial"/>
        <family val="2"/>
      </rPr>
      <t>Wunsiedel (513):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n Kösseine </t>
    </r>
    <r>
      <rPr>
        <sz val="8"/>
        <rFont val="Arial"/>
        <family val="2"/>
      </rPr>
      <t xml:space="preserve">- Kösseine - Luisenburg - </t>
    </r>
    <r>
      <rPr>
        <b/>
        <sz val="8"/>
        <rFont val="Arial"/>
        <family val="2"/>
      </rPr>
      <t xml:space="preserve">Wunsiedel </t>
    </r>
    <r>
      <rPr>
        <sz val="8"/>
        <rFont val="Arial"/>
        <family val="2"/>
      </rPr>
      <t xml:space="preserve">(Bahnhof)
</t>
    </r>
  </si>
  <si>
    <r>
      <rPr>
        <i/>
        <sz val="8"/>
        <rFont val="Arial"/>
        <family val="2"/>
      </rPr>
      <t xml:space="preserve">Hof (402)):
</t>
    </r>
    <r>
      <rPr>
        <b/>
        <sz val="8"/>
        <rFont val="Arial"/>
        <family val="2"/>
      </rPr>
      <t xml:space="preserve">Eppenreuther Mühle </t>
    </r>
    <r>
      <rPr>
        <sz val="8"/>
        <rFont val="Arial"/>
        <family val="2"/>
      </rPr>
      <t xml:space="preserve">- entlang Ostufer Untreusee - </t>
    </r>
    <r>
      <rPr>
        <b/>
        <sz val="8"/>
        <rFont val="Arial"/>
        <family val="2"/>
      </rPr>
      <t>s Stelzenhof</t>
    </r>
  </si>
  <si>
    <t>Seenweg, Markierungsabschnitt Fichtelgebirge; Hof - Kirchenlaibach,  FGV-WegNr. 17, Markierungsabschnitte 1 - 11</t>
  </si>
  <si>
    <t>Übergabepunkte noch unklar !</t>
  </si>
  <si>
    <r>
      <rPr>
        <i/>
        <sz val="8"/>
        <rFont val="Arial"/>
        <family val="2"/>
      </rPr>
      <t xml:space="preserve">Oberkotzau (404):
</t>
    </r>
    <r>
      <rPr>
        <b/>
        <sz val="8"/>
        <rFont val="Arial"/>
        <family val="2"/>
      </rPr>
      <t xml:space="preserve">Eppenreuther Mühle </t>
    </r>
    <r>
      <rPr>
        <sz val="8"/>
        <rFont val="Arial"/>
        <family val="2"/>
      </rPr>
      <t xml:space="preserve">- Unterpferdt - Lerchenberg - </t>
    </r>
    <r>
      <rPr>
        <b/>
        <sz val="8"/>
        <rFont val="Arial"/>
        <family val="2"/>
      </rPr>
      <t>Stobersreuth</t>
    </r>
  </si>
  <si>
    <r>
      <rPr>
        <i/>
        <sz val="8"/>
        <rFont val="Arial"/>
        <family val="2"/>
      </rPr>
      <t xml:space="preserve">Schwarzenbach(406):
</t>
    </r>
    <r>
      <rPr>
        <b/>
        <sz val="8"/>
        <rFont val="Arial"/>
        <family val="2"/>
      </rPr>
      <t xml:space="preserve">Stobersreuth </t>
    </r>
    <r>
      <rPr>
        <sz val="8"/>
        <rFont val="Arial"/>
        <family val="2"/>
      </rPr>
      <t xml:space="preserve">- Förbau - Förmitzspeicher - Förmitz - w Albertsberg - </t>
    </r>
    <r>
      <rPr>
        <b/>
        <sz val="8"/>
        <rFont val="Arial"/>
        <family val="2"/>
      </rPr>
      <t xml:space="preserve">St2176
</t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</si>
  <si>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>St2176</t>
    </r>
    <r>
      <rPr>
        <sz val="8"/>
        <rFont val="Arial"/>
        <family val="2"/>
      </rPr>
      <t xml:space="preserve"> - Höhe 679  - Kleiner Waldstein - Höhe 764 -  </t>
    </r>
    <r>
      <rPr>
        <b/>
        <sz val="8"/>
        <rFont val="Arial"/>
        <family val="2"/>
      </rPr>
      <t>HO18</t>
    </r>
  </si>
  <si>
    <t xml:space="preserve">Münchberg </t>
  </si>
  <si>
    <r>
      <rPr>
        <i/>
        <sz val="8"/>
        <rFont val="Arial"/>
        <family val="2"/>
      </rPr>
      <t xml:space="preserve">Münchberg (403):
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HO18 </t>
    </r>
    <r>
      <rPr>
        <sz val="8"/>
        <rFont val="Arial"/>
        <family val="2"/>
      </rPr>
      <t xml:space="preserve">- Waldstein - Steinbruch - Höhe 810 - </t>
    </r>
    <r>
      <rPr>
        <b/>
        <sz val="8"/>
        <rFont val="Arial"/>
        <family val="2"/>
      </rPr>
      <t>Abzweig w WUN3</t>
    </r>
  </si>
  <si>
    <r>
      <rPr>
        <i/>
        <sz val="8"/>
        <rFont val="Arial"/>
        <family val="2"/>
      </rPr>
      <t xml:space="preserve">Weißenstadt (512):
</t>
    </r>
    <r>
      <rPr>
        <b/>
        <sz val="8"/>
        <rFont val="Arial"/>
        <family val="2"/>
      </rPr>
      <t xml:space="preserve">Abzweig w WUN3 </t>
    </r>
    <r>
      <rPr>
        <sz val="8"/>
        <rFont val="Arial"/>
        <family val="2"/>
      </rPr>
      <t xml:space="preserve">- Schullandheim - Bad - entlang Weißenstädter See - </t>
    </r>
    <r>
      <rPr>
        <b/>
        <sz val="8"/>
        <rFont val="Arial"/>
        <family val="2"/>
      </rPr>
      <t xml:space="preserve">Weißenstadt (Wegegabel w Deponie)
</t>
    </r>
  </si>
  <si>
    <r>
      <rPr>
        <i/>
        <sz val="8"/>
        <rFont val="Arial"/>
        <family val="2"/>
      </rPr>
      <t xml:space="preserve">Franken (503):
</t>
    </r>
    <r>
      <rPr>
        <b/>
        <sz val="8"/>
        <rFont val="Arial"/>
        <family val="2"/>
      </rPr>
      <t xml:space="preserve">Weißenstadt </t>
    </r>
    <r>
      <rPr>
        <sz val="8"/>
        <rFont val="Arial"/>
        <family val="2"/>
      </rPr>
      <t>(</t>
    </r>
    <r>
      <rPr>
        <b/>
        <sz val="8"/>
        <rFont val="Arial"/>
        <family val="2"/>
      </rPr>
      <t>Wegegabel w Deponie)</t>
    </r>
    <r>
      <rPr>
        <sz val="8"/>
        <rFont val="Arial"/>
        <family val="2"/>
      </rPr>
      <t xml:space="preserve"> - Rudolfstein - Rudolfsattel - </t>
    </r>
    <r>
      <rPr>
        <b/>
        <sz val="8"/>
        <rFont val="Arial"/>
        <family val="2"/>
      </rPr>
      <t xml:space="preserve">Wegespinne Höhe 830 </t>
    </r>
    <r>
      <rPr>
        <sz val="8"/>
        <rFont val="Arial"/>
        <family val="2"/>
      </rPr>
      <t xml:space="preserve">(32U 706420E 5542773N)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</si>
  <si>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Wegespinne Höhe 830 </t>
    </r>
    <r>
      <rPr>
        <sz val="8"/>
        <rFont val="Arial"/>
        <family val="2"/>
      </rPr>
      <t xml:space="preserve">- Röslauquelle - Nußhardt - Seehaus - </t>
    </r>
    <r>
      <rPr>
        <b/>
        <sz val="8"/>
        <rFont val="Arial"/>
        <family val="2"/>
      </rPr>
      <t>Kreuzung Forstweg (Höhe865</t>
    </r>
    <r>
      <rPr>
        <sz val="8"/>
        <rFont val="Arial"/>
        <family val="2"/>
      </rPr>
      <t xml:space="preserve"> / 32U 705335E 5546005N</t>
    </r>
    <r>
      <rPr>
        <b/>
        <sz val="8"/>
        <rFont val="Arial"/>
        <family val="2"/>
      </rPr>
      <t>)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</si>
  <si>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Kreuzung Forstweg (Höhe865 / </t>
    </r>
    <r>
      <rPr>
        <sz val="8"/>
        <rFont val="Arial"/>
        <family val="2"/>
      </rPr>
      <t>32U 705335E 5546005N</t>
    </r>
    <r>
      <rPr>
        <b/>
        <sz val="8"/>
        <rFont val="Arial"/>
        <family val="2"/>
      </rPr>
      <t xml:space="preserve">) </t>
    </r>
    <r>
      <rPr>
        <sz val="8"/>
        <rFont val="Arial"/>
        <family val="2"/>
      </rPr>
      <t xml:space="preserve">- Parkplatz B303 - Fichtelsee - Gregnitzhügel - </t>
    </r>
    <r>
      <rPr>
        <b/>
        <sz val="8"/>
        <rFont val="Arial"/>
        <family val="2"/>
      </rPr>
      <t xml:space="preserve">Wegekreuzung s Höhe 680 </t>
    </r>
    <r>
      <rPr>
        <sz val="8"/>
        <rFont val="Arial"/>
        <family val="2"/>
      </rPr>
      <t xml:space="preserve">(32U 706420E 5542773N)
</t>
    </r>
  </si>
  <si>
    <r>
      <rPr>
        <i/>
        <sz val="8"/>
        <rFont val="Arial"/>
        <family val="2"/>
      </rPr>
      <t xml:space="preserve">Nagel (204):
</t>
    </r>
    <r>
      <rPr>
        <b/>
        <sz val="8"/>
        <rFont val="Arial"/>
        <family val="2"/>
      </rPr>
      <t xml:space="preserve">Wegekreuzung s Höhe 680 </t>
    </r>
    <r>
      <rPr>
        <sz val="8"/>
        <rFont val="Arial"/>
        <family val="2"/>
      </rPr>
      <t>(32U 706420E 5542773N)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Querung WUN10 - Reisingerhöhe - Nagler See - Nagel - </t>
    </r>
    <r>
      <rPr>
        <b/>
        <sz val="8"/>
        <rFont val="Arial"/>
        <family val="2"/>
      </rPr>
      <t>St2665 Abzweig Ölbühl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</si>
  <si>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Brand (206):
</t>
    </r>
    <r>
      <rPr>
        <b/>
        <sz val="8"/>
        <rFont val="Arial"/>
        <family val="2"/>
      </rPr>
      <t xml:space="preserve">St2665 Abzweig Ölbühl </t>
    </r>
    <r>
      <rPr>
        <sz val="8"/>
        <rFont val="Arial"/>
        <family val="2"/>
      </rPr>
      <t xml:space="preserve">- Neubrand - Brand - Grünberg - Ölbrunn - Babilon - </t>
    </r>
    <r>
      <rPr>
        <b/>
        <sz val="8"/>
        <rFont val="Arial"/>
        <family val="2"/>
      </rPr>
      <t xml:space="preserve">Wegekreuzung s Babilon </t>
    </r>
    <r>
      <rPr>
        <sz val="8"/>
        <rFont val="Arial"/>
        <family val="2"/>
      </rPr>
      <t xml:space="preserve">(32U 706977E 5534735N)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</si>
  <si>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Wegekreuzung s Babilon </t>
    </r>
    <r>
      <rPr>
        <sz val="8"/>
        <rFont val="Arial"/>
        <family val="2"/>
      </rPr>
      <t>(32U 706977E 5534735N)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Döberein - Bahnhof Immenreuth - Großer Hirschbergweiher - Haidenaab/Göppmansbühl - Tauritzmühle - Speichersdorf - </t>
    </r>
    <r>
      <rPr>
        <b/>
        <sz val="8"/>
        <rFont val="Arial"/>
        <family val="2"/>
      </rPr>
      <t>Bahnhof Kirchenlaibach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</si>
  <si>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Weißenstadt (512):</t>
    </r>
    <r>
      <rPr>
        <b/>
        <sz val="8"/>
        <rFont val="Arial"/>
        <family val="2"/>
      </rPr>
      <t xml:space="preserve">
Egerquelle </t>
    </r>
    <r>
      <rPr>
        <sz val="8"/>
        <rFont val="Arial"/>
        <family val="2"/>
      </rPr>
      <t xml:space="preserve">- Weißenhaid - Schönlind - Weißenstadt - </t>
    </r>
    <r>
      <rPr>
        <b/>
        <sz val="8"/>
        <rFont val="Arial"/>
        <family val="2"/>
      </rPr>
      <t xml:space="preserve">Galgenberg
</t>
    </r>
  </si>
  <si>
    <r>
      <rPr>
        <i/>
        <sz val="8"/>
        <rFont val="Arial"/>
        <family val="2"/>
      </rPr>
      <t>Franken (503):</t>
    </r>
    <r>
      <rPr>
        <b/>
        <sz val="8"/>
        <rFont val="Arial"/>
        <family val="2"/>
      </rPr>
      <t xml:space="preserve">
Galgenberg </t>
    </r>
    <r>
      <rPr>
        <sz val="8"/>
        <rFont val="Arial"/>
        <family val="2"/>
      </rPr>
      <t xml:space="preserve">- Grub - </t>
    </r>
    <r>
      <rPr>
        <b/>
        <sz val="8"/>
        <rFont val="Arial"/>
        <family val="2"/>
      </rPr>
      <t xml:space="preserve">Gemeindegrenze Röslau ("Quärkla-Bänk")
</t>
    </r>
  </si>
  <si>
    <r>
      <rPr>
        <i/>
        <sz val="8"/>
        <rFont val="Arial"/>
        <family val="2"/>
      </rPr>
      <t>Röslau (509):</t>
    </r>
    <r>
      <rPr>
        <b/>
        <sz val="8"/>
        <rFont val="Arial"/>
        <family val="2"/>
      </rPr>
      <t xml:space="preserve">
Gemeindegrenze Röslau ("Quärkla-Bänk")</t>
    </r>
    <r>
      <rPr>
        <sz val="8"/>
        <rFont val="Arial"/>
        <family val="2"/>
      </rPr>
      <t xml:space="preserve"> - Röslau - </t>
    </r>
    <r>
      <rPr>
        <b/>
        <sz val="8"/>
        <rFont val="Arial"/>
        <family val="2"/>
      </rPr>
      <t xml:space="preserve">Egersteg 
</t>
    </r>
  </si>
  <si>
    <r>
      <rPr>
        <i/>
        <sz val="8"/>
        <rFont val="Arial"/>
        <family val="2"/>
      </rPr>
      <t>Marktleuthen (507):</t>
    </r>
    <r>
      <rPr>
        <b/>
        <sz val="8"/>
        <rFont val="Arial"/>
        <family val="2"/>
      </rPr>
      <t xml:space="preserve">
Egersteg </t>
    </r>
    <r>
      <rPr>
        <sz val="8"/>
        <rFont val="Arial"/>
        <family val="2"/>
      </rPr>
      <t xml:space="preserve">- Neudorfer Mühle - Neumühle - Eckenmühle - Marktleuthen - Wendenhammer - Kaiserhammer - </t>
    </r>
    <r>
      <rPr>
        <b/>
        <sz val="8"/>
        <rFont val="Arial"/>
        <family val="2"/>
      </rPr>
      <t xml:space="preserve">Schwarzenhammer (Einmündung B15)
</t>
    </r>
  </si>
  <si>
    <r>
      <rPr>
        <i/>
        <sz val="8"/>
        <rFont val="Arial"/>
        <family val="2"/>
      </rPr>
      <t>Thierstein (110):</t>
    </r>
    <r>
      <rPr>
        <b/>
        <sz val="8"/>
        <rFont val="Arial"/>
        <family val="2"/>
      </rPr>
      <t xml:space="preserve">
Schwarzenhmmer (Einmündung B 15) </t>
    </r>
    <r>
      <rPr>
        <sz val="8"/>
        <rFont val="Arial"/>
        <family val="2"/>
      </rPr>
      <t xml:space="preserve">- Leupoldshammer - </t>
    </r>
    <r>
      <rPr>
        <b/>
        <sz val="8"/>
        <rFont val="Arial"/>
        <family val="2"/>
      </rPr>
      <t>ö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Wellerthal </t>
    </r>
    <r>
      <rPr>
        <sz val="8"/>
        <rFont val="Arial"/>
        <family val="2"/>
      </rPr>
      <t>(Egerbrücke/Parkplatz</t>
    </r>
    <r>
      <rPr>
        <b/>
        <sz val="8"/>
        <rFont val="Arial"/>
        <family val="2"/>
      </rPr>
      <t xml:space="preserve">)
</t>
    </r>
  </si>
  <si>
    <r>
      <rPr>
        <i/>
        <sz val="8"/>
        <rFont val="Arial"/>
        <family val="2"/>
      </rPr>
      <t>Hohenberg (111):</t>
    </r>
    <r>
      <rPr>
        <b/>
        <sz val="8"/>
        <rFont val="Arial"/>
        <family val="2"/>
      </rPr>
      <t xml:space="preserve">
ö Wellerthal </t>
    </r>
    <r>
      <rPr>
        <sz val="8"/>
        <rFont val="Arial"/>
        <family val="2"/>
      </rPr>
      <t xml:space="preserve">(Egerbrücke/Parkplatz) - Egerstau - Hohenberg - </t>
    </r>
    <r>
      <rPr>
        <b/>
        <sz val="8"/>
        <rFont val="Arial"/>
        <family val="2"/>
      </rPr>
      <t xml:space="preserve">Fischern
</t>
    </r>
  </si>
  <si>
    <r>
      <rPr>
        <i/>
        <sz val="8"/>
        <rFont val="Arial"/>
        <family val="2"/>
      </rPr>
      <t xml:space="preserve">Weißenstadt (512):
</t>
    </r>
    <r>
      <rPr>
        <b/>
        <sz val="8"/>
        <rFont val="Arial"/>
        <family val="2"/>
      </rPr>
      <t xml:space="preserve">Weißenstadt (Stadtweiherweg) </t>
    </r>
    <r>
      <rPr>
        <sz val="8"/>
        <rFont val="Arial"/>
        <family val="2"/>
      </rPr>
      <t xml:space="preserve">- Am Bahndamm - Sparnecker Str. - Zigeunermühle - Höhe 624 - </t>
    </r>
    <r>
      <rPr>
        <b/>
        <sz val="8"/>
        <rFont val="Arial"/>
        <family val="2"/>
      </rPr>
      <t xml:space="preserve">Fronlohe
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</si>
  <si>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Fronlohe </t>
    </r>
    <r>
      <rPr>
        <sz val="8"/>
        <rFont val="Arial"/>
        <family val="2"/>
      </rPr>
      <t xml:space="preserve">- Höhe 678,3 - Querung Kirschbach - Stich zum Epprechtstein - Höhe 676 - w Schnittlein - </t>
    </r>
    <r>
      <rPr>
        <b/>
        <sz val="8"/>
        <rFont val="Arial"/>
        <family val="2"/>
      </rPr>
      <t xml:space="preserve">oso Parkplatz </t>
    </r>
    <r>
      <rPr>
        <sz val="8"/>
        <rFont val="Arial"/>
        <family val="2"/>
      </rPr>
      <t xml:space="preserve">(32U 707911E 5560562N)
</t>
    </r>
  </si>
  <si>
    <r>
      <rPr>
        <i/>
        <sz val="8"/>
        <rFont val="Arial"/>
        <family val="2"/>
      </rPr>
      <t xml:space="preserve">Schwarzenbach (406):
</t>
    </r>
    <r>
      <rPr>
        <b/>
        <sz val="8"/>
        <rFont val="Arial"/>
        <family val="2"/>
      </rPr>
      <t xml:space="preserve">oso Parkplatz </t>
    </r>
    <r>
      <rPr>
        <sz val="8"/>
        <rFont val="Arial"/>
        <family val="2"/>
      </rPr>
      <t xml:space="preserve">(32U 707911E 5560562N) -  sö Kreuzstein - nw Wechselbühl - </t>
    </r>
    <r>
      <rPr>
        <b/>
        <sz val="8"/>
        <rFont val="Arial"/>
        <family val="2"/>
      </rPr>
      <t xml:space="preserve">Hallerstein
</t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</si>
  <si>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Sparneck (Marktplatz) </t>
    </r>
    <r>
      <rPr>
        <sz val="8"/>
        <rFont val="Arial"/>
        <family val="2"/>
      </rPr>
      <t>- Weißenstädter-/Einzelstr. - Höhe 632 - Neuwiesenbrunnen -</t>
    </r>
    <r>
      <rPr>
        <b/>
        <sz val="8"/>
        <rFont val="Arial"/>
        <family val="2"/>
      </rPr>
      <t xml:space="preserve"> Wegegabel Höhe 679
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</si>
  <si>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Wegekreuz Höhe 679 </t>
    </r>
    <r>
      <rPr>
        <sz val="8"/>
        <rFont val="Arial"/>
        <family val="2"/>
      </rPr>
      <t xml:space="preserve">- s Schnittlein - n Hetschlarrangen - Querung St 2176 - Färbergasse - Jahn-/Weißenstädter Str. - </t>
    </r>
    <r>
      <rPr>
        <b/>
        <sz val="8"/>
        <rFont val="Arial"/>
        <family val="2"/>
      </rPr>
      <t xml:space="preserve">Kirchenlamitz (Marktplatz)
</t>
    </r>
  </si>
  <si>
    <r>
      <rPr>
        <i/>
        <sz val="8"/>
        <rFont val="Arial"/>
        <family val="2"/>
      </rPr>
      <t xml:space="preserve">Zell (408):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Zell</t>
    </r>
    <r>
      <rPr>
        <sz val="8"/>
        <rFont val="Arial"/>
        <family val="2"/>
      </rPr>
      <t xml:space="preserve"> (Marktplatz) - Waldsteinweg - Höhe 697 - Arnsteinfels - Wegekreuz beim Druidenfels
</t>
    </r>
  </si>
  <si>
    <r>
      <rPr>
        <i/>
        <sz val="8"/>
        <rFont val="Arial"/>
        <family val="2"/>
      </rPr>
      <t xml:space="preserve">Münchberg (403):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Wegekreuz beim Druidenfels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Waldstein
</t>
    </r>
  </si>
  <si>
    <r>
      <rPr>
        <i/>
        <sz val="8"/>
        <rFont val="Arial"/>
        <family val="2"/>
      </rPr>
      <t xml:space="preserve">Niederlamitz (508):
</t>
    </r>
    <r>
      <rPr>
        <b/>
        <sz val="8"/>
        <rFont val="Arial"/>
        <family val="2"/>
      </rPr>
      <t xml:space="preserve">Hirschstein </t>
    </r>
    <r>
      <rPr>
        <sz val="8"/>
        <rFont val="Arial"/>
        <family val="2"/>
      </rPr>
      <t xml:space="preserve">- n Dörflas - Höhe 591 - </t>
    </r>
    <r>
      <rPr>
        <b/>
        <sz val="8"/>
        <rFont val="Arial"/>
        <family val="2"/>
      </rPr>
      <t>Eisenbahnlinie</t>
    </r>
  </si>
  <si>
    <t>Hirschstein - Lamitzbrunnen,   FGV-WegNr 31, Markierungsabschnitte 1 -3</t>
  </si>
  <si>
    <r>
      <rPr>
        <i/>
        <sz val="8"/>
        <rFont val="Arial"/>
        <family val="2"/>
      </rPr>
      <t xml:space="preserve">Schwarzenbach (406):
</t>
    </r>
    <r>
      <rPr>
        <b/>
        <sz val="8"/>
        <rFont val="Arial"/>
        <family val="2"/>
      </rPr>
      <t>Eisenbahnlinie</t>
    </r>
    <r>
      <rPr>
        <sz val="8"/>
        <rFont val="Arial"/>
        <family val="2"/>
      </rPr>
      <t xml:space="preserve"> - Fahrenbühl - Spindelbrunnen - WA Vogelherd - n Schiedarangen - St 2177 - Höhe 660 - s Wechselbühl / Kreuzstein Schindelberg - </t>
    </r>
    <r>
      <rPr>
        <b/>
        <sz val="8"/>
        <rFont val="Arial"/>
        <family val="2"/>
      </rPr>
      <t>St2176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</si>
  <si>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>St2176</t>
    </r>
    <r>
      <rPr>
        <sz val="8"/>
        <rFont val="Arial"/>
        <family val="2"/>
      </rPr>
      <t xml:space="preserve"> - Hoher Stein - </t>
    </r>
    <r>
      <rPr>
        <b/>
        <sz val="8"/>
        <rFont val="Arial"/>
        <family val="2"/>
      </rPr>
      <t>s Lamitzbrunnen</t>
    </r>
    <r>
      <rPr>
        <sz val="8"/>
        <rFont val="Arial"/>
        <family val="2"/>
      </rPr>
      <t xml:space="preserve"> ( nahe Wegespinne bei Einmündung Nordweg) 
</t>
    </r>
  </si>
  <si>
    <t>53a</t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</si>
  <si>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Sparneck (Marktplatz) </t>
    </r>
    <r>
      <rPr>
        <sz val="8"/>
        <rFont val="Arial"/>
        <family val="2"/>
      </rPr>
      <t xml:space="preserve">- Münchberger-/Rosmarienstr. - Querung HO20 - Reinersreuth - Höhe 759 - </t>
    </r>
    <r>
      <rPr>
        <b/>
        <sz val="8"/>
        <rFont val="Arial"/>
        <family val="2"/>
      </rPr>
      <t>Abzweig Endanstieg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Großer Waldstein
</t>
    </r>
  </si>
  <si>
    <t xml:space="preserve">Sparneck - Großer Waldstein, FGV-WegNr. 38,  Markierungsabschnitte 1 -2 </t>
  </si>
  <si>
    <r>
      <rPr>
        <i/>
        <sz val="8"/>
        <rFont val="Arial"/>
        <family val="2"/>
      </rPr>
      <t xml:space="preserve">Münchberg (403):
</t>
    </r>
    <r>
      <rPr>
        <b/>
        <sz val="8"/>
        <rFont val="Arial"/>
        <family val="2"/>
      </rPr>
      <t>Abzweig Endanstieg Großer Waldstein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Großer Waldstein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</si>
  <si>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Rehau </t>
    </r>
    <r>
      <rPr>
        <sz val="8"/>
        <rFont val="Arial"/>
        <family val="2"/>
      </rPr>
      <t>(Bahnhof)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Ri S / SW - Schulen - Höhe 557,0 - Rosenbühl - Pilgramsreuth - Ri SW - ö Muckenbühl / Steinbühl - </t>
    </r>
    <r>
      <rPr>
        <b/>
        <sz val="8"/>
        <rFont val="Arial"/>
        <family val="2"/>
      </rPr>
      <t xml:space="preserve">Wegekreuzung n Höhe 618 </t>
    </r>
    <r>
      <rPr>
        <sz val="8"/>
        <rFont val="Arial"/>
        <family val="2"/>
      </rPr>
      <t xml:space="preserve">(33U 286566E 5565011N)
</t>
    </r>
  </si>
  <si>
    <r>
      <rPr>
        <i/>
        <sz val="8"/>
        <rFont val="Arial"/>
        <family val="2"/>
      </rPr>
      <t xml:space="preserve">Schwarzenbach (406):
</t>
    </r>
    <r>
      <rPr>
        <b/>
        <sz val="8"/>
        <rFont val="Arial"/>
        <family val="2"/>
      </rPr>
      <t xml:space="preserve">Wegekreuzung n Höhe 618 </t>
    </r>
    <r>
      <rPr>
        <sz val="8"/>
        <rFont val="Arial"/>
        <family val="2"/>
      </rPr>
      <t xml:space="preserve">(33U 286566E 5565011N) - Querung Steinbach - nw Hauknock - Querung Turmallee - Querung Ringelbach - </t>
    </r>
    <r>
      <rPr>
        <b/>
        <sz val="8"/>
        <rFont val="Arial"/>
        <family val="2"/>
      </rPr>
      <t>Einmündung in Ringweg</t>
    </r>
    <r>
      <rPr>
        <sz val="8"/>
        <rFont val="Arial"/>
        <family val="2"/>
      </rPr>
      <t xml:space="preserve"> (32U 713806E 5563202N)
</t>
    </r>
  </si>
  <si>
    <r>
      <rPr>
        <i/>
        <sz val="8"/>
        <rFont val="Arial"/>
        <family val="2"/>
      </rPr>
      <t xml:space="preserve">Nieerlamitz (508):
</t>
    </r>
    <r>
      <rPr>
        <b/>
        <sz val="8"/>
        <rFont val="Arial"/>
        <family val="2"/>
      </rPr>
      <t>Einmündung in Ringweg</t>
    </r>
    <r>
      <rPr>
        <sz val="8"/>
        <rFont val="Arial"/>
        <family val="2"/>
      </rPr>
      <t xml:space="preserve"> (32U 713806E 5563202N) - Dörflas - </t>
    </r>
    <r>
      <rPr>
        <b/>
        <sz val="8"/>
        <rFont val="Arial"/>
        <family val="2"/>
      </rPr>
      <t xml:space="preserve">Kirchenlamitz Ost (Wustung)
</t>
    </r>
  </si>
  <si>
    <r>
      <t xml:space="preserve">Schwarzenbach (4):
</t>
    </r>
    <r>
      <rPr>
        <b/>
        <sz val="8"/>
        <rFont val="Arial"/>
        <family val="2"/>
      </rPr>
      <t xml:space="preserve">Schwarzenbach/Saale </t>
    </r>
    <r>
      <rPr>
        <sz val="8"/>
        <rFont val="Arial"/>
        <family val="2"/>
      </rPr>
      <t xml:space="preserve">(Bahnhof) - Martinlamitz - Höhe 599 - Turmallee - </t>
    </r>
    <r>
      <rPr>
        <b/>
        <sz val="8"/>
        <rFont val="Arial"/>
        <family val="2"/>
      </rPr>
      <t>Abzweig Endanstieg Kornberg</t>
    </r>
  </si>
  <si>
    <t>Korrektur 002229_V_Korr-2020 erledigt / Günter /05.05.2021</t>
  </si>
  <si>
    <r>
      <t xml:space="preserve">Niederlamitz (508):
</t>
    </r>
    <r>
      <rPr>
        <b/>
        <sz val="8"/>
        <rFont val="Arial"/>
        <family val="2"/>
      </rPr>
      <t>Abzweig Endanstieg Kornberg</t>
    </r>
    <r>
      <rPr>
        <sz val="8"/>
        <rFont val="Arial"/>
        <family val="2"/>
      </rPr>
      <t xml:space="preserve"> - Kornberg - WA Hasenbrunnen - </t>
    </r>
    <r>
      <rPr>
        <b/>
        <sz val="8"/>
        <rFont val="Arial"/>
        <family val="2"/>
      </rPr>
      <t>Wegekreuzung bei Höhe 689,9</t>
    </r>
  </si>
  <si>
    <r>
      <t xml:space="preserve">Marktleuthen (507):
</t>
    </r>
    <r>
      <rPr>
        <b/>
        <sz val="8"/>
        <rFont val="Arial"/>
        <family val="2"/>
      </rPr>
      <t xml:space="preserve">Wegekreuzung bei Höhe 689,9 </t>
    </r>
    <r>
      <rPr>
        <sz val="8"/>
        <rFont val="Arial"/>
        <family val="2"/>
      </rPr>
      <t xml:space="preserve">- Heidelheim - Rondell - </t>
    </r>
    <r>
      <rPr>
        <b/>
        <sz val="8"/>
        <rFont val="Arial"/>
        <family val="2"/>
      </rPr>
      <t>Kaiserhammer</t>
    </r>
  </si>
  <si>
    <r>
      <t xml:space="preserve">Thierstein (110):
</t>
    </r>
    <r>
      <rPr>
        <b/>
        <sz val="8"/>
        <rFont val="Arial"/>
        <family val="2"/>
      </rPr>
      <t xml:space="preserve">Kaiserhammer </t>
    </r>
    <r>
      <rPr>
        <sz val="8"/>
        <rFont val="Arial"/>
        <family val="2"/>
      </rPr>
      <t xml:space="preserve">- Querung BAB93 - B15 - Ziegelhütte - </t>
    </r>
    <r>
      <rPr>
        <b/>
        <sz val="8"/>
        <rFont val="Arial"/>
        <family val="2"/>
      </rPr>
      <t>Thierstein</t>
    </r>
  </si>
  <si>
    <r>
      <t xml:space="preserve">Röslau (509):
</t>
    </r>
    <r>
      <rPr>
        <b/>
        <sz val="8"/>
        <rFont val="Arial"/>
        <family val="2"/>
      </rPr>
      <t xml:space="preserve">Röslau </t>
    </r>
    <r>
      <rPr>
        <sz val="8"/>
        <rFont val="Arial"/>
        <family val="2"/>
      </rPr>
      <t xml:space="preserve">- Schafhaus - </t>
    </r>
    <r>
      <rPr>
        <b/>
        <sz val="8"/>
        <rFont val="Arial"/>
        <family val="2"/>
      </rPr>
      <t>Egersteg</t>
    </r>
    <r>
      <rPr>
        <sz val="8"/>
        <rFont val="Arial"/>
        <family val="2"/>
      </rPr>
      <t xml:space="preserve"> (ssw Höhe 605) </t>
    </r>
  </si>
  <si>
    <t>Röslau - Niederlamitz,  FGV-WegNr. 43,  Markierungsabschnitte 1 - 3</t>
  </si>
  <si>
    <r>
      <t xml:space="preserve">Marktleuthen (507):
</t>
    </r>
    <r>
      <rPr>
        <b/>
        <sz val="8"/>
        <rFont val="Arial"/>
        <family val="2"/>
      </rPr>
      <t>Egersteg</t>
    </r>
    <r>
      <rPr>
        <sz val="8"/>
        <rFont val="Arial"/>
        <family val="2"/>
      </rPr>
      <t xml:space="preserve"> (ssw Höhe 605) - Galgenberg - Marktleuthen - Hirschloh - </t>
    </r>
    <r>
      <rPr>
        <b/>
        <sz val="8"/>
        <rFont val="Arial"/>
        <family val="2"/>
      </rPr>
      <t xml:space="preserve">Weiher vor WUN1
</t>
    </r>
  </si>
  <si>
    <r>
      <t xml:space="preserve">Marktleuthen (5):
</t>
    </r>
    <r>
      <rPr>
        <b/>
        <sz val="8"/>
        <rFont val="Arial"/>
        <family val="2"/>
      </rPr>
      <t xml:space="preserve">Weiher vor WUN1 </t>
    </r>
    <r>
      <rPr>
        <sz val="8"/>
        <rFont val="Arial"/>
        <family val="2"/>
      </rPr>
      <t xml:space="preserve">- Querung WUN1 - </t>
    </r>
    <r>
      <rPr>
        <b/>
        <sz val="8"/>
        <rFont val="Arial"/>
        <family val="2"/>
      </rPr>
      <t xml:space="preserve">Niederlamitz (Bahnhof)
</t>
    </r>
  </si>
  <si>
    <r>
      <rPr>
        <i/>
        <sz val="8"/>
        <rFont val="Arial"/>
        <family val="2"/>
      </rPr>
      <t>Schwarzenbach (406):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Schwarzenbach/Saale (Bahnhof)</t>
    </r>
    <r>
      <rPr>
        <sz val="8"/>
        <rFont val="Arial"/>
        <family val="2"/>
      </rPr>
      <t xml:space="preserve"> - Förbau - Förmitztalsperre - Förmitz - </t>
    </r>
    <r>
      <rPr>
        <b/>
        <sz val="8"/>
        <rFont val="Arial"/>
        <family val="2"/>
      </rPr>
      <t xml:space="preserve">Hallerstein (Turnerheim) 
</t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</si>
  <si>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Parkplatz am Sportgelände </t>
    </r>
    <r>
      <rPr>
        <sz val="8"/>
        <rFont val="Arial"/>
        <family val="2"/>
      </rPr>
      <t xml:space="preserve">- Einöden - Höhe 573 - Querung Förmitzbach - Höhe 606 - s Brandenstumpf - Einöden - </t>
    </r>
    <r>
      <rPr>
        <b/>
        <sz val="8"/>
        <rFont val="Arial"/>
        <family val="2"/>
      </rPr>
      <t xml:space="preserve">Ausgangspunkt
</t>
    </r>
  </si>
  <si>
    <t>Stichweg doppelt gerechnet</t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</si>
  <si>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Hinteres Buchhaus (oberer Wanderparkplatz) </t>
    </r>
    <r>
      <rPr>
        <sz val="8"/>
        <rFont val="Arial"/>
        <family val="2"/>
      </rPr>
      <t xml:space="preserve">- Ri Epprechtstein - Höhe 733 - Hallersteiner Forst - ö Wolfsfels - Höhe 806 - s Signalfels - Querung Kirschbach - Südhang Gratzberg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</si>
  <si>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Hinteres Buchhaus (oberer Wanderparkplatz) </t>
    </r>
    <r>
      <rPr>
        <sz val="8"/>
        <rFont val="Arial"/>
        <family val="2"/>
      </rPr>
      <t xml:space="preserve">- Ri Epprechtstein - Höhe 733 - Ri S - Querung Kirschbach - Südhang Gratzberg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</si>
  <si>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Hinteres Buchhaus (oberer Wanderparkplatz) </t>
    </r>
    <r>
      <rPr>
        <sz val="8"/>
        <rFont val="Arial"/>
        <family val="2"/>
      </rPr>
      <t xml:space="preserve">- um den Gipfelbereich Epprechtstein - </t>
    </r>
    <r>
      <rPr>
        <b/>
        <sz val="8"/>
        <rFont val="Arial"/>
        <family val="2"/>
      </rPr>
      <t>Ausgangspunkt</t>
    </r>
  </si>
  <si>
    <t>505-11</t>
  </si>
  <si>
    <r>
      <rPr>
        <i/>
        <sz val="8"/>
        <rFont val="Arial"/>
        <family val="2"/>
      </rPr>
      <t>Kirchenlamitz (5):</t>
    </r>
    <r>
      <rPr>
        <b/>
        <sz val="8"/>
        <rFont val="Arial"/>
        <family val="2"/>
      </rPr>
      <t xml:space="preserve">
Hinteres Buchhaus</t>
    </r>
    <r>
      <rPr>
        <sz val="8"/>
        <rFont val="Arial"/>
        <family val="2"/>
      </rPr>
      <t xml:space="preserve"> (oberer Wanderparkplatz) - um den Gipfelbereich Epprechtstein - Abstieg Ri O - Ri S - Vorderes Buchhaus - </t>
    </r>
    <r>
      <rPr>
        <b/>
        <sz val="8"/>
        <rFont val="Arial"/>
        <family val="2"/>
      </rPr>
      <t xml:space="preserve">Ausgangspunkt
</t>
    </r>
  </si>
  <si>
    <t>Steinbruchweg, Rundwanderweg der Gemeinde Kirchenlamitz</t>
  </si>
  <si>
    <t>002292_V_Korr-2021_Vorderes Buchhaus</t>
  </si>
  <si>
    <t>Korrekturmeldung an LDBV, Günter, 25.03.2021</t>
  </si>
  <si>
    <r>
      <rPr>
        <i/>
        <sz val="8"/>
        <rFont val="Arial"/>
        <family val="2"/>
      </rPr>
      <t>Kirchenlamitz (505):</t>
    </r>
    <r>
      <rPr>
        <b/>
        <sz val="8"/>
        <rFont val="Arial"/>
        <family val="2"/>
      </rPr>
      <t xml:space="preserve">
Hinteres Buchhaus</t>
    </r>
    <r>
      <rPr>
        <sz val="8"/>
        <rFont val="Arial"/>
        <family val="2"/>
      </rPr>
      <t xml:space="preserve"> (unterer Wanderparkplatz) - Großschloppen - Höhe 595 - (bei Höhenlinie 550 Abkürzung Ri N zur Warte) - Raumetengrün - Auf der Warte - (Abkürzung vorbei am Buchenberg zum Vorderen Buchhaus) - Ri N durch Kirchenlamitz - Bad / Hasenmühle - Vorderes Buchhaus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</si>
  <si>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(Marktplatz) </t>
    </r>
    <r>
      <rPr>
        <sz val="8"/>
        <rFont val="Arial"/>
        <family val="2"/>
      </rPr>
      <t>- Am Pfarrweiher - Höhe 572,1 - s Höhe 635 -  Zinnbächlein - nw Neudorfer Fels -</t>
    </r>
    <r>
      <rPr>
        <b/>
        <sz val="8"/>
        <rFont val="Arial"/>
        <family val="2"/>
      </rPr>
      <t xml:space="preserve"> Buchberg 
</t>
    </r>
  </si>
  <si>
    <r>
      <rPr>
        <i/>
        <sz val="8"/>
        <rFont val="Arial"/>
        <family val="2"/>
      </rPr>
      <t xml:space="preserve">Franken (503):
</t>
    </r>
    <r>
      <rPr>
        <b/>
        <sz val="8"/>
        <rFont val="Arial"/>
        <family val="2"/>
      </rPr>
      <t>Buchberg</t>
    </r>
    <r>
      <rPr>
        <sz val="8"/>
        <rFont val="Arial"/>
        <family val="2"/>
      </rPr>
      <t xml:space="preserve"> - Fichtenhammer - Querung WUN1 - </t>
    </r>
    <r>
      <rPr>
        <b/>
        <sz val="8"/>
        <rFont val="Arial"/>
        <family val="2"/>
      </rPr>
      <t xml:space="preserve">Einmündung in Weg ö Fronlohe
</t>
    </r>
  </si>
  <si>
    <r>
      <rPr>
        <i/>
        <sz val="8"/>
        <rFont val="Arial"/>
        <family val="2"/>
      </rPr>
      <t xml:space="preserve">Kirchenlamitz (505):
</t>
    </r>
    <r>
      <rPr>
        <b/>
        <sz val="8"/>
        <rFont val="Arial"/>
        <family val="2"/>
      </rPr>
      <t xml:space="preserve">Einmündung in Weg ö Fronlohe - Fronlohe
</t>
    </r>
  </si>
  <si>
    <r>
      <rPr>
        <i/>
        <sz val="8"/>
        <rFont val="Arial"/>
        <family val="2"/>
      </rPr>
      <t xml:space="preserve">Weißenstadt (512):
</t>
    </r>
    <r>
      <rPr>
        <b/>
        <sz val="8"/>
        <rFont val="Arial"/>
        <family val="2"/>
      </rPr>
      <t xml:space="preserve">Fronlohe </t>
    </r>
    <r>
      <rPr>
        <sz val="8"/>
        <rFont val="Arial"/>
        <family val="2"/>
      </rPr>
      <t xml:space="preserve">- Zigeunermühle - </t>
    </r>
    <r>
      <rPr>
        <b/>
        <sz val="8"/>
        <rFont val="Arial"/>
        <family val="2"/>
      </rPr>
      <t xml:space="preserve">WUN3
</t>
    </r>
  </si>
  <si>
    <r>
      <rPr>
        <i/>
        <sz val="8"/>
        <rFont val="Arial"/>
        <family val="2"/>
      </rPr>
      <t xml:space="preserve">Münchberg (403):
</t>
    </r>
    <r>
      <rPr>
        <b/>
        <sz val="8"/>
        <rFont val="Arial"/>
        <family val="2"/>
      </rPr>
      <t xml:space="preserve">WUN3 </t>
    </r>
    <r>
      <rPr>
        <sz val="8"/>
        <rFont val="Arial"/>
        <family val="2"/>
      </rPr>
      <t xml:space="preserve">- Steinbruch - </t>
    </r>
    <r>
      <rPr>
        <b/>
        <sz val="8"/>
        <rFont val="Arial"/>
        <family val="2"/>
      </rPr>
      <t xml:space="preserve">Waldstein
</t>
    </r>
  </si>
  <si>
    <r>
      <rPr>
        <i/>
        <sz val="8"/>
        <rFont val="Arial"/>
        <family val="2"/>
      </rPr>
      <t xml:space="preserve">Marktleuthen (507):
</t>
    </r>
    <r>
      <rPr>
        <b/>
        <sz val="8"/>
        <rFont val="Arial"/>
        <family val="2"/>
      </rPr>
      <t xml:space="preserve">Unterer Markt (Wohnmobilstellplatz) </t>
    </r>
    <r>
      <rPr>
        <sz val="8"/>
        <rFont val="Arial"/>
        <family val="2"/>
      </rPr>
      <t xml:space="preserve">- ab Eisenbahnviadukt nordwärts entlang der Bahn nach Großwendern - westwärts Richtung Hohenbuch - auf Nr. 43 (002231, Blaukreuzweg) - </t>
    </r>
    <r>
      <rPr>
        <b/>
        <sz val="8"/>
        <rFont val="Arial"/>
        <family val="2"/>
      </rPr>
      <t>Ausgangspunkt</t>
    </r>
  </si>
  <si>
    <t>268</t>
  </si>
  <si>
    <r>
      <rPr>
        <i/>
        <sz val="8"/>
        <rFont val="Arial"/>
        <family val="2"/>
      </rPr>
      <t xml:space="preserve">Marktleuthen (507):
</t>
    </r>
    <r>
      <rPr>
        <b/>
        <sz val="8"/>
        <rFont val="Arial"/>
        <family val="2"/>
      </rPr>
      <t xml:space="preserve">Unterer Markt (Wohnmobilstellplatz) - </t>
    </r>
    <r>
      <rPr>
        <sz val="8"/>
        <rFont val="Arial"/>
        <family val="2"/>
      </rPr>
      <t xml:space="preserve">Neudeser Gasse - Galgenberg - </t>
    </r>
    <r>
      <rPr>
        <b/>
        <sz val="8"/>
        <rFont val="Arial"/>
        <family val="2"/>
      </rPr>
      <t xml:space="preserve">Neudes
</t>
    </r>
  </si>
  <si>
    <r>
      <rPr>
        <i/>
        <sz val="8"/>
        <rFont val="Arial"/>
        <family val="2"/>
      </rPr>
      <t xml:space="preserve">Marktleuthen (507):
</t>
    </r>
    <r>
      <rPr>
        <b/>
        <sz val="8"/>
        <rFont val="Arial"/>
        <family val="2"/>
      </rPr>
      <t xml:space="preserve">Unterer Markt (Wohnmobilstellplatz) </t>
    </r>
    <r>
      <rPr>
        <sz val="8"/>
        <rFont val="Arial"/>
        <family val="2"/>
      </rPr>
      <t xml:space="preserve">- Neudeser Gasse - Galgenberg - Ri Neudorf - Neudorfer Mühle - Eckenmühle - </t>
    </r>
    <r>
      <rPr>
        <b/>
        <sz val="8"/>
        <rFont val="Arial"/>
        <family val="2"/>
      </rPr>
      <t xml:space="preserve">Ausgangspunkt
</t>
    </r>
  </si>
  <si>
    <t>263</t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</si>
  <si>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(Marktplatz) </t>
    </r>
    <r>
      <rPr>
        <sz val="8"/>
        <rFont val="Arial"/>
        <family val="2"/>
      </rPr>
      <t xml:space="preserve">- Zwölfgipfelblick - Weihergebiet Egerauen - WA Egerholz - Höhe 579 - um den Neudorfer Fels - s Höhe 635 - Höhe 572,1 - Am Pfarrweiher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</si>
  <si>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Rehau </t>
    </r>
    <r>
      <rPr>
        <sz val="8"/>
        <rFont val="Arial"/>
        <family val="2"/>
      </rPr>
      <t>(Bahnhof)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Goethe-/Schwarzenbacher Str. - Reutlichweg - Linden-/Ulmenstr. - </t>
    </r>
    <r>
      <rPr>
        <b/>
        <sz val="8"/>
        <rFont val="Arial"/>
        <family val="2"/>
      </rPr>
      <t>WA Harst</t>
    </r>
    <r>
      <rPr>
        <sz val="8"/>
        <rFont val="Arial"/>
        <family val="2"/>
      </rPr>
      <t xml:space="preserve"> (Wegekreuz, 33U 286073E 5568702N)
</t>
    </r>
  </si>
  <si>
    <r>
      <rPr>
        <i/>
        <sz val="8"/>
        <rFont val="Arial"/>
        <family val="2"/>
      </rPr>
      <t xml:space="preserve">Oberkotzau (404):
</t>
    </r>
    <r>
      <rPr>
        <b/>
        <sz val="8"/>
        <rFont val="Arial"/>
        <family val="2"/>
      </rPr>
      <t xml:space="preserve">WA Harst </t>
    </r>
    <r>
      <rPr>
        <sz val="8"/>
        <rFont val="Arial"/>
        <family val="2"/>
      </rPr>
      <t>(Wegekreuz, 33U 286073E 5568702N)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>WA Bärenholz</t>
    </r>
    <r>
      <rPr>
        <sz val="8"/>
        <rFont val="Arial"/>
        <family val="2"/>
      </rPr>
      <t xml:space="preserve"> (Wegekreuz, 32U 713461E 5568167N)
</t>
    </r>
  </si>
  <si>
    <r>
      <rPr>
        <i/>
        <sz val="8"/>
        <rFont val="Arial"/>
        <family val="2"/>
      </rPr>
      <t xml:space="preserve">Schwarzenbach (406):
</t>
    </r>
    <r>
      <rPr>
        <b/>
        <sz val="8"/>
        <rFont val="Arial"/>
        <family val="2"/>
      </rPr>
      <t xml:space="preserve">WA Bärenholz W </t>
    </r>
    <r>
      <rPr>
        <sz val="8"/>
        <rFont val="Arial"/>
        <family val="2"/>
      </rPr>
      <t>(Wegekreuz, 32U 713461E 5568167N) - Martinlamitz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Ri SW - Bad - Unterschieda - Querung St 2177 - Mittelschieda - Schieda - </t>
    </r>
    <r>
      <rPr>
        <b/>
        <sz val="8"/>
        <rFont val="Arial"/>
        <family val="2"/>
      </rPr>
      <t>Hallerstein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</si>
  <si>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</t>
    </r>
    <r>
      <rPr>
        <sz val="8"/>
        <rFont val="Arial"/>
        <family val="2"/>
      </rPr>
      <t>(Marktplatz)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St2180 - Grün - n Hüttelberg - WA Schottenholz - WA Schottenloh - </t>
    </r>
    <r>
      <rPr>
        <b/>
        <sz val="8"/>
        <rFont val="Arial"/>
        <family val="2"/>
      </rPr>
      <t>WUN7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</si>
  <si>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WUN7 </t>
    </r>
    <r>
      <rPr>
        <sz val="8"/>
        <rFont val="Arial"/>
        <family val="2"/>
      </rPr>
      <t xml:space="preserve">-  Schauberg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>Einmündung Röslauweg</t>
    </r>
    <r>
      <rPr>
        <b/>
        <sz val="8"/>
        <rFont val="Arial"/>
        <family val="2"/>
      </rPr>
      <t xml:space="preserve">  - Röslauquelle - Einmündung Kammwege (Höhenweg, FGW)
</t>
    </r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</si>
  <si>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Bischofsgrün</t>
    </r>
    <r>
      <rPr>
        <sz val="8"/>
        <rFont val="Arial"/>
        <family val="2"/>
      </rPr>
      <t xml:space="preserve"> (Rathaus) - Birnstengl - Ehrenfriedhof - Höhe 741 - </t>
    </r>
    <r>
      <rPr>
        <b/>
        <sz val="8"/>
        <rFont val="Arial"/>
        <family val="2"/>
      </rPr>
      <t xml:space="preserve">BT13
</t>
    </r>
  </si>
  <si>
    <r>
      <rPr>
        <i/>
        <sz val="8"/>
        <rFont val="Arial"/>
        <family val="2"/>
      </rPr>
      <t>Weißenstadt (512)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BT13 -</t>
    </r>
    <r>
      <rPr>
        <sz val="8"/>
        <rFont val="Arial"/>
        <family val="2"/>
      </rPr>
      <t xml:space="preserve"> Höhe 820 - WA Franzosenschacht/Mühlloh - </t>
    </r>
    <r>
      <rPr>
        <b/>
        <sz val="8"/>
        <rFont val="Arial"/>
        <family val="2"/>
      </rPr>
      <t>Rudolfsattel</t>
    </r>
    <r>
      <rPr>
        <sz val="8"/>
        <rFont val="Arial"/>
        <family val="2"/>
      </rPr>
      <t/>
    </r>
  </si>
  <si>
    <r>
      <rPr>
        <i/>
        <sz val="8"/>
        <rFont val="Arial"/>
        <family val="2"/>
      </rPr>
      <t>Vordorf (511)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Rudolfsattel</t>
    </r>
    <r>
      <rPr>
        <sz val="8"/>
        <rFont val="Arial"/>
        <family val="2"/>
      </rPr>
      <t xml:space="preserve"> - WA Ursprung - Querung Birkenbach - n Höhe 707 - Vordorf - Höhe 651,1 / w Kühlgrün - Querung WUN 6 - nö Höhe 642 - </t>
    </r>
    <r>
      <rPr>
        <b/>
        <sz val="8"/>
        <rFont val="Arial"/>
        <family val="2"/>
      </rPr>
      <t xml:space="preserve">Hildenbach
</t>
    </r>
  </si>
  <si>
    <r>
      <rPr>
        <i/>
        <sz val="8"/>
        <rFont val="Arial"/>
        <family val="2"/>
      </rPr>
      <t>Wunsiedel (5)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 xml:space="preserve">Hildenbach - </t>
    </r>
    <r>
      <rPr>
        <sz val="8"/>
        <rFont val="Arial"/>
        <family val="2"/>
      </rPr>
      <t xml:space="preserve">Höhe 610 - Göringsreuth - Wunsiedel - Ludwigstraße - </t>
    </r>
    <r>
      <rPr>
        <b/>
        <sz val="8"/>
        <rFont val="Arial"/>
        <family val="2"/>
      </rPr>
      <t xml:space="preserve">Einmündung Theresienstraße
</t>
    </r>
  </si>
  <si>
    <r>
      <rPr>
        <i/>
        <sz val="8"/>
        <rFont val="Arial"/>
        <family val="2"/>
      </rPr>
      <t>Weißenstadt (5)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 xml:space="preserve">Schönlind (WUN 1) </t>
    </r>
    <r>
      <rPr>
        <sz val="8"/>
        <rFont val="Arial"/>
        <family val="2"/>
      </rPr>
      <t xml:space="preserve">- Ri S- WA Seiglohe - Höhe 720 - </t>
    </r>
    <r>
      <rPr>
        <b/>
        <sz val="8"/>
        <rFont val="Arial"/>
        <family val="2"/>
      </rPr>
      <t>Rudolfstein (Wegespinne)</t>
    </r>
  </si>
  <si>
    <t>Schönlind - Rudolfstein, FGV-WegNr. 36a,  Markierungsabschnitte 1 - 2</t>
  </si>
  <si>
    <r>
      <rPr>
        <i/>
        <sz val="8"/>
        <rFont val="Arial"/>
        <family val="2"/>
      </rPr>
      <t>Weißenstadt (503)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Rudolfstein (Wegespinne) - Rudolfstein</t>
    </r>
  </si>
  <si>
    <r>
      <rPr>
        <i/>
        <sz val="8"/>
        <rFont val="Arial"/>
        <family val="2"/>
      </rPr>
      <t>Weißenstadt (512)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Fronlohe</t>
    </r>
    <r>
      <rPr>
        <sz val="8"/>
        <rFont val="Arial"/>
        <family val="2"/>
      </rPr>
      <t xml:space="preserve"> - Weißenstadt (Stadtweiherweg) - Uferweg - WA Seiglohe - Weißenhaider Mühle - </t>
    </r>
    <r>
      <rPr>
        <b/>
        <sz val="8"/>
        <rFont val="Arial"/>
        <family val="2"/>
      </rPr>
      <t xml:space="preserve">BT 13 / WUN 1
</t>
    </r>
  </si>
  <si>
    <r>
      <rPr>
        <i/>
        <sz val="8"/>
        <rFont val="Arial"/>
        <family val="2"/>
      </rPr>
      <t>Bischofsgrün (3)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BT13 / WUN 1</t>
    </r>
    <r>
      <rPr>
        <sz val="8"/>
        <rFont val="Arial"/>
        <family val="2"/>
      </rPr>
      <t xml:space="preserve"> - Höhe 799,4 - Ehrenfriedhof - Birnstengl -  </t>
    </r>
    <r>
      <rPr>
        <b/>
        <sz val="8"/>
        <rFont val="Arial"/>
        <family val="2"/>
      </rPr>
      <t>Bischofsgrün</t>
    </r>
    <r>
      <rPr>
        <sz val="8"/>
        <rFont val="Arial"/>
        <family val="2"/>
      </rPr>
      <t xml:space="preserve"> (Rathaus)
</t>
    </r>
  </si>
  <si>
    <r>
      <rPr>
        <i/>
        <sz val="8"/>
        <rFont val="Arial"/>
        <family val="2"/>
      </rPr>
      <t>Bischofsgrün (303):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Parkplatz n Höhenklinik</t>
    </r>
    <r>
      <rPr>
        <sz val="8"/>
        <rFont val="Arial"/>
        <family val="2"/>
      </rPr>
      <t xml:space="preserve"> - Höhe 881_ </t>
    </r>
    <r>
      <rPr>
        <b/>
        <sz val="8"/>
        <rFont val="Arial"/>
        <family val="2"/>
      </rPr>
      <t>Wegegabel nnö Haberstein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</si>
  <si>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Fichtelberg-Neubau (304: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Wegegabel nnö Haberstein</t>
    </r>
    <r>
      <rPr>
        <sz val="8"/>
        <rFont val="Arial"/>
        <family val="2"/>
      </rPr>
      <t xml:space="preserve"> - Höhe 935 - </t>
    </r>
    <r>
      <rPr>
        <b/>
        <sz val="8"/>
        <rFont val="Arial"/>
        <family val="2"/>
      </rPr>
      <t>Einmündung Höhenweg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</si>
  <si>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Vordorf (511):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Einmündung Höhenweg - Beginn Röslauweg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</si>
  <si>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Bischofsgrün</t>
    </r>
    <r>
      <rPr>
        <sz val="8"/>
        <rFont val="Arial"/>
        <family val="2"/>
      </rPr>
      <t xml:space="preserve"> (Rathaus) - Birnstengl - Ehrenfriedhof - Höhe 741 - Querung BT 13 - </t>
    </r>
    <r>
      <rPr>
        <b/>
        <sz val="8"/>
        <rFont val="Arial"/>
        <family val="2"/>
      </rPr>
      <t>Wegegabel nnö Haberstein</t>
    </r>
    <r>
      <rPr>
        <sz val="8"/>
        <rFont val="Arial"/>
        <family val="2"/>
      </rPr>
      <t xml:space="preserve">
</t>
    </r>
  </si>
  <si>
    <t>Bischofsgrün - Schneeberggipfel, "Backöfeleweg", FGV-WegNr.66a,   Markierungsabschnitte 1 - 3</t>
  </si>
  <si>
    <r>
      <rPr>
        <i/>
        <sz val="8"/>
        <rFont val="Arial"/>
        <family val="2"/>
      </rPr>
      <t>Fichtelberg-Neubau (304)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Wegegabel nnö Haberstein</t>
    </r>
    <r>
      <rPr>
        <sz val="8"/>
        <rFont val="Arial"/>
        <family val="2"/>
      </rPr>
      <t xml:space="preserve"> - 1000-Meter-Weg -</t>
    </r>
    <r>
      <rPr>
        <b/>
        <sz val="8"/>
        <rFont val="Arial"/>
        <family val="2"/>
      </rPr>
      <t xml:space="preserve"> Schneebergbrunnen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</si>
  <si>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Vordorf (511)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Schneebergbrunnen - Schneeberggipfel / AT Backöfele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</si>
  <si>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Karches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>Weißmainfelsen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</si>
  <si>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>Karches</t>
    </r>
    <r>
      <rPr>
        <sz val="8"/>
        <rFont val="Arial"/>
        <family val="2"/>
      </rPr>
      <t xml:space="preserve"> - Querung B 303 -</t>
    </r>
    <r>
      <rPr>
        <b/>
        <sz val="8"/>
        <rFont val="Arial"/>
        <family val="2"/>
      </rPr>
      <t xml:space="preserve"> Einmündung in Ringweg s Haberstein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</si>
  <si>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Einmündung in Ringweg s Haberstein </t>
    </r>
    <r>
      <rPr>
        <sz val="8"/>
        <rFont val="Arial"/>
        <family val="2"/>
      </rPr>
      <t xml:space="preserve"> - Hubertusbrunnen - Höhe 846 - </t>
    </r>
    <r>
      <rPr>
        <b/>
        <sz val="8"/>
        <rFont val="Arial"/>
        <family val="2"/>
      </rPr>
      <t>Einmündung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in Höhenweg nahe Nußhardt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</si>
  <si>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Fichtelberg </t>
    </r>
    <r>
      <rPr>
        <sz val="8"/>
        <rFont val="Arial"/>
        <family val="2"/>
      </rPr>
      <t xml:space="preserve">- Kirchberg - Schneebergweg - Querung Kratzebach - n St 2981 - n Kregnitzhügel - Querung B303 - </t>
    </r>
    <r>
      <rPr>
        <b/>
        <sz val="8"/>
        <rFont val="Arial"/>
        <family val="2"/>
      </rPr>
      <t xml:space="preserve">Platte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</si>
  <si>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Ringweg sw Ahornfelsen - Seehaus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</si>
  <si>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WA Vogelherd </t>
    </r>
    <r>
      <rPr>
        <sz val="8"/>
        <rFont val="Arial"/>
        <family val="2"/>
      </rPr>
      <t xml:space="preserve">(nw Flinsberg, ab Weg 61) -ö Schnackenbühl - Kirchenpingarten - Ekhardtsreuth - ö Muckenreuth - entlang Heinersbach - </t>
    </r>
    <r>
      <rPr>
        <b/>
        <sz val="8"/>
        <rFont val="Arial"/>
        <family val="2"/>
      </rPr>
      <t xml:space="preserve">Kreuzung WA An der Ruhebank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</si>
  <si>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Kreuzung WA An der Ruhebank </t>
    </r>
    <r>
      <rPr>
        <sz val="8"/>
        <rFont val="Arial"/>
        <family val="2"/>
      </rPr>
      <t xml:space="preserve">- WA Nördl. Hochwald / WA Fichtelberg - Glaserrangen - w Neugrün - WA Mossgnock - </t>
    </r>
    <r>
      <rPr>
        <b/>
        <sz val="8"/>
        <rFont val="Arial"/>
        <family val="2"/>
      </rPr>
      <t xml:space="preserve">Einmündung in Forstweg
</t>
    </r>
  </si>
  <si>
    <r>
      <rPr>
        <i/>
        <sz val="8"/>
        <rFont val="Arial"/>
        <family val="2"/>
      </rPr>
      <t xml:space="preserve">Fichtelberg (304):
</t>
    </r>
    <r>
      <rPr>
        <b/>
        <sz val="8"/>
        <rFont val="Arial"/>
        <family val="2"/>
      </rPr>
      <t xml:space="preserve">Einmündung in Forstweg </t>
    </r>
    <r>
      <rPr>
        <sz val="8"/>
        <rFont val="Arial"/>
        <family val="2"/>
      </rPr>
      <t xml:space="preserve">- Fichtelberg - Fichtelsee - Querung B303 - Seehausweg - Ahornbrunnen - </t>
    </r>
    <r>
      <rPr>
        <b/>
        <sz val="8"/>
        <rFont val="Arial"/>
        <family val="2"/>
      </rPr>
      <t xml:space="preserve">Ringweg sw Ahornfelsen
</t>
    </r>
  </si>
  <si>
    <r>
      <rPr>
        <i/>
        <sz val="8"/>
        <rFont val="Arial"/>
        <family val="2"/>
      </rPr>
      <t xml:space="preserve">Fichtelberg (304):
</t>
    </r>
    <r>
      <rPr>
        <b/>
        <sz val="8"/>
        <rFont val="Arial"/>
        <family val="2"/>
      </rPr>
      <t xml:space="preserve">Silberhaus </t>
    </r>
    <r>
      <rPr>
        <sz val="8"/>
        <rFont val="Arial"/>
        <family val="2"/>
      </rPr>
      <t xml:space="preserve">- WA Salzlecke - Querung Gregnitz - Höhe 664 - Fichtelberg entlang Mooslohgraben - Einmündung in Forstweg - </t>
    </r>
    <r>
      <rPr>
        <b/>
        <sz val="8"/>
        <rFont val="Arial"/>
        <family val="2"/>
      </rPr>
      <t xml:space="preserve">Abzweig vom Forstweg </t>
    </r>
    <r>
      <rPr>
        <sz val="8"/>
        <rFont val="Arial"/>
        <family val="2"/>
      </rPr>
      <t>(32U 703259E 5542145N)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</si>
  <si>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Abzweig vom Forstweg </t>
    </r>
    <r>
      <rPr>
        <sz val="8"/>
        <rFont val="Arial"/>
        <family val="2"/>
      </rPr>
      <t xml:space="preserve">(32U 703259E 5542145N) - WA Mossgnock - Querung Mähringbach - </t>
    </r>
    <r>
      <rPr>
        <b/>
        <sz val="8"/>
        <rFont val="Arial"/>
        <family val="2"/>
      </rPr>
      <t xml:space="preserve">Wegegabel s Mähring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</si>
  <si>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Wegegabel s Mähring  </t>
    </r>
    <r>
      <rPr>
        <sz val="8"/>
        <rFont val="Arial"/>
        <family val="2"/>
      </rPr>
      <t xml:space="preserve">- entlang Mähringbach - s Dürrberg - </t>
    </r>
    <r>
      <rPr>
        <b/>
        <sz val="8"/>
        <rFont val="Arial"/>
        <family val="2"/>
      </rPr>
      <t xml:space="preserve">Warmensteinach (Einmündung St2181)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</si>
  <si>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Siebenstern) </t>
    </r>
    <r>
      <rPr>
        <sz val="8"/>
        <rFont val="Arial"/>
        <family val="2"/>
      </rPr>
      <t xml:space="preserve">- Kemnather-/Waldstr. - Birkenrangen - Höhe 710 - </t>
    </r>
    <r>
      <rPr>
        <b/>
        <sz val="8"/>
        <rFont val="Arial"/>
        <family val="2"/>
      </rPr>
      <t>Hohe Matze</t>
    </r>
    <r>
      <rPr>
        <sz val="8"/>
        <rFont val="Arial"/>
        <family val="2"/>
      </rPr>
      <t xml:space="preserve"> 
</t>
    </r>
  </si>
  <si>
    <t xml:space="preserve">Tröstau (510):
Tröstau (Parkplatz Siebenstern) - Querung B 303 - Am Bahnhof - Fuß-/Radweg WUN 7 - Leupoldsdorferhammer - Höhe 584,1 - Fuchsbau - Zinnschützstr.  Höhe 682  - Einmündung in Mittelweg (LDBV-ID 2529) </t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</si>
  <si>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Siebenstern) </t>
    </r>
    <r>
      <rPr>
        <sz val="8"/>
        <rFont val="Arial"/>
        <family val="2"/>
      </rPr>
      <t xml:space="preserve">- Fahrenbach - Höhe 655,2 - Höhe 727 - </t>
    </r>
    <r>
      <rPr>
        <b/>
        <sz val="8"/>
        <rFont val="Arial"/>
        <family val="2"/>
      </rPr>
      <t>Wegekreuz nw Kleine Kösseine</t>
    </r>
    <r>
      <rPr>
        <sz val="8"/>
        <rFont val="Arial"/>
        <family val="2"/>
      </rPr>
      <t xml:space="preserve"> (713517E, 5541953N)
</t>
    </r>
  </si>
  <si>
    <t>Tröstau - Kösseine,  FGV-WegNr  71,   Markierungsabschnitt 1 - 2</t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</si>
  <si>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>Wegekreuz nw Kleine Kösseine</t>
    </r>
    <r>
      <rPr>
        <sz val="8"/>
        <rFont val="Arial"/>
        <family val="2"/>
      </rPr>
      <t xml:space="preserve"> (713517E, 5541953N) - </t>
    </r>
    <r>
      <rPr>
        <b/>
        <sz val="8"/>
        <rFont val="Arial"/>
        <family val="2"/>
      </rPr>
      <t>Kösseine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</si>
  <si>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Tröstau (510:
</t>
    </r>
    <r>
      <rPr>
        <b/>
        <sz val="8"/>
        <rFont val="Arial"/>
        <family val="2"/>
      </rPr>
      <t xml:space="preserve">Tröstau (Parkplatz Siebenstern) </t>
    </r>
    <r>
      <rPr>
        <sz val="8"/>
        <rFont val="Arial"/>
        <family val="2"/>
      </rPr>
      <t xml:space="preserve">- Höhe 662,0 - </t>
    </r>
    <r>
      <rPr>
        <b/>
        <sz val="8"/>
        <rFont val="Arial"/>
        <family val="2"/>
      </rPr>
      <t>Höhe 684,1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</si>
  <si>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Höhe 684,1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>Luisenburg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</si>
  <si>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>Fahrenbach</t>
    </r>
    <r>
      <rPr>
        <sz val="8"/>
        <rFont val="Arial"/>
        <family val="2"/>
      </rPr>
      <t xml:space="preserve"> -  WA Schnackenloh / Schreinerwiese - s Schauerberg - </t>
    </r>
    <r>
      <rPr>
        <b/>
        <sz val="8"/>
        <rFont val="Arial"/>
        <family val="2"/>
      </rPr>
      <t xml:space="preserve">no Luisenburg
</t>
    </r>
  </si>
  <si>
    <t>Ringweg Kösseine,  FGV-WegNr 203, Markierungsabschnitte 1 - 4</t>
  </si>
  <si>
    <r>
      <rPr>
        <i/>
        <sz val="8"/>
        <rFont val="Arial"/>
        <family val="2"/>
      </rPr>
      <t xml:space="preserve">Bad Alexandersbad (501):
</t>
    </r>
    <r>
      <rPr>
        <b/>
        <sz val="8"/>
        <rFont val="Arial"/>
        <family val="2"/>
      </rPr>
      <t xml:space="preserve">no Luisenburg </t>
    </r>
    <r>
      <rPr>
        <sz val="8"/>
        <rFont val="Arial"/>
        <family val="2"/>
      </rPr>
      <t xml:space="preserve">- Kleinwendern - Mühlsteine - Höhe 707 - oberhalb Steinbruch - n Pfalzbrunnen - WA Großer Rainstein - </t>
    </r>
    <r>
      <rPr>
        <b/>
        <sz val="8"/>
        <rFont val="Arial"/>
        <family val="2"/>
      </rPr>
      <t xml:space="preserve">Wegekreuz am Hirschbrunnen </t>
    </r>
    <r>
      <rPr>
        <sz val="8"/>
        <rFont val="Arial"/>
        <family val="2"/>
      </rPr>
      <t xml:space="preserve">-  </t>
    </r>
    <r>
      <rPr>
        <b/>
        <sz val="8"/>
        <rFont val="Arial"/>
        <family val="2"/>
      </rPr>
      <t>Hohenbrand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</si>
  <si>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Nagel (204):
</t>
    </r>
    <r>
      <rPr>
        <b/>
        <sz val="8"/>
        <rFont val="Arial"/>
        <family val="2"/>
      </rPr>
      <t xml:space="preserve">Wegekreuz am Hirschbrunnen </t>
    </r>
    <r>
      <rPr>
        <sz val="8"/>
        <rFont val="Arial"/>
        <family val="2"/>
      </rPr>
      <t xml:space="preserve">- WA Moralsbrunnen - Höhe 717 / 724 -   </t>
    </r>
    <r>
      <rPr>
        <b/>
        <sz val="8"/>
        <rFont val="Arial"/>
        <family val="2"/>
      </rPr>
      <t>Hohenbrand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</si>
  <si>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Hohenbrand </t>
    </r>
    <r>
      <rPr>
        <sz val="8"/>
        <rFont val="Arial"/>
        <family val="2"/>
      </rPr>
      <t xml:space="preserve">- WA Ehewald - Golfplatz - </t>
    </r>
    <r>
      <rPr>
        <b/>
        <sz val="8"/>
        <rFont val="Arial"/>
        <family val="2"/>
      </rPr>
      <t xml:space="preserve">Fahrenbach
</t>
    </r>
  </si>
  <si>
    <t>62b</t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</si>
  <si>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>Ahornberg</t>
    </r>
    <r>
      <rPr>
        <sz val="8"/>
        <rFont val="Arial"/>
        <family val="2"/>
      </rPr>
      <t xml:space="preserve"> - Hölzlmühle - Querung Pfarrgraben -</t>
    </r>
    <r>
      <rPr>
        <b/>
        <sz val="8"/>
        <rFont val="Arial"/>
        <family val="2"/>
      </rPr>
      <t xml:space="preserve"> Abzweig so Mittelberg</t>
    </r>
    <r>
      <rPr>
        <sz val="8"/>
        <rFont val="Arial"/>
        <family val="2"/>
      </rPr>
      <t xml:space="preserve"> 
</t>
    </r>
  </si>
  <si>
    <t>Ahornberg - Fichtelberg, Wegverlauf siehe FGV-WegNr 62, Markierungsabschnitte 1-3</t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</si>
  <si>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>Abzweig so Mittelberg</t>
    </r>
    <r>
      <rPr>
        <sz val="8"/>
        <rFont val="Arial"/>
        <family val="2"/>
      </rPr>
      <t xml:space="preserve"> - Ahornberger Forst - Höhe 724 - Klausenlift - Klausenhäusl - Mehlmeisel - Mitterlind - Grasberg - </t>
    </r>
    <r>
      <rPr>
        <b/>
        <sz val="8"/>
        <rFont val="Arial"/>
        <family val="2"/>
      </rPr>
      <t xml:space="preserve">Ortsrand Fichtelberg </t>
    </r>
    <r>
      <rPr>
        <sz val="8"/>
        <rFont val="Arial"/>
        <family val="2"/>
      </rPr>
      <t xml:space="preserve">(Kreuzung Ortsverbindungsstraße)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</si>
  <si>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Ortsrand Fichtelberg </t>
    </r>
    <r>
      <rPr>
        <sz val="8"/>
        <rFont val="Arial"/>
        <family val="2"/>
      </rPr>
      <t>(Kreuzung Ortsverbindungsstraße)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Sportgelände Fichtelberg - Fichtelsee  - </t>
    </r>
    <r>
      <rPr>
        <b/>
        <sz val="8"/>
        <rFont val="Arial"/>
        <family val="2"/>
      </rPr>
      <t>Fichtelberg</t>
    </r>
    <r>
      <rPr>
        <sz val="8"/>
        <rFont val="Arial"/>
        <family val="2"/>
      </rPr>
      <t xml:space="preserve"> (Parkplatz an der BT 4)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</si>
  <si>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Fichtelberg </t>
    </r>
    <r>
      <rPr>
        <sz val="8"/>
        <rFont val="Arial"/>
        <family val="2"/>
      </rPr>
      <t xml:space="preserve">- Kalvarienberg - Gustav-Leutelt-Str. - entlang Bocksgraben - </t>
    </r>
    <r>
      <rPr>
        <b/>
        <sz val="8"/>
        <rFont val="Arial"/>
        <family val="2"/>
      </rPr>
      <t>Querung Flecklstraße</t>
    </r>
    <r>
      <rPr>
        <sz val="8"/>
        <rFont val="Arial"/>
        <family val="2"/>
      </rPr>
      <t xml:space="preserve">
</t>
    </r>
  </si>
  <si>
    <t>Fichtelberg - Fleckl (Einmündung FGV-WegNr 54),  Markierungsabschnitte 1 - 2</t>
  </si>
  <si>
    <r>
      <rPr>
        <i/>
        <sz val="8"/>
        <rFont val="Arial"/>
        <family val="2"/>
      </rPr>
      <t xml:space="preserve">Oberwarmensteinach (309):
</t>
    </r>
    <r>
      <rPr>
        <b/>
        <sz val="8"/>
        <rFont val="Arial"/>
        <family val="2"/>
      </rPr>
      <t xml:space="preserve">Querung Flecklstraße </t>
    </r>
    <r>
      <rPr>
        <sz val="8"/>
        <rFont val="Arial"/>
        <family val="2"/>
      </rPr>
      <t xml:space="preserve">- entlang Bocksgraben - s Steinachquelle - </t>
    </r>
    <r>
      <rPr>
        <b/>
        <sz val="8"/>
        <rFont val="Arial"/>
        <family val="2"/>
      </rPr>
      <t xml:space="preserve">Fleckl
</t>
    </r>
  </si>
  <si>
    <r>
      <t xml:space="preserve">Weißenstadt (512):
</t>
    </r>
    <r>
      <rPr>
        <b/>
        <sz val="8"/>
        <rFont val="Arial"/>
        <family val="2"/>
      </rPr>
      <t xml:space="preserve">Weißenstadt </t>
    </r>
    <r>
      <rPr>
        <sz val="8"/>
        <rFont val="Arial"/>
        <family val="2"/>
      </rPr>
      <t xml:space="preserve">(Stadtweiherweg) - Uferweg - entlang Weißenstädter See - </t>
    </r>
    <r>
      <rPr>
        <b/>
        <sz val="8"/>
        <rFont val="Arial"/>
        <family val="2"/>
      </rPr>
      <t>Wegegabel w Deponie</t>
    </r>
    <r>
      <rPr>
        <i/>
        <sz val="8"/>
        <rFont val="Arial"/>
        <family val="2"/>
      </rPr>
      <t xml:space="preserve">
</t>
    </r>
  </si>
  <si>
    <r>
      <t xml:space="preserve">Weißenstadt (503):
</t>
    </r>
    <r>
      <rPr>
        <b/>
        <sz val="8"/>
        <rFont val="Arial"/>
        <family val="2"/>
      </rPr>
      <t>Weißenstadt (</t>
    </r>
    <r>
      <rPr>
        <sz val="8"/>
        <rFont val="Arial"/>
        <family val="2"/>
      </rPr>
      <t xml:space="preserve">Wegegabel w Deponie) - sw Schallberg - </t>
    </r>
    <r>
      <rPr>
        <b/>
        <sz val="8"/>
        <rFont val="Arial"/>
        <family val="2"/>
      </rPr>
      <t>Finkenmühle</t>
    </r>
    <r>
      <rPr>
        <i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</si>
  <si>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Bayreuth (303):
</t>
    </r>
    <r>
      <rPr>
        <b/>
        <sz val="8"/>
        <rFont val="Arial"/>
        <family val="2"/>
      </rPr>
      <t>Bayreuth (</t>
    </r>
    <r>
      <rPr>
        <sz val="8"/>
        <rFont val="Arial"/>
        <family val="2"/>
      </rPr>
      <t>Eremitage)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Rodersberg - </t>
    </r>
    <r>
      <rPr>
        <b/>
        <sz val="8"/>
        <rFont val="Arial"/>
        <family val="2"/>
      </rPr>
      <t>Höflas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 </t>
    </r>
  </si>
  <si>
    <t>Bayreuth - Hohenberg,  FGV-WegNr  3, Markierungsabschnitte 1 - 8</t>
  </si>
  <si>
    <r>
      <rPr>
        <i/>
        <sz val="8"/>
        <rFont val="Arial"/>
        <family val="2"/>
      </rPr>
      <t xml:space="preserve">Oberwarmensteinach (309):
</t>
    </r>
    <r>
      <rPr>
        <b/>
        <sz val="8"/>
        <rFont val="Arial"/>
        <family val="2"/>
      </rPr>
      <t>Wegekreuz</t>
    </r>
    <r>
      <rPr>
        <sz val="8"/>
        <rFont val="Arial"/>
        <family val="2"/>
      </rPr>
      <t xml:space="preserve"> (32U 700891E 5545549N) </t>
    </r>
    <r>
      <rPr>
        <i/>
        <sz val="8"/>
        <rFont val="Arial"/>
        <family val="2"/>
      </rPr>
      <t xml:space="preserve">- </t>
    </r>
    <r>
      <rPr>
        <sz val="8"/>
        <rFont val="Arial"/>
        <family val="2"/>
      </rPr>
      <t xml:space="preserve">Ochsenkopf - Weißmainquelle - Weißmainfels - </t>
    </r>
    <r>
      <rPr>
        <b/>
        <sz val="8"/>
        <rFont val="Arial"/>
        <family val="2"/>
      </rPr>
      <t>Wegekreuz s Weißmainfels</t>
    </r>
    <r>
      <rPr>
        <sz val="8"/>
        <rFont val="Arial"/>
        <family val="2"/>
      </rPr>
      <t xml:space="preserve"> (32U 702845E 5545551N)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</si>
  <si>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>Wegekreuz s Weißmainfels</t>
    </r>
    <r>
      <rPr>
        <sz val="8"/>
        <rFont val="Arial"/>
        <family val="2"/>
      </rPr>
      <t xml:space="preserve"> (32U 702845E 5545551N) - Höhe 773,2 - BT4 - Seehausparkplatz - Aufstieg Ri Seehaus - </t>
    </r>
    <r>
      <rPr>
        <b/>
        <sz val="8"/>
        <rFont val="Arial"/>
        <family val="2"/>
      </rPr>
      <t>Wegekreuz Höhe 865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</si>
  <si>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Wegekreuz Höhe 865 </t>
    </r>
    <r>
      <rPr>
        <sz val="8"/>
        <rFont val="Arial"/>
        <family val="2"/>
      </rPr>
      <t xml:space="preserve">- Schmierofenhütte - Vordorfermühle - Vordorf - Vierst - WA Spiegeldick/Söllnersloh - </t>
    </r>
    <r>
      <rPr>
        <b/>
        <sz val="8"/>
        <rFont val="Arial"/>
        <family val="2"/>
      </rPr>
      <t xml:space="preserve">Wegekreuz Höhe 629 </t>
    </r>
    <r>
      <rPr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</si>
  <si>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Wegekreuz Höhe 629 - </t>
    </r>
    <r>
      <rPr>
        <sz val="8"/>
        <rFont val="Arial"/>
        <family val="2"/>
      </rPr>
      <t xml:space="preserve">Querung St2177 - Bibersbach - Berghöllhölzer - Schönlinder Steigholz - Querung Bibersbach - Schönlind - </t>
    </r>
    <r>
      <rPr>
        <b/>
        <sz val="8"/>
        <rFont val="Arial"/>
        <family val="2"/>
      </rPr>
      <t>St2180</t>
    </r>
  </si>
  <si>
    <t>Höchstädt</t>
  </si>
  <si>
    <r>
      <rPr>
        <i/>
        <sz val="8"/>
        <rFont val="Arial"/>
        <family val="2"/>
      </rPr>
      <t xml:space="preserve">Höchstädt (112):
</t>
    </r>
    <r>
      <rPr>
        <b/>
        <sz val="8"/>
        <rFont val="Arial"/>
        <family val="2"/>
      </rPr>
      <t xml:space="preserve">St2180 </t>
    </r>
    <r>
      <rPr>
        <sz val="8"/>
        <rFont val="Arial"/>
        <family val="2"/>
      </rPr>
      <t xml:space="preserve">- Oberwoltersgrün - nahe ND Finkenstein - Stemmasgrün - Querung Biberbach - Querung St2176 - Höchstädt - Höhe 592 - </t>
    </r>
    <r>
      <rPr>
        <b/>
        <sz val="8"/>
        <rFont val="Arial"/>
        <family val="2"/>
      </rPr>
      <t xml:space="preserve">Brücke A93
</t>
    </r>
  </si>
  <si>
    <r>
      <rPr>
        <i/>
        <sz val="8"/>
        <rFont val="Arial"/>
        <family val="2"/>
      </rPr>
      <t xml:space="preserve">Thierstein (110):
</t>
    </r>
    <r>
      <rPr>
        <b/>
        <sz val="8"/>
        <rFont val="Arial"/>
        <family val="2"/>
      </rPr>
      <t xml:space="preserve">Brücke A93 </t>
    </r>
    <r>
      <rPr>
        <sz val="8"/>
        <rFont val="Arial"/>
        <family val="2"/>
      </rPr>
      <t>- Thierstein - Hafendeck - Pfannenstiel - Fohrenlohe</t>
    </r>
    <r>
      <rPr>
        <b/>
        <sz val="8"/>
        <rFont val="Arial"/>
        <family val="2"/>
      </rPr>
      <t xml:space="preserve"> - Wegkreuz w Schloßberg </t>
    </r>
    <r>
      <rPr>
        <sz val="8"/>
        <rFont val="Arial"/>
        <family val="2"/>
      </rPr>
      <t>(33U 296709E 5554859N)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</si>
  <si>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Hohenberg (111):
</t>
    </r>
    <r>
      <rPr>
        <b/>
        <sz val="8"/>
        <rFont val="Arial"/>
        <family val="2"/>
      </rPr>
      <t>Wegkreuz w Schloßberg</t>
    </r>
    <r>
      <rPr>
        <sz val="8"/>
        <rFont val="Arial"/>
        <family val="2"/>
      </rPr>
      <t xml:space="preserve"> (33U 296709E 5554859N) - Schlossberg - </t>
    </r>
    <r>
      <rPr>
        <b/>
        <sz val="8"/>
        <rFont val="Arial"/>
        <family val="2"/>
      </rPr>
      <t xml:space="preserve">Neuhaus/Eger (WUN4)
</t>
    </r>
  </si>
  <si>
    <r>
      <rPr>
        <i/>
        <sz val="8"/>
        <rFont val="Arial"/>
        <family val="2"/>
      </rPr>
      <t>Arzberg (101):</t>
    </r>
    <r>
      <rPr>
        <b/>
        <sz val="8"/>
        <rFont val="Arial"/>
        <family val="2"/>
      </rPr>
      <t xml:space="preserve">
Neuhaus/Eger (WUN4) - </t>
    </r>
    <r>
      <rPr>
        <sz val="8"/>
        <rFont val="Arial"/>
        <family val="2"/>
      </rPr>
      <t xml:space="preserve">Steinhäuser </t>
    </r>
    <r>
      <rPr>
        <b/>
        <sz val="8"/>
        <rFont val="Arial"/>
        <family val="2"/>
      </rPr>
      <t>- Fatima-Kapelle</t>
    </r>
  </si>
  <si>
    <r>
      <rPr>
        <i/>
        <sz val="8"/>
        <rFont val="Arial"/>
        <family val="2"/>
      </rPr>
      <t xml:space="preserve">Hohenberg (111):
</t>
    </r>
    <r>
      <rPr>
        <b/>
        <sz val="8"/>
        <rFont val="Arial"/>
        <family val="2"/>
      </rPr>
      <t>Fatima-Kapelle</t>
    </r>
    <r>
      <rPr>
        <sz val="8"/>
        <rFont val="Arial"/>
        <family val="2"/>
      </rPr>
      <t xml:space="preserve"> - Heiligenberg - </t>
    </r>
    <r>
      <rPr>
        <b/>
        <sz val="8"/>
        <rFont val="Arial"/>
        <family val="2"/>
      </rPr>
      <t>Hohenberg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</si>
  <si>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>Höflas</t>
    </r>
    <r>
      <rPr>
        <sz val="8"/>
        <rFont val="Arial"/>
        <family val="2"/>
      </rPr>
      <t xml:space="preserve"> - Döhlau - Untersteinach - entlang Krebsbächlein - </t>
    </r>
    <r>
      <rPr>
        <b/>
        <sz val="8"/>
        <rFont val="Arial"/>
        <family val="2"/>
      </rPr>
      <t xml:space="preserve">Abzweig w Winterleite </t>
    </r>
    <r>
      <rPr>
        <sz val="8"/>
        <rFont val="Arial"/>
        <family val="2"/>
      </rPr>
      <t>(32U 694040E 5539982N)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</si>
  <si>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Abzweig w Winterleite </t>
    </r>
    <r>
      <rPr>
        <sz val="8"/>
        <rFont val="Arial"/>
        <family val="2"/>
      </rPr>
      <t xml:space="preserve">(32U 694040E 5539982N) - Pflanzgarten - Querung Krebsbächlein - Drei-Hirten-Stein - </t>
    </r>
    <r>
      <rPr>
        <b/>
        <sz val="8"/>
        <rFont val="Arial"/>
        <family val="2"/>
      </rPr>
      <t xml:space="preserve">Wegegabel </t>
    </r>
    <r>
      <rPr>
        <sz val="8"/>
        <rFont val="Arial"/>
        <family val="2"/>
      </rPr>
      <t>(32U 697173E 5541905N)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</si>
  <si>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Goldkronach (305):
</t>
    </r>
    <r>
      <rPr>
        <b/>
        <sz val="8"/>
        <rFont val="Arial"/>
        <family val="2"/>
      </rPr>
      <t xml:space="preserve">Wegegabel </t>
    </r>
    <r>
      <rPr>
        <sz val="8"/>
        <rFont val="Arial"/>
        <family val="2"/>
      </rPr>
      <t xml:space="preserve">(32U 697173E 5541905N) - WA Hängloh - Höhe 811 - w Eselsbrunnen - Höhe 773 - </t>
    </r>
    <r>
      <rPr>
        <b/>
        <sz val="8"/>
        <rFont val="Arial"/>
        <family val="2"/>
      </rPr>
      <t xml:space="preserve">Wegegabel </t>
    </r>
    <r>
      <rPr>
        <sz val="8"/>
        <rFont val="Arial"/>
        <family val="2"/>
      </rPr>
      <t>(32U 696938E 5544027N)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</si>
  <si>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Wegegabel </t>
    </r>
    <r>
      <rPr>
        <sz val="8"/>
        <rFont val="Arial"/>
        <family val="2"/>
      </rPr>
      <t xml:space="preserve">(32U 696938E 5544027N) - </t>
    </r>
    <r>
      <rPr>
        <b/>
        <sz val="8"/>
        <rFont val="Arial"/>
        <family val="2"/>
      </rPr>
      <t xml:space="preserve">Querung BT4
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</si>
  <si>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Oberwarmensteinach (309):
</t>
    </r>
    <r>
      <rPr>
        <b/>
        <sz val="8"/>
        <rFont val="Arial"/>
        <family val="2"/>
      </rPr>
      <t>Querung BT4 -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 xml:space="preserve">Pfaffenhügel/Saubrunnen - </t>
    </r>
    <r>
      <rPr>
        <b/>
        <sz val="8"/>
        <rFont val="Arial"/>
        <family val="2"/>
      </rPr>
      <t>Wegekreuzung</t>
    </r>
    <r>
      <rPr>
        <sz val="8"/>
        <rFont val="Arial"/>
        <family val="2"/>
      </rPr>
      <t xml:space="preserve"> (32U 700891E 5545549N)
</t>
    </r>
  </si>
  <si>
    <r>
      <rPr>
        <i/>
        <sz val="8"/>
        <rFont val="Arial"/>
        <family val="2"/>
      </rPr>
      <t>Vordorf (511):</t>
    </r>
    <r>
      <rPr>
        <b/>
        <sz val="8"/>
        <rFont val="Arial"/>
        <family val="2"/>
      </rPr>
      <t xml:space="preserve">
Einmündung Kammwege</t>
    </r>
    <r>
      <rPr>
        <sz val="8"/>
        <rFont val="Arial"/>
        <family val="2"/>
      </rPr>
      <t xml:space="preserve"> (FGW, Höhenweg etc.)</t>
    </r>
    <r>
      <rPr>
        <b/>
        <sz val="8"/>
        <rFont val="Arial"/>
        <family val="2"/>
      </rPr>
      <t xml:space="preserve"> - Röslauquelle</t>
    </r>
    <r>
      <rPr>
        <sz val="8"/>
        <rFont val="Arial"/>
        <family val="2"/>
      </rPr>
      <t xml:space="preserve"> - Vordorfermühle - Waffenhammer - </t>
    </r>
    <r>
      <rPr>
        <b/>
        <sz val="8"/>
        <rFont val="Arial"/>
        <family val="2"/>
      </rPr>
      <t xml:space="preserve">Leupoldsdorf (Seehausstraße)
</t>
    </r>
  </si>
  <si>
    <r>
      <rPr>
        <i/>
        <sz val="8"/>
        <rFont val="Arial"/>
        <family val="2"/>
      </rPr>
      <t>Tröstau (510):</t>
    </r>
    <r>
      <rPr>
        <b/>
        <sz val="8"/>
        <rFont val="Arial"/>
        <family val="2"/>
      </rPr>
      <t xml:space="preserve">
Leupoldsdorf (Seeehhausstraße) </t>
    </r>
    <r>
      <rPr>
        <sz val="8"/>
        <rFont val="Arial"/>
        <family val="2"/>
      </rPr>
      <t xml:space="preserve">- Tröstau - Furthammer - </t>
    </r>
    <r>
      <rPr>
        <b/>
        <sz val="8"/>
        <rFont val="Arial"/>
        <family val="2"/>
      </rPr>
      <t xml:space="preserve">Stollenmühle
</t>
    </r>
  </si>
  <si>
    <r>
      <rPr>
        <i/>
        <sz val="8"/>
        <rFont val="Arial"/>
        <family val="2"/>
      </rPr>
      <t>Wunsiedel(513):</t>
    </r>
    <r>
      <rPr>
        <b/>
        <sz val="8"/>
        <rFont val="Arial"/>
        <family val="2"/>
      </rPr>
      <t xml:space="preserve">
Stollenmühle </t>
    </r>
    <r>
      <rPr>
        <sz val="8"/>
        <rFont val="Arial"/>
        <family val="2"/>
      </rPr>
      <t xml:space="preserve">- Wunsiedel - Wintersreuth - Hammermühle - </t>
    </r>
    <r>
      <rPr>
        <b/>
        <sz val="8"/>
        <rFont val="Arial"/>
        <family val="2"/>
      </rPr>
      <t xml:space="preserve">Unterthölau (Eisenbahnviadukt)
</t>
    </r>
  </si>
  <si>
    <r>
      <rPr>
        <i/>
        <sz val="8"/>
        <rFont val="Arial"/>
        <family val="2"/>
      </rPr>
      <t>Marktredwitz (203):</t>
    </r>
    <r>
      <rPr>
        <b/>
        <sz val="8"/>
        <rFont val="Arial"/>
        <family val="2"/>
      </rPr>
      <t xml:space="preserve">
Oberthölau (Eisenbahnviadukt) </t>
    </r>
    <r>
      <rPr>
        <sz val="8"/>
        <rFont val="Arial"/>
        <family val="2"/>
      </rPr>
      <t xml:space="preserve">- Oberthölau - Lorenzreuth WA Schupfenwald  - Querung Röslau - </t>
    </r>
    <r>
      <rPr>
        <b/>
        <sz val="8"/>
        <rFont val="Arial"/>
        <family val="2"/>
      </rPr>
      <t xml:space="preserve">B303
</t>
    </r>
  </si>
  <si>
    <r>
      <t xml:space="preserve">Arzberg (101):
</t>
    </r>
    <r>
      <rPr>
        <b/>
        <sz val="8"/>
        <rFont val="Arial"/>
        <family val="2"/>
      </rPr>
      <t>B303</t>
    </r>
    <r>
      <rPr>
        <sz val="8"/>
        <rFont val="Arial"/>
        <family val="2"/>
      </rPr>
      <t xml:space="preserve"> - Krippnermühle - Seußen - Elisenfels -  Arzberg - </t>
    </r>
    <r>
      <rPr>
        <b/>
        <sz val="8"/>
        <rFont val="Arial"/>
        <family val="2"/>
      </rPr>
      <t>Oschwitz (Röslaubrücke)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</si>
  <si>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Schirnding (104):</t>
    </r>
    <r>
      <rPr>
        <b/>
        <sz val="8"/>
        <rFont val="Arial"/>
        <family val="2"/>
      </rPr>
      <t xml:space="preserve">
Oschwitz (Röslaubrücke) </t>
    </r>
    <r>
      <rPr>
        <sz val="8"/>
        <rFont val="Arial"/>
        <family val="2"/>
      </rPr>
      <t xml:space="preserve">- Schirnding - </t>
    </r>
    <r>
      <rPr>
        <b/>
        <sz val="8"/>
        <rFont val="Arial"/>
        <family val="2"/>
      </rPr>
      <t xml:space="preserve">Fischern
</t>
    </r>
  </si>
  <si>
    <r>
      <rPr>
        <i/>
        <sz val="8"/>
        <rFont val="Arial"/>
        <family val="2"/>
      </rPr>
      <t>Bischofsgrün (303):</t>
    </r>
    <r>
      <rPr>
        <b/>
        <sz val="8"/>
        <rFont val="Arial"/>
        <family val="2"/>
      </rPr>
      <t xml:space="preserve">
Weißmainquelle </t>
    </r>
    <r>
      <rPr>
        <sz val="8"/>
        <rFont val="Arial"/>
        <family val="2"/>
      </rPr>
      <t xml:space="preserve">- Karches - Bischofsgrün - Glasermühle - Sommerrangen - </t>
    </r>
    <r>
      <rPr>
        <b/>
        <sz val="8"/>
        <rFont val="Arial"/>
        <family val="2"/>
      </rPr>
      <t>nw Rödlasberg</t>
    </r>
    <r>
      <rPr>
        <sz val="8"/>
        <rFont val="Arial"/>
        <family val="2"/>
      </rPr>
      <t xml:space="preserve"> (32U 693485E 5545908N)
</t>
    </r>
  </si>
  <si>
    <r>
      <rPr>
        <i/>
        <sz val="8"/>
        <rFont val="Arial"/>
        <family val="2"/>
      </rPr>
      <t>Bad Berneck (302):</t>
    </r>
    <r>
      <rPr>
        <b/>
        <sz val="8"/>
        <rFont val="Arial"/>
        <family val="2"/>
      </rPr>
      <t xml:space="preserve">
nw Rödlasberg </t>
    </r>
    <r>
      <rPr>
        <sz val="8"/>
        <rFont val="Arial"/>
        <family val="2"/>
      </rPr>
      <t>(32U 693485E 5545908N</t>
    </r>
    <r>
      <rPr>
        <b/>
        <sz val="8"/>
        <rFont val="Arial"/>
        <family val="2"/>
      </rPr>
      <t xml:space="preserve">) </t>
    </r>
    <r>
      <rPr>
        <sz val="8"/>
        <rFont val="Arial"/>
        <family val="2"/>
      </rPr>
      <t xml:space="preserve">- Main-/Warmeleithen - Zentrum Bad Berneck - Hohe Warte - Rimlas - nahe Prinz-Rupprecht-Turm - Köslär - Querung A 9 - s Streitmühle - </t>
    </r>
    <r>
      <rPr>
        <b/>
        <sz val="8"/>
        <rFont val="Arial"/>
        <family val="2"/>
      </rPr>
      <t xml:space="preserve">Himmelkron (B303)
</t>
    </r>
  </si>
  <si>
    <t>002589_V_Korr-2021_Berneck</t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</si>
  <si>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(Marktplatz) </t>
    </r>
    <r>
      <rPr>
        <sz val="8"/>
        <rFont val="Arial"/>
        <family val="2"/>
      </rPr>
      <t xml:space="preserve">- Mühlwiese - Thusmühle - Eger - w Höhe 603 - s Höhe 635 - Höhe 572,1 - Am Pfarrweiher - </t>
    </r>
    <r>
      <rPr>
        <b/>
        <sz val="8"/>
        <rFont val="Arial"/>
        <family val="2"/>
      </rPr>
      <t xml:space="preserve">Ausgangspunkt
</t>
    </r>
  </si>
  <si>
    <t>OV stellt von weiß auf dunklem Grund auf weiß auf grünem Grund um</t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</si>
  <si>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(Marktplatz) </t>
    </r>
    <r>
      <rPr>
        <sz val="8"/>
        <rFont val="Arial"/>
        <family val="2"/>
      </rPr>
      <t xml:space="preserve">- Dieserbach - Wunsiedler Str. - Erlenweg - w Höhe 577 - Querung St2177 - Dieserbach - Rosenbühl - Lahmenberg - Bibersbach - WA Rotholz  - Alte Straße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</si>
  <si>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Fichtelsee (Waldhotel) </t>
    </r>
    <r>
      <rPr>
        <sz val="8"/>
        <rFont val="Arial"/>
        <family val="2"/>
      </rPr>
      <t xml:space="preserve">- um den Hüttenberg - nw Hirschrangen - Ri N - Querung Mühl- und Seebach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</si>
  <si>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Fichtelberg (Max-Reger-Platz) </t>
    </r>
    <r>
      <rPr>
        <sz val="8"/>
        <rFont val="Arial"/>
        <family val="2"/>
      </rPr>
      <t xml:space="preserve">- Bayreuther Str. - Kalvarienberg - Ri W - Entlang Bocksgraben - BT 4 - Silbereisenbergwerk - Bleaml-Alm - Nordrand Neubau - Fichtelsee - Hasenberg (Höhe 751) - Nagler 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</si>
  <si>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>Vordorf</t>
    </r>
    <r>
      <rPr>
        <sz val="8"/>
        <rFont val="Arial"/>
        <family val="2"/>
      </rPr>
      <t xml:space="preserve"> - Ri W - Höhe 707- Höhe 656 - Querung Birkenbach - Jägerbrunnen - Meierhof - sw Birk - w Vierst - Vordorf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</si>
  <si>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>Vordorf</t>
    </r>
    <r>
      <rPr>
        <sz val="8"/>
        <rFont val="Arial"/>
        <family val="2"/>
      </rPr>
      <t xml:space="preserve"> - Ri SSO - WUN 7 - Querung Hammerlbach - Höhe 607 - ö und n um Kühlgrün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</si>
  <si>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>Vordorfermühle (sw Ortsrand)</t>
    </r>
    <r>
      <rPr>
        <sz val="8"/>
        <rFont val="Arial"/>
        <family val="2"/>
      </rPr>
      <t xml:space="preserve"> - Ri W entlang Röslau - WA Binsenfleck - Höhe 723,0) - WA Ahorngarten - Schauberg - A</t>
    </r>
    <r>
      <rPr>
        <b/>
        <sz val="8"/>
        <rFont val="Arial"/>
        <family val="2"/>
      </rPr>
      <t xml:space="preserve">usgangspunkt
</t>
    </r>
  </si>
  <si>
    <t>Korrektur 002689_V_Korr-2020 eingearbeitet &amp; NSP /Günter/07.05.2021</t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</si>
  <si>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Vordorfermühle </t>
    </r>
    <r>
      <rPr>
        <sz val="8"/>
        <rFont val="Arial"/>
        <family val="2"/>
      </rPr>
      <t>- Röslaurangen - Hammerrangen - Höhe 587 - Waffenhammer - A</t>
    </r>
    <r>
      <rPr>
        <b/>
        <sz val="8"/>
        <rFont val="Arial"/>
        <family val="2"/>
      </rPr>
      <t xml:space="preserve">usgangspunkt
</t>
    </r>
  </si>
  <si>
    <r>
      <rPr>
        <i/>
        <sz val="8"/>
        <rFont val="Arial"/>
        <family val="2"/>
      </rPr>
      <t xml:space="preserve">Vordorf (511):
</t>
    </r>
    <r>
      <rPr>
        <b/>
        <sz val="8"/>
        <rFont val="Arial"/>
        <family val="2"/>
      </rPr>
      <t xml:space="preserve">Leupoldsdorf  </t>
    </r>
    <r>
      <rPr>
        <sz val="8"/>
        <rFont val="Arial"/>
        <family val="2"/>
      </rPr>
      <t xml:space="preserve">- Ri S links der Röslau - Ri NO - ehem. Zinn-/Goldbergwerk - nö Schönbrunn - Höhe 607,5 - Hildenbach - s Hildenmühle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</si>
  <si>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Leupoldorferhammer (Parkplatz ehem. Bahnhof) </t>
    </r>
    <r>
      <rPr>
        <sz val="8"/>
        <rFont val="Arial"/>
        <family val="2"/>
      </rPr>
      <t xml:space="preserve">- Seehausstr. -Höhe 584,1 - am Waldrand Ri NO - Schloßweg - Allee Schloßweg - Hammerwiesenstr.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</si>
  <si>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B 303) </t>
    </r>
    <r>
      <rPr>
        <sz val="8"/>
        <rFont val="Arial"/>
        <family val="2"/>
      </rPr>
      <t xml:space="preserve">- Ri W n Höhe 601 - Höhe 628 - Zinnschützstr. - Zinnschützweiher - s Fuchbau - Höhe 584,1 - Leupoldsdorferhammer - ehem. Bahnhof - Fuß-/Radweg WUN 7 - Neuenhammer - Bad/Tennisplätze - 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</si>
  <si>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Tennisanlage) </t>
    </r>
    <r>
      <rPr>
        <sz val="8"/>
        <rFont val="Arial"/>
        <family val="2"/>
      </rPr>
      <t xml:space="preserve">- Bad/Tennisplätze - Neuenhammer - Petersweiher - Rohrmühl-/Brunnenstr - Querung B 303 - Haupt-/Heidestr. - Höhe 589 - Friedhof - Eulen-/Vorholz-/Silberhausstr. - Querung B 303 - Fuß-/Radweg WUN 7 - Neuenhammer - 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</si>
  <si>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Siebenstern)   </t>
    </r>
    <r>
      <rPr>
        <sz val="8"/>
        <rFont val="Arial"/>
        <family val="2"/>
      </rPr>
      <t xml:space="preserve">- Kemnather Str. - Ri S - entlang Ehewaldbach - St 2665 - Osthang birkenrangen - Höhe 616,3 - Höhe 633 - Ri O - Waldstr. - Kemnather Str. - 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</si>
  <si>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Tröstau (510):
</t>
    </r>
    <r>
      <rPr>
        <b/>
        <sz val="8"/>
        <rFont val="Arial"/>
        <family val="2"/>
      </rPr>
      <t xml:space="preserve">Tröstau (Parkplatz Siebenstern)   </t>
    </r>
    <r>
      <rPr>
        <sz val="8"/>
        <rFont val="Arial"/>
        <family val="2"/>
      </rPr>
      <t xml:space="preserve">- Grötschenreuth - sw Höhe 581 - Fahrenbach - entlang Möhlbach - Eulenloh -  </t>
    </r>
    <r>
      <rPr>
        <b/>
        <sz val="8"/>
        <rFont val="Arial"/>
        <family val="2"/>
      </rPr>
      <t xml:space="preserve">Ausgangspunkt
</t>
    </r>
  </si>
  <si>
    <r>
      <t xml:space="preserve">Bad Alexandersbad (501):
</t>
    </r>
    <r>
      <rPr>
        <b/>
        <sz val="8"/>
        <rFont val="Arial"/>
        <family val="2"/>
      </rPr>
      <t>Kleinwendern</t>
    </r>
    <r>
      <rPr>
        <sz val="8"/>
        <rFont val="Arial"/>
        <family val="2"/>
      </rPr>
      <t xml:space="preserve"> - Mühlsteine - Höhe 726 (Abkürzungsmöglichkeit) - Püttnerfels - um den Burgstein - Burgsteinfelsen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</si>
  <si>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Luisenburg </t>
    </r>
    <r>
      <rPr>
        <sz val="8"/>
        <rFont val="Arial"/>
        <family val="2"/>
      </rPr>
      <t xml:space="preserve">- Burgstein - Püttnerfelsen - Höhe 718,2 - tlw. Auf Skiloipe - Höhe 639,3 - </t>
    </r>
    <r>
      <rPr>
        <b/>
        <sz val="8"/>
        <rFont val="Arial"/>
        <family val="2"/>
      </rPr>
      <t xml:space="preserve">Ausgangspunkt
</t>
    </r>
  </si>
  <si>
    <t>Neuaufnahme 08/2017</t>
  </si>
  <si>
    <t>Panorama-weg Bischofsgrün</t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</si>
  <si>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Bischofsgrün (Parkplatz Am Hügelfels)  </t>
    </r>
    <r>
      <rPr>
        <sz val="8"/>
        <rFont val="Arial"/>
        <family val="2"/>
      </rPr>
      <t xml:space="preserve">- Sportplatz - Göhren - B303 - Rangen - Hohehaid - w Höhenklinik - Skiabfahrt - Sprungschanze - </t>
    </r>
    <r>
      <rPr>
        <b/>
        <sz val="8"/>
        <rFont val="Arial"/>
        <family val="2"/>
      </rPr>
      <t xml:space="preserve">Ausgangspunkt
</t>
    </r>
  </si>
  <si>
    <t>Neuer Start/-Zielpunkt !?</t>
  </si>
  <si>
    <r>
      <t xml:space="preserve">Gefrees (504):
</t>
    </r>
    <r>
      <rPr>
        <b/>
        <sz val="8"/>
        <rFont val="Arial"/>
        <family val="2"/>
      </rPr>
      <t>Gefrees (Westweg) -</t>
    </r>
    <r>
      <rPr>
        <sz val="8"/>
        <rFont val="Arial"/>
        <family val="2"/>
      </rPr>
      <t xml:space="preserve"> Hauptstr. - Egerstr. - Kornbach - ö Zapfenberg / Rödelberg - Haidlas - </t>
    </r>
    <r>
      <rPr>
        <b/>
        <sz val="8"/>
        <rFont val="Arial"/>
        <family val="2"/>
      </rPr>
      <t>Wegekreuz sö Haidlas</t>
    </r>
    <r>
      <rPr>
        <sz val="8"/>
        <rFont val="Arial"/>
        <family val="2"/>
      </rPr>
      <t xml:space="preserve"> (32U 701437N 5551490E)
</t>
    </r>
  </si>
  <si>
    <r>
      <t xml:space="preserve">Weißenstadt (512):
</t>
    </r>
    <r>
      <rPr>
        <b/>
        <sz val="8"/>
        <rFont val="Arial"/>
        <family val="2"/>
      </rPr>
      <t xml:space="preserve"> Wegekreuz sö Haidlas </t>
    </r>
    <r>
      <rPr>
        <sz val="8"/>
        <rFont val="Arial"/>
        <family val="2"/>
      </rPr>
      <t xml:space="preserve">(32U 701437N 5551490E) - WA Bärenloh - </t>
    </r>
    <r>
      <rPr>
        <b/>
        <sz val="8"/>
        <rFont val="Arial"/>
        <family val="2"/>
      </rPr>
      <t>Egerquelle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</si>
  <si>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Bischofsgrün</t>
    </r>
    <r>
      <rPr>
        <sz val="8"/>
        <rFont val="Arial"/>
        <family val="2"/>
      </rPr>
      <t xml:space="preserve"> (Rathaus) - Birnstengl - </t>
    </r>
    <r>
      <rPr>
        <b/>
        <sz val="8"/>
        <rFont val="Arial"/>
        <family val="2"/>
      </rPr>
      <t>Kreuzung mit Forstweg w BT13</t>
    </r>
    <r>
      <rPr>
        <sz val="8"/>
        <rFont val="Arial"/>
        <family val="2"/>
      </rPr>
      <t xml:space="preserve"> (32U 701908E 5550171N)
</t>
    </r>
  </si>
  <si>
    <t>Bischofsgrün - Egerquelle, FGV-WegNr. 64,   Markierungsabschnitte 1 - 2</t>
  </si>
  <si>
    <r>
      <rPr>
        <i/>
        <sz val="8"/>
        <rFont val="Arial"/>
        <family val="2"/>
      </rPr>
      <t>Weißenstadt (512)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Kreuzung mit Forstweg w BT13</t>
    </r>
    <r>
      <rPr>
        <sz val="8"/>
        <rFont val="Arial"/>
        <family val="2"/>
      </rPr>
      <t xml:space="preserve"> (32U 701908E 5550171N) - Egerquelle - </t>
    </r>
    <r>
      <rPr>
        <b/>
        <sz val="8"/>
        <rFont val="Arial"/>
        <family val="2"/>
      </rPr>
      <t>Parkplatz BT13</t>
    </r>
    <r>
      <rPr>
        <sz val="8"/>
        <rFont val="Arial"/>
        <family val="2"/>
      </rPr>
      <t xml:space="preserve">
</t>
    </r>
  </si>
  <si>
    <t xml:space="preserve">Gefrees (504):
Gefrees (Westweg) - Hauptstr. - Bayergasse - Ri SSO - ö Putzenberg - BT 4 - Gottmannsberg - WA Herrenholz - s Jesusbrunnen - Abzweig Wetzsteinfelsen - WA Rehschlag - Hohe Heide - Einmündung in FGV-WegNr 64 (LDBV-ID 2883)
</t>
  </si>
  <si>
    <t>Gefrees - Einmündung in FGV-WegNr. 64,  FGV-WegNr. 44,  Markierungsabschnitte 1 - 2</t>
  </si>
  <si>
    <t xml:space="preserve">Bischofsgrün (303):
Abzweig Wetzsteinfelsen - WA Rehschlag - Hohe Heide - Einmündung in FGV-WegNr 64 (LDBV-ID 2883)
</t>
  </si>
  <si>
    <r>
      <t xml:space="preserve">Gefrees (504):
</t>
    </r>
    <r>
      <rPr>
        <b/>
        <sz val="8"/>
        <rFont val="Arial"/>
        <family val="2"/>
      </rPr>
      <t xml:space="preserve">Gefrees (Westweg) </t>
    </r>
    <r>
      <rPr>
        <sz val="8"/>
        <rFont val="Arial"/>
        <family val="2"/>
      </rPr>
      <t xml:space="preserve">- Hauptstr.  - Bayergasse - Ri SSO - ö Putzenberg - BT 4 - Gottmannsberg - Höhe 599 - </t>
    </r>
    <r>
      <rPr>
        <b/>
        <sz val="8"/>
        <rFont val="Arial"/>
        <family val="2"/>
      </rPr>
      <t>Schweinsbach</t>
    </r>
  </si>
  <si>
    <r>
      <t xml:space="preserve">Bischofsgrün (303):
</t>
    </r>
    <r>
      <rPr>
        <b/>
        <sz val="8"/>
        <rFont val="Arial"/>
        <family val="2"/>
      </rPr>
      <t xml:space="preserve">Schweinsbach </t>
    </r>
    <r>
      <rPr>
        <sz val="8"/>
        <rFont val="Arial"/>
        <family val="2"/>
      </rPr>
      <t xml:space="preserve">- Hirschhaid - Glasermühle - Querung B 303 - Kirchbühl  - </t>
    </r>
    <r>
      <rPr>
        <b/>
        <sz val="8"/>
        <rFont val="Arial"/>
        <family val="2"/>
      </rPr>
      <t xml:space="preserve">Bischofsgrün
</t>
    </r>
  </si>
  <si>
    <r>
      <t xml:space="preserve">Gefrees (504):
</t>
    </r>
    <r>
      <rPr>
        <b/>
        <sz val="8"/>
        <rFont val="Arial"/>
        <family val="2"/>
      </rPr>
      <t xml:space="preserve">Marktschorgast </t>
    </r>
    <r>
      <rPr>
        <sz val="8"/>
        <rFont val="Arial"/>
        <family val="2"/>
      </rPr>
      <t xml:space="preserve">- Höhe 486 - Querung A 9 - Höhe 544 - n Wachberg - </t>
    </r>
    <r>
      <rPr>
        <b/>
        <sz val="8"/>
        <rFont val="Arial"/>
        <family val="2"/>
      </rPr>
      <t xml:space="preserve">Lützenreuth </t>
    </r>
    <r>
      <rPr>
        <sz val="8"/>
        <rFont val="Arial"/>
        <family val="2"/>
      </rPr>
      <t xml:space="preserve">- Entenmühle - Metzlersreuth - </t>
    </r>
    <r>
      <rPr>
        <b/>
        <sz val="8"/>
        <rFont val="Arial"/>
        <family val="2"/>
      </rPr>
      <t>Schweinsbach</t>
    </r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</si>
  <si>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Glasermühle</t>
    </r>
    <r>
      <rPr>
        <sz val="8"/>
        <rFont val="Arial"/>
        <family val="2"/>
      </rPr>
      <t xml:space="preserve"> - Ri SW - WA Brunnschlag - Hirschhorn - Höhe 761,6 - TP 764,5 - WA Moosloh/Schwedenlohe</t>
    </r>
    <r>
      <rPr>
        <b/>
        <sz val="8"/>
        <rFont val="Arial"/>
        <family val="2"/>
      </rPr>
      <t xml:space="preserve"> - Einmündung in Forstweg n Höhe 730</t>
    </r>
  </si>
  <si>
    <r>
      <rPr>
        <i/>
        <sz val="8"/>
        <rFont val="Arial"/>
        <family val="2"/>
      </rPr>
      <t>Warmensteinach (311)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Einmündung in Forstweg n Höhe 730</t>
    </r>
    <r>
      <rPr>
        <sz val="8"/>
        <rFont val="Arial"/>
        <family val="2"/>
      </rPr>
      <t xml:space="preserve"> - Moosbachsteig - Gustavsruhe - Höhe 646,3 - entlang Moosbach - </t>
    </r>
    <r>
      <rPr>
        <b/>
        <sz val="8"/>
        <rFont val="Arial"/>
        <family val="2"/>
      </rPr>
      <t xml:space="preserve">Warmensteinach
</t>
    </r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</si>
  <si>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Bischofsgrün</t>
    </r>
    <r>
      <rPr>
        <sz val="8"/>
        <rFont val="Arial"/>
        <family val="2"/>
      </rPr>
      <t xml:space="preserve"> - Jägerstr. - Forstgasse - Ochsenkopfstr. - Höhe 760 - Höhe 873 - Reißingerbrunnen - Ochsenkopf (Gipfel) - Ri SO - </t>
    </r>
    <r>
      <rPr>
        <b/>
        <sz val="8"/>
        <rFont val="Arial"/>
        <family val="2"/>
      </rPr>
      <t xml:space="preserve">Wegekreuz n Unterer Fürstenbrunnen
</t>
    </r>
  </si>
  <si>
    <r>
      <rPr>
        <i/>
        <sz val="8"/>
        <rFont val="Arial"/>
        <family val="2"/>
      </rPr>
      <t>Oberwarmensteinach (309)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Wegekreuz n Unterer Fürstenbrunnen</t>
    </r>
    <r>
      <rPr>
        <sz val="8"/>
        <rFont val="Arial"/>
        <family val="2"/>
      </rPr>
      <t xml:space="preserve"> - Unterer Fürstenbrunnen - Fleckl - Geiersberg - WA Helle Glocke - </t>
    </r>
    <r>
      <rPr>
        <b/>
        <sz val="8"/>
        <rFont val="Arial"/>
        <family val="2"/>
      </rPr>
      <t xml:space="preserve">Warmensteinach
</t>
    </r>
  </si>
  <si>
    <r>
      <rPr>
        <i/>
        <sz val="8"/>
        <rFont val="Arial"/>
        <family val="2"/>
      </rPr>
      <t xml:space="preserve">Oberwarmensteinach (309):
</t>
    </r>
    <r>
      <rPr>
        <b/>
        <sz val="8"/>
        <rFont val="Arial"/>
        <family val="2"/>
      </rPr>
      <t xml:space="preserve">Fleckl (Ochsenkopfhaus) - </t>
    </r>
    <r>
      <rPr>
        <sz val="8"/>
        <rFont val="Arial"/>
        <family val="2"/>
      </rPr>
      <t xml:space="preserve">Ri NO - WA Treßelwald - Steinachquelle - weiter auf Schmiererweg </t>
    </r>
    <r>
      <rPr>
        <b/>
        <sz val="8"/>
        <rFont val="Arial"/>
        <family val="2"/>
      </rPr>
      <t>- Nähe Felsgruppe</t>
    </r>
    <r>
      <rPr>
        <sz val="8"/>
        <rFont val="Arial"/>
        <family val="2"/>
      </rPr>
      <t xml:space="preserve"> (32U 702497E 5544897N)</t>
    </r>
    <r>
      <rPr>
        <b/>
        <sz val="8"/>
        <rFont val="Arial"/>
        <family val="2"/>
      </rPr>
      <t xml:space="preserve">
</t>
    </r>
  </si>
  <si>
    <t>Fleckl - Fichtelnaabquelle,  FGV-WegNr. 52,  Markierungsabschnitte 1 - 2</t>
  </si>
  <si>
    <r>
      <rPr>
        <i/>
        <sz val="8"/>
        <rFont val="Arial"/>
        <family val="2"/>
      </rPr>
      <t xml:space="preserve">Fichtelberg-Neubau (304):
</t>
    </r>
    <r>
      <rPr>
        <b/>
        <sz val="8"/>
        <rFont val="Arial"/>
        <family val="2"/>
      </rPr>
      <t xml:space="preserve">Auf Schmiererweg Nähe Felsgruppe </t>
    </r>
    <r>
      <rPr>
        <sz val="8"/>
        <rFont val="Arial"/>
        <family val="2"/>
      </rPr>
      <t xml:space="preserve">(32U 702497E 5544897N) - Kalter Brunnen - </t>
    </r>
    <r>
      <rPr>
        <b/>
        <sz val="8"/>
        <rFont val="Arial"/>
        <family val="2"/>
      </rPr>
      <t xml:space="preserve">Fichtelnaabquelle
</t>
    </r>
  </si>
  <si>
    <r>
      <rPr>
        <i/>
        <sz val="8"/>
        <rFont val="Arial"/>
        <family val="2"/>
      </rPr>
      <t>Warmensteinach (311)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 xml:space="preserve">Warmensteinach </t>
    </r>
    <r>
      <rPr>
        <sz val="8"/>
        <rFont val="Arial"/>
        <family val="2"/>
      </rPr>
      <t xml:space="preserve">- WA Helle Glocke - Löchleinstal - </t>
    </r>
    <r>
      <rPr>
        <b/>
        <sz val="8"/>
        <rFont val="Arial"/>
        <family val="2"/>
      </rPr>
      <t xml:space="preserve">Grassemann (BT4)
</t>
    </r>
  </si>
  <si>
    <t>Warmensteinach - Ochsenkopf, FGV-WegNr. 55,  Markierungsabschnitte 1 - 3</t>
  </si>
  <si>
    <r>
      <rPr>
        <i/>
        <sz val="8"/>
        <rFont val="Arial"/>
        <family val="2"/>
      </rPr>
      <t>Oberwarmensteinach (309):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Grassemann (BT4) - Kreuzung Forstweg (32U 700882E 5545545N)
</t>
    </r>
  </si>
  <si>
    <r>
      <rPr>
        <i/>
        <sz val="8"/>
        <rFont val="Arial"/>
        <family val="2"/>
      </rPr>
      <t>Bischofsgrün (303):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Kreuzung Forstweg (32U 700882E 5545545N) - Ochsenkopf (Gipfel)
</t>
    </r>
  </si>
  <si>
    <r>
      <rPr>
        <i/>
        <sz val="8"/>
        <rFont val="Arial"/>
        <family val="2"/>
      </rPr>
      <t>Warmensteinach (311)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 xml:space="preserve">Warmensteinach </t>
    </r>
    <r>
      <rPr>
        <sz val="8"/>
        <rFont val="Arial"/>
        <family val="2"/>
      </rPr>
      <t xml:space="preserve">- Oberwarmensteinacher/Bahnhofstr. - Königsheideweg - Ri NNW - w Hängweg - sw Schanzen - Höhe 777 - </t>
    </r>
    <r>
      <rPr>
        <b/>
        <sz val="8"/>
        <rFont val="Arial"/>
        <family val="2"/>
      </rPr>
      <t xml:space="preserve">Einmündung in Kammweg nö Drei Hirtenstein 
</t>
    </r>
  </si>
  <si>
    <t xml:space="preserve">Warmensteinach - Goldmühl/Escherlich, FGV-WegNr. 56,  Markierungsabschnitte 1 - 3 </t>
  </si>
  <si>
    <r>
      <rPr>
        <i/>
        <sz val="8"/>
        <rFont val="Arial"/>
        <family val="2"/>
      </rPr>
      <t>Nemmersdorf (307)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Einmündung  in Kammweg nö Drei Hirtenstein</t>
    </r>
    <r>
      <rPr>
        <sz val="8"/>
        <rFont val="Arial"/>
        <family val="2"/>
      </rPr>
      <t xml:space="preserve"> - Höhe 828 - Höhe 707 - ö Goldener Hirsch - nw Geräum -  </t>
    </r>
    <r>
      <rPr>
        <b/>
        <sz val="8"/>
        <rFont val="Arial"/>
        <family val="2"/>
      </rPr>
      <t xml:space="preserve">Wegkreuzung Höhe 616
</t>
    </r>
  </si>
  <si>
    <r>
      <rPr>
        <i/>
        <sz val="8"/>
        <rFont val="Arial"/>
        <family val="2"/>
      </rPr>
      <t>Goldkronach (305)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Wegkreuzung Höhe 616</t>
    </r>
    <r>
      <rPr>
        <sz val="8"/>
        <rFont val="Arial"/>
        <family val="2"/>
      </rPr>
      <t xml:space="preserve"> (nw Geräum) -  Höhe 616 - Sickenreuth - Goldkronach - Zoppatenberg - </t>
    </r>
    <r>
      <rPr>
        <b/>
        <sz val="8"/>
        <rFont val="Arial"/>
        <family val="2"/>
      </rPr>
      <t xml:space="preserve">Goldmühl (St 2163) 
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</si>
  <si>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>Neuenmarkt</t>
    </r>
    <r>
      <rPr>
        <sz val="8"/>
        <rFont val="Arial"/>
        <family val="2"/>
      </rPr>
      <t xml:space="preserve"> - Streitmühle - Gössenreuth - Micheldorf - Bad Berneck - </t>
    </r>
    <r>
      <rPr>
        <b/>
        <sz val="8"/>
        <rFont val="Arial"/>
        <family val="2"/>
      </rPr>
      <t>Goldmühl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</si>
  <si>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Goldkronach (305):
</t>
    </r>
    <r>
      <rPr>
        <b/>
        <sz val="8"/>
        <rFont val="Arial"/>
        <family val="2"/>
      </rPr>
      <t>Goldmühl</t>
    </r>
    <r>
      <rPr>
        <sz val="8"/>
        <rFont val="Arial"/>
        <family val="2"/>
      </rPr>
      <t xml:space="preserve"> - Brandholz - Fürstenstein - </t>
    </r>
    <r>
      <rPr>
        <b/>
        <sz val="8"/>
        <rFont val="Arial"/>
        <family val="2"/>
      </rPr>
      <t>Kreuzung Mittelweg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</si>
  <si>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Kreuzung Mittelweg </t>
    </r>
    <r>
      <rPr>
        <sz val="8"/>
        <rFont val="Arial"/>
        <family val="2"/>
      </rPr>
      <t xml:space="preserve">- Warmensteinach - </t>
    </r>
    <r>
      <rPr>
        <b/>
        <sz val="8"/>
        <rFont val="Arial"/>
        <family val="2"/>
      </rPr>
      <t>Kreuzstein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</si>
  <si>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>Kreuzstein</t>
    </r>
    <r>
      <rPr>
        <sz val="8"/>
        <rFont val="Arial"/>
        <family val="2"/>
      </rPr>
      <t xml:space="preserve"> - Bayreuther Haus - </t>
    </r>
    <r>
      <rPr>
        <b/>
        <sz val="8"/>
        <rFont val="Arial"/>
        <family val="2"/>
      </rPr>
      <t>Günzlas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</si>
  <si>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Günzlas </t>
    </r>
    <r>
      <rPr>
        <sz val="8"/>
        <rFont val="Arial"/>
        <family val="2"/>
      </rPr>
      <t xml:space="preserve">- Katzenöd - Plößberg - </t>
    </r>
    <r>
      <rPr>
        <b/>
        <sz val="8"/>
        <rFont val="Arial"/>
        <family val="2"/>
      </rPr>
      <t>Immenreuth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</si>
  <si>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Kemnath (202):
</t>
    </r>
    <r>
      <rPr>
        <b/>
        <sz val="8"/>
        <rFont val="Arial"/>
        <family val="2"/>
      </rPr>
      <t>Immenreuth</t>
    </r>
    <r>
      <rPr>
        <sz val="8"/>
        <rFont val="Arial"/>
        <family val="2"/>
      </rPr>
      <t xml:space="preserve"> - Kulmain - Zinst - NP-Grenze Steinwald - Armesberg - </t>
    </r>
    <r>
      <rPr>
        <b/>
        <sz val="8"/>
        <rFont val="Arial"/>
        <family val="2"/>
      </rPr>
      <t xml:space="preserve">Trevesen
</t>
    </r>
  </si>
  <si>
    <r>
      <rPr>
        <i/>
        <sz val="8"/>
        <rFont val="Arial"/>
        <family val="2"/>
      </rPr>
      <t xml:space="preserve">Pullenreuth (207):
</t>
    </r>
    <r>
      <rPr>
        <b/>
        <sz val="8"/>
        <rFont val="Arial"/>
        <family val="2"/>
      </rPr>
      <t>Trevesen</t>
    </r>
    <r>
      <rPr>
        <sz val="8"/>
        <rFont val="Arial"/>
        <family val="2"/>
      </rPr>
      <t xml:space="preserve"> - Haselbrunn - Huberfelsen - Reiseneggerfelsen -  </t>
    </r>
    <r>
      <rPr>
        <b/>
        <sz val="8"/>
        <rFont val="Arial"/>
        <family val="2"/>
      </rPr>
      <t xml:space="preserve">Waldhaus
</t>
    </r>
  </si>
  <si>
    <t>Friedenfels</t>
  </si>
  <si>
    <r>
      <rPr>
        <i/>
        <sz val="8"/>
        <rFont val="Arial"/>
        <family val="2"/>
      </rPr>
      <t xml:space="preserve">Friedenfels (208):
</t>
    </r>
    <r>
      <rPr>
        <b/>
        <sz val="8"/>
        <rFont val="Arial"/>
        <family val="2"/>
      </rPr>
      <t xml:space="preserve">Waldhaus </t>
    </r>
    <r>
      <rPr>
        <sz val="8"/>
        <rFont val="Arial"/>
        <family val="2"/>
      </rPr>
      <t xml:space="preserve">- Bärnhöhe - Frauenreuth - Friedenfels - Haferdeckmühle - Voithenthan - </t>
    </r>
    <r>
      <rPr>
        <b/>
        <sz val="8"/>
        <rFont val="Arial"/>
        <family val="2"/>
      </rPr>
      <t xml:space="preserve">Wiesau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</si>
  <si>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Birnstengel </t>
    </r>
    <r>
      <rPr>
        <sz val="8"/>
        <rFont val="Arial"/>
        <family val="2"/>
      </rPr>
      <t xml:space="preserve">- Ehrenfriedhof - Höhe 828,7 - Hohe Heide - WA Rehschlag - Höhe 775 - Wetzsteinfelsen - Hedlerreuth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</si>
  <si>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>Glasermühle</t>
    </r>
    <r>
      <rPr>
        <sz val="8"/>
        <rFont val="Arial"/>
        <family val="2"/>
      </rPr>
      <t xml:space="preserve">- Ri W entlang Sommerrangen- Wülfersretuh - Höhe 702,7 - Hirschhaid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</si>
  <si>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Wülfersreuth (Parkplatz) </t>
    </r>
    <r>
      <rPr>
        <sz val="8"/>
        <rFont val="Arial"/>
        <family val="2"/>
      </rPr>
      <t xml:space="preserve">- Höhe 671- Querung Schweinsbach - Schweinsbach - Höhe 696 - n Höhe 707 -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</si>
  <si>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Wülfersreuth (Parkplatz Ortsrand bei Höhe 702,7)  </t>
    </r>
    <r>
      <rPr>
        <sz val="8"/>
        <rFont val="Arial"/>
        <family val="2"/>
      </rPr>
      <t xml:space="preserve">- Ri O bis Waldrand - Ri N - Höhe 671 - Ri W - nördlicher Ortsrand - Höhe 653,3 - Ri SW - Höhe 659 - Ri O - Eichig - Ri NO - südlicher Ortsrand - Ri SO / NO - Neuhaus - </t>
    </r>
    <r>
      <rPr>
        <b/>
        <sz val="8"/>
        <rFont val="Arial"/>
        <family val="2"/>
      </rPr>
      <t xml:space="preserve">Ausgangspunkt
</t>
    </r>
  </si>
  <si>
    <t xml:space="preserve">Naturlehr-pfad "Oberes Weißmaintal"
</t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</si>
  <si>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Bischofsgrün oberhalb Seilbahnstation </t>
    </r>
    <r>
      <rPr>
        <sz val="8"/>
        <rFont val="Arial"/>
        <family val="2"/>
      </rPr>
      <t>(Fortsetzung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Christof-Seidel-Weg) - entlang Weißer Main - Karches - Höhe 723 - Höhe 714 - Sprungschanze - durch den Kletteerwald - </t>
    </r>
    <r>
      <rPr>
        <b/>
        <sz val="8"/>
        <rFont val="Arial"/>
        <family val="2"/>
      </rPr>
      <t xml:space="preserve">Ausgangspunkt
</t>
    </r>
  </si>
  <si>
    <t>002985_V_L_Korr-2020_Bischofsgruen</t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</si>
  <si>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Sonnensteig - entlang Warme Steinach - St2981 - Querung Mausbach - Erholungsheim - Eisenberg - Erholungsheim - Winkelweg - Oberwarmensteinacher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</si>
  <si>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Sonnensteig - entlang Warme Steinach - St2981 - Winkelweg - um den Eisenberg - Erholungsheim - Wagenthalhütte - Oberwarmensteinacher Str.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</si>
  <si>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Königsheideweg - Nemmersdorfer Weg - Sprungschanze - ö WA Hängloh - Goldkronacher Weg - n Höhe 665 - Kropfbachtalstr.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</si>
  <si>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Sonnensteig - Helle Glocke - Löchleinstal - Grassemann - n Trümmerschlucht - Zwieselweg - Knopfbachtal - Knopfbachtalstr.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</si>
  <si>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ö Mittelberg - Moosbachtal - Gustavsruhe - Querung Brücklesbächl - Moosbachsteig - Zwieselweg - am Westhang Mittelberg - Am Mittelberg - Knopfbachtalstr.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</si>
  <si>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(Löchleinstalstr.) </t>
    </r>
    <r>
      <rPr>
        <sz val="8"/>
        <rFont val="Arial"/>
        <family val="2"/>
      </rPr>
      <t xml:space="preserve">- Sonnensteig - Helle Glocke - Löchleinstal - um die Geierberger Höhe - Siedlung Geiersberg - Höhe 697  - </t>
    </r>
    <r>
      <rPr>
        <b/>
        <sz val="8"/>
        <rFont val="Arial"/>
        <family val="2"/>
      </rPr>
      <t xml:space="preserve">Ausgangspunkt
</t>
    </r>
  </si>
  <si>
    <t>RW 1
"Sonnen-
hof 1"</t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</si>
  <si>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Wunsiedel (Ecke Bibersbacher Str./Markus-Zahn-Allee) </t>
    </r>
    <r>
      <rPr>
        <sz val="8"/>
        <rFont val="Arial"/>
        <family val="2"/>
      </rPr>
      <t xml:space="preserve">- Kapelle - Ri Zeitelmoos - Valetsberg - </t>
    </r>
    <r>
      <rPr>
        <b/>
        <sz val="8"/>
        <rFont val="Arial"/>
        <family val="2"/>
      </rPr>
      <t xml:space="preserve">Ausgangspunkt
</t>
    </r>
  </si>
  <si>
    <t>RW 2
"Sonnen-
hof 2"</t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</si>
  <si>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Wunsiedel </t>
    </r>
    <r>
      <rPr>
        <sz val="8"/>
        <rFont val="Arial"/>
        <family val="2"/>
      </rPr>
      <t>(Ecke Bibersbacher Str./Markus-Zahn-Allee)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Valetsberg - Bibersbach - WA Berghöllhölzer - Höhe 616 - Biberbacher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</si>
  <si>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Parkplatz an der WUN 2035 </t>
    </r>
    <r>
      <rPr>
        <sz val="8"/>
        <rFont val="Arial"/>
        <family val="2"/>
      </rPr>
      <t xml:space="preserve">- Klause - Ziegelhütte - Hildenbühl - Höhe 608 - Schönbrunner Berg - s Göringsreuth - n Krugelsbach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</si>
  <si>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Goldkronach (Parkplatz Festplatz o. Friedhofsparkplatz) </t>
    </r>
    <r>
      <rPr>
        <sz val="8"/>
        <rFont val="Arial"/>
        <family val="2"/>
      </rPr>
      <t xml:space="preserve">- Kapf - Leisau - Markgrafenstr. - entlang Kronach - Kottersreuth - Höhe 406 - Querung Saulochbach - Schlesienstr. - Am Schloßgarten - Schulstr. Bachgasse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</si>
  <si>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Goldkronach (Parkplatz Festplatz) </t>
    </r>
    <r>
      <rPr>
        <sz val="8"/>
        <rFont val="Arial"/>
        <family val="2"/>
      </rPr>
      <t xml:space="preserve">- Schulstr. - Bachgasse - Marktplatz - Sickenreuther Str. - Mühlstr. - Geräumweg - Heidelleithen - Nemmersdorf - Ri N Goldkronach - Kirchgasse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</si>
  <si>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Goldkronach (Parkplatz Festplatz) </t>
    </r>
    <r>
      <rPr>
        <sz val="8"/>
        <rFont val="Arial"/>
        <family val="2"/>
      </rPr>
      <t xml:space="preserve">- Schulstr. - Bachgasse - Bayreuther Str. - Ri S nach Nemmersdorf - Pöllersdorf - Depserberg - Dressendorf - Sand - Querung Saulochbach / BT12 - Schlesienstr. - Am Schlossgarte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</si>
  <si>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Goldkronach (Friedhofsparkplatz) </t>
    </r>
    <r>
      <rPr>
        <sz val="8"/>
        <rFont val="Arial"/>
        <family val="2"/>
      </rPr>
      <t xml:space="preserve">- Zopattenberg - Silberrose/Höhe 505 - Brandholz (hier: Abkürzungsmöglichkeit nach Beerfleck) - Frankenberg - entlang Zopattenbach - Querung Greimbach - Beerfleck - Fürstenstein - Am Goldberg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</si>
  <si>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 xml:space="preserve">Bad Berneck (Parkplatz am Anger) </t>
    </r>
    <r>
      <rPr>
        <sz val="8"/>
        <rFont val="Arial"/>
        <family val="2"/>
      </rPr>
      <t xml:space="preserve">- Sonnenweg - Hohe Warte - Kirchleite - Knodental - Schlossleitenweg - Ölschnitztal - Thiesenfels - Ludwigfels - Andreashofer Felsen - Siemensstr. - Eisenleite - Vordere Warmeleite - Gärtnereiweg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</si>
  <si>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 xml:space="preserve">Bad Berneck (Marktplatz) </t>
    </r>
    <r>
      <rPr>
        <sz val="8"/>
        <rFont val="Arial"/>
        <family val="2"/>
      </rPr>
      <t xml:space="preserve">- Schlossberg - entlang Knodenbach - </t>
    </r>
    <r>
      <rPr>
        <b/>
        <sz val="8"/>
        <rFont val="Arial"/>
        <family val="2"/>
      </rPr>
      <t xml:space="preserve">Wasserknoden
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</si>
  <si>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 xml:space="preserve">Bärnreuth </t>
    </r>
    <r>
      <rPr>
        <sz val="8"/>
        <rFont val="Arial"/>
        <family val="2"/>
      </rPr>
      <t xml:space="preserve">- um den Mainberg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</si>
  <si>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Gefrees (504):
</t>
    </r>
    <r>
      <rPr>
        <b/>
        <sz val="8"/>
        <rFont val="Arial"/>
        <family val="2"/>
      </rPr>
      <t>Wanderparkplatz Hügelwiese (nahe St 2180)</t>
    </r>
    <r>
      <rPr>
        <sz val="8"/>
        <rFont val="Arial"/>
        <family val="2"/>
      </rPr>
      <t xml:space="preserve"> - Ri O - n Vorderer Kapf - Knopfhammer - WA Leitenholz - s Galgenberg - Querung Kornbach u. St 2180 -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</si>
  <si>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Gefrees (504):
</t>
    </r>
    <r>
      <rPr>
        <b/>
        <sz val="8"/>
        <rFont val="Arial"/>
        <family val="2"/>
      </rPr>
      <t>Wanderparkplatz Hügelwiese (nahe St 2180)</t>
    </r>
    <r>
      <rPr>
        <sz val="8"/>
        <rFont val="Arial"/>
        <family val="2"/>
      </rPr>
      <t xml:space="preserve"> - Ri O - n Vorderer Kapf - Ri SW - nw Vorderer Kapf - Höhe 678 - Gottmansberg - Ri NO - w Steinbrüche - WA Reut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</si>
  <si>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Gefrees (504):
</t>
    </r>
    <r>
      <rPr>
        <b/>
        <sz val="8"/>
        <rFont val="Arial"/>
        <family val="2"/>
      </rPr>
      <t>Wanderparkplatz Hügelwiese (nahe St 2180)</t>
    </r>
    <r>
      <rPr>
        <sz val="8"/>
        <rFont val="Arial"/>
        <family val="2"/>
      </rPr>
      <t xml:space="preserve"> - Ri O - n Vorderer Kapf - Ri S - ö Vorderer Kapf - Ri W - Höhe 735 - Gottmansberg - Ri NO - w Steinbrüche - WA Reut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</si>
  <si>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Nemmersdorf (Ortsmitte / Parkplatz Friedhof) </t>
    </r>
    <r>
      <rPr>
        <sz val="8"/>
        <rFont val="Arial"/>
        <family val="2"/>
      </rPr>
      <t xml:space="preserve">- Forthof - Pöllersdorf - Pfergacker/Sommerleithen - Goldener Hirsch - Kühleiten - </t>
    </r>
    <r>
      <rPr>
        <b/>
        <sz val="8"/>
        <rFont val="Arial"/>
        <family val="2"/>
      </rPr>
      <t xml:space="preserve">Ausgangspunkt
</t>
    </r>
  </si>
  <si>
    <r>
      <t xml:space="preserve">Schönwald (105):
</t>
    </r>
    <r>
      <rPr>
        <b/>
        <sz val="8"/>
        <rFont val="Arial"/>
        <family val="2"/>
      </rPr>
      <t xml:space="preserve">Abzweig FGV-WegNr 25 </t>
    </r>
    <r>
      <rPr>
        <sz val="8"/>
        <rFont val="Arial"/>
        <family val="2"/>
      </rPr>
      <t xml:space="preserve"> - nahe ND Großer Stein - Göringsreuth - Kleppermühle - Sophienreuth - </t>
    </r>
    <r>
      <rPr>
        <b/>
        <sz val="8"/>
        <rFont val="Arial"/>
        <family val="2"/>
      </rPr>
      <t xml:space="preserve">B15
</t>
    </r>
  </si>
  <si>
    <r>
      <t xml:space="preserve">Rehau (405):
</t>
    </r>
    <r>
      <rPr>
        <b/>
        <sz val="8"/>
        <rFont val="Arial"/>
        <family val="2"/>
      </rPr>
      <t xml:space="preserve">B15 </t>
    </r>
    <r>
      <rPr>
        <sz val="8"/>
        <rFont val="Arial"/>
        <family val="2"/>
      </rPr>
      <t xml:space="preserve"> - Hasenschwanzweg - </t>
    </r>
    <r>
      <rPr>
        <b/>
        <sz val="8"/>
        <rFont val="Arial"/>
        <family val="2"/>
      </rPr>
      <t xml:space="preserve">Einmündung Ostweg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</si>
  <si>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Rehau </t>
    </r>
    <r>
      <rPr>
        <sz val="8"/>
        <rFont val="Arial"/>
        <family val="2"/>
      </rPr>
      <t>(Bahnhof)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Perlenbach entlang - </t>
    </r>
    <r>
      <rPr>
        <b/>
        <sz val="8"/>
        <rFont val="Arial"/>
        <family val="2"/>
      </rPr>
      <t>Röllmühle</t>
    </r>
    <r>
      <rPr>
        <sz val="8"/>
        <rFont val="Arial"/>
        <family val="2"/>
      </rPr>
      <t xml:space="preserve"> 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</si>
  <si>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Röllmühle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>WA Schwarzloh - WA Brandreuth -</t>
    </r>
    <r>
      <rPr>
        <b/>
        <sz val="8"/>
        <rFont val="Arial"/>
        <family val="2"/>
      </rPr>
      <t xml:space="preserve"> Schönwald </t>
    </r>
    <r>
      <rPr>
        <sz val="8"/>
        <rFont val="Arial"/>
        <family val="2"/>
      </rPr>
      <t xml:space="preserve">(Rathaus)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</si>
  <si>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Schönwald</t>
    </r>
    <r>
      <rPr>
        <sz val="8"/>
        <rFont val="Arial"/>
        <family val="2"/>
      </rPr>
      <t xml:space="preserve"> (Bahnhof) - Neuenbrand -</t>
    </r>
    <r>
      <rPr>
        <b/>
        <sz val="8"/>
        <rFont val="Arial"/>
        <family val="2"/>
      </rPr>
      <t xml:space="preserve"> Reichenbach </t>
    </r>
    <r>
      <rPr>
        <sz val="8"/>
        <rFont val="Arial"/>
        <family val="2"/>
      </rPr>
      <t>(Ortsverbindungsstraße)</t>
    </r>
  </si>
  <si>
    <t>Schönwald - Neuhausen,  FGV-WegNr 27,  Markierungsabschnitte 1 - 2</t>
  </si>
  <si>
    <t>Selb-Plößberg</t>
  </si>
  <si>
    <r>
      <rPr>
        <i/>
        <sz val="8"/>
        <rFont val="Arial"/>
        <family val="2"/>
      </rPr>
      <t xml:space="preserve">Selb-Plößberg (108):
</t>
    </r>
    <r>
      <rPr>
        <b/>
        <sz val="8"/>
        <rFont val="Arial"/>
        <family val="2"/>
      </rPr>
      <t>Reichenbach</t>
    </r>
    <r>
      <rPr>
        <sz val="8"/>
        <rFont val="Arial"/>
        <family val="2"/>
      </rPr>
      <t xml:space="preserve"> (Ortsverbindungsstraße) - entlang Perlenbach - </t>
    </r>
    <r>
      <rPr>
        <b/>
        <sz val="8"/>
        <rFont val="Arial"/>
        <family val="2"/>
      </rPr>
      <t xml:space="preserve">Neuhausen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</si>
  <si>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 xml:space="preserve">Schönwald </t>
    </r>
    <r>
      <rPr>
        <sz val="8"/>
        <rFont val="Arial"/>
        <family val="2"/>
      </rPr>
      <t>(Rathaus) - Buchbacher Str.</t>
    </r>
    <r>
      <rPr>
        <b/>
        <sz val="8"/>
        <rFont val="Arial"/>
        <family val="2"/>
      </rPr>
      <t xml:space="preserve"> - WA Lauserholz - </t>
    </r>
    <r>
      <rPr>
        <sz val="8"/>
        <rFont val="Arial"/>
        <family val="2"/>
      </rPr>
      <t xml:space="preserve">Hoher Rainstein - n Steinhöhe - </t>
    </r>
    <r>
      <rPr>
        <b/>
        <sz val="8"/>
        <rFont val="Arial"/>
        <family val="2"/>
      </rPr>
      <t xml:space="preserve">Vorsuchhütte </t>
    </r>
    <r>
      <rPr>
        <sz val="8"/>
        <rFont val="Arial"/>
        <family val="2"/>
      </rPr>
      <t xml:space="preserve">(Nordweg)
</t>
    </r>
  </si>
  <si>
    <r>
      <t xml:space="preserve">Oberkotzau (404):
</t>
    </r>
    <r>
      <rPr>
        <b/>
        <sz val="8"/>
        <rFont val="Arial"/>
        <family val="2"/>
      </rPr>
      <t xml:space="preserve">Oberkotzau (Bahnhof) </t>
    </r>
    <r>
      <rPr>
        <sz val="8"/>
        <rFont val="Arial"/>
        <family val="2"/>
      </rPr>
      <t xml:space="preserve">- Lamitzgrund - Quellenreuth - Querung B 289 - WA Bärenholz - s Hirschberg - Hohrhäuser - Ri S w Muckenbühl/Steinbühl - Querung Steinbach - </t>
    </r>
    <r>
      <rPr>
        <b/>
        <sz val="8"/>
        <rFont val="Arial"/>
        <family val="2"/>
      </rPr>
      <t>Wegespinne n Höhe 618</t>
    </r>
    <r>
      <rPr>
        <sz val="8"/>
        <rFont val="Arial"/>
        <family val="2"/>
      </rPr>
      <t xml:space="preserve"> (33U 286566E 5565011N)
</t>
    </r>
  </si>
  <si>
    <r>
      <t xml:space="preserve">Schwarzenbach (406):
</t>
    </r>
    <r>
      <rPr>
        <b/>
        <sz val="8"/>
        <rFont val="Arial"/>
        <family val="2"/>
      </rPr>
      <t>Wegespinne n Höhe 618</t>
    </r>
    <r>
      <rPr>
        <sz val="8"/>
        <rFont val="Arial"/>
        <family val="2"/>
      </rPr>
      <t xml:space="preserve"> (33U 286566E 5565011N) - ö Hauknock - </t>
    </r>
    <r>
      <rPr>
        <b/>
        <sz val="8"/>
        <rFont val="Arial"/>
        <family val="2"/>
      </rPr>
      <t>Querung oberer Ringweg</t>
    </r>
    <r>
      <rPr>
        <sz val="8"/>
        <rFont val="Arial"/>
        <family val="2"/>
      </rPr>
      <t xml:space="preserve"> (33U 287405E 5563694N) </t>
    </r>
    <r>
      <rPr>
        <b/>
        <sz val="8"/>
        <rFont val="Arial"/>
        <family val="2"/>
      </rPr>
      <t xml:space="preserve">
</t>
    </r>
  </si>
  <si>
    <r>
      <t xml:space="preserve">Niederlamitz (508)
</t>
    </r>
    <r>
      <rPr>
        <b/>
        <sz val="8"/>
        <rFont val="Arial"/>
        <family val="2"/>
      </rPr>
      <t xml:space="preserve">Querung oberer Ringweg </t>
    </r>
    <r>
      <rPr>
        <sz val="8"/>
        <rFont val="Arial"/>
        <family val="2"/>
      </rPr>
      <t>(33U 287405E 5563694N)</t>
    </r>
    <r>
      <rPr>
        <b/>
        <sz val="8"/>
        <rFont val="Arial"/>
        <family val="2"/>
      </rPr>
      <t xml:space="preserve"> - Großer Kornberg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</si>
  <si>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Rehau </t>
    </r>
    <r>
      <rPr>
        <sz val="8"/>
        <rFont val="Arial"/>
        <family val="2"/>
      </rPr>
      <t>(Bahnhof)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Ri S / SW - Sportplatz / Bad - Hirschberger Str. - </t>
    </r>
    <r>
      <rPr>
        <b/>
        <sz val="8"/>
        <rFont val="Arial"/>
        <family val="2"/>
      </rPr>
      <t>Wegedreieck wnw Hirschberg</t>
    </r>
    <r>
      <rPr>
        <sz val="8"/>
        <rFont val="Arial"/>
        <family val="2"/>
      </rPr>
      <t xml:space="preserve"> 
</t>
    </r>
  </si>
  <si>
    <r>
      <rPr>
        <i/>
        <sz val="8"/>
        <rFont val="Arial"/>
        <family val="2"/>
      </rPr>
      <t xml:space="preserve">Oberkotzau (404):
</t>
    </r>
    <r>
      <rPr>
        <b/>
        <sz val="8"/>
        <rFont val="Arial"/>
        <family val="2"/>
      </rPr>
      <t xml:space="preserve">Wegedreieck wnw Hirschberg </t>
    </r>
    <r>
      <rPr>
        <sz val="8"/>
        <rFont val="Arial"/>
        <family val="2"/>
      </rPr>
      <t xml:space="preserve">- Ri NW - Höhe 601 - Querung B 289    - </t>
    </r>
    <r>
      <rPr>
        <b/>
        <sz val="8"/>
        <rFont val="Arial"/>
        <family val="2"/>
      </rPr>
      <t>Wurlitz</t>
    </r>
    <r>
      <rPr>
        <sz val="8"/>
        <rFont val="Arial"/>
        <family val="2"/>
      </rPr>
      <t xml:space="preserve">
</t>
    </r>
  </si>
  <si>
    <t xml:space="preserve">Rehau (405):
Rehau (Maxplatz) - n BAB-Ausf. Rehau Süd - Heinersberg - WA Langenreuth - Perlenhaus - B15 - entlang Perlenbach -  Wegegabel (33U 292581E 5567585N) n Grünauermühle - Höhe 572,5 - Abzweig FGV-WegNr. 27 (LDBV-ID 3287)
</t>
  </si>
  <si>
    <r>
      <rPr>
        <i/>
        <sz val="8"/>
        <rFont val="Arial"/>
        <family val="2"/>
      </rPr>
      <t>Selb-Plößberg (108):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 Wegegabel (33U 292581E 5567585N) -</t>
    </r>
    <r>
      <rPr>
        <sz val="8"/>
        <rFont val="Arial"/>
        <family val="2"/>
      </rPr>
      <t xml:space="preserve"> n Grünauermühle - Querung Peutersbächlein - Höhe 572 - Reichenbach -  Bärenhaus - Holzhäuser - HO17 - </t>
    </r>
    <r>
      <rPr>
        <b/>
        <sz val="8"/>
        <rFont val="Arial"/>
        <family val="2"/>
      </rPr>
      <t>Ostweg</t>
    </r>
    <r>
      <rPr>
        <sz val="8"/>
        <rFont val="Arial"/>
        <family val="2"/>
      </rPr>
      <t xml:space="preserve"> (Erbhaus/Prexhäuser)
</t>
    </r>
  </si>
  <si>
    <t>Ostweg - Rehau - Ostweg, Wegverlauf siehe FGV-WegNr 94, Markierungsabschnitte 1 -2</t>
  </si>
  <si>
    <t>003292_V_Korr-2022_Erbhaus</t>
  </si>
  <si>
    <t>Umlegung und Begradigung wegen Problemen mit Eigentümern</t>
  </si>
  <si>
    <r>
      <t xml:space="preserve">Rehau (405)
</t>
    </r>
    <r>
      <rPr>
        <b/>
        <sz val="8"/>
        <rFont val="Arial"/>
        <family val="2"/>
      </rPr>
      <t xml:space="preserve">Dreiländereck </t>
    </r>
    <r>
      <rPr>
        <sz val="8"/>
        <rFont val="Arial"/>
        <family val="2"/>
      </rPr>
      <t xml:space="preserve">- Oberprex - Schanz - Sigmundsgrün - Fassmannsreuth - Wegegabelung bei Höhe 558,3 - WA Kohlplatz/Tiefenreuth/Loch/Schlid - St2192 - </t>
    </r>
    <r>
      <rPr>
        <b/>
        <sz val="8"/>
        <rFont val="Arial"/>
        <family val="2"/>
      </rPr>
      <t xml:space="preserve">Abzweig Schönlinder Höhe
</t>
    </r>
  </si>
  <si>
    <r>
      <t xml:space="preserve">Selb/Plößberg (108)
</t>
    </r>
    <r>
      <rPr>
        <b/>
        <sz val="8"/>
        <rFont val="Arial"/>
        <family val="2"/>
      </rPr>
      <t xml:space="preserve">Abzweig Schönlinder Höhe - </t>
    </r>
    <r>
      <rPr>
        <sz val="8"/>
        <rFont val="Arial"/>
        <family val="2"/>
      </rPr>
      <t xml:space="preserve">Rauhe Schänke - Schönlind - n Neuhausen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 xml:space="preserve">Erbhaus - Prexhäuser - St2179 - Höhe 642,1 - Wildenau - </t>
    </r>
    <r>
      <rPr>
        <b/>
        <sz val="8"/>
        <rFont val="Arial"/>
        <family val="2"/>
      </rPr>
      <t xml:space="preserve">Geyermühle
</t>
    </r>
  </si>
  <si>
    <r>
      <t xml:space="preserve">Selb (107)
</t>
    </r>
    <r>
      <rPr>
        <b/>
        <sz val="8"/>
        <rFont val="Arial"/>
        <family val="2"/>
      </rPr>
      <t xml:space="preserve">Geyermühle - </t>
    </r>
    <r>
      <rPr>
        <sz val="8"/>
        <rFont val="Arial"/>
        <family val="2"/>
      </rPr>
      <t>WA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Mühlbacher Waldung - Höllrangen - Buchwald - Hirschfelder Tor - WA Wurlitzloh /Rohrloh - </t>
    </r>
    <r>
      <rPr>
        <b/>
        <sz val="8"/>
        <rFont val="Arial"/>
        <family val="2"/>
      </rPr>
      <t xml:space="preserve">Liebensteiner Tor
</t>
    </r>
  </si>
  <si>
    <r>
      <t xml:space="preserve">Hohenberg (111)
</t>
    </r>
    <r>
      <rPr>
        <b/>
        <sz val="8"/>
        <rFont val="Arial"/>
        <family val="2"/>
      </rPr>
      <t xml:space="preserve">Liebensteiner Tor </t>
    </r>
    <r>
      <rPr>
        <sz val="8"/>
        <rFont val="Arial"/>
        <family val="2"/>
      </rPr>
      <t>- Sommerhau - Drahtmühle - entlang St2178 - Hohenberg</t>
    </r>
    <r>
      <rPr>
        <b/>
        <sz val="8"/>
        <rFont val="Arial"/>
        <family val="2"/>
      </rPr>
      <t xml:space="preserve"> - St 2178 (B 303)
</t>
    </r>
  </si>
  <si>
    <r>
      <t xml:space="preserve">Schirnding (104)
</t>
    </r>
    <r>
      <rPr>
        <b/>
        <sz val="8"/>
        <rFont val="Arial"/>
        <family val="2"/>
      </rPr>
      <t>St 2178 (B303)</t>
    </r>
    <r>
      <rPr>
        <sz val="8"/>
        <rFont val="Arial"/>
        <family val="2"/>
      </rPr>
      <t xml:space="preserve"> - Schirnding - Blausäulenweg - Höhe 552 (nahe Buchbrunnen) - Querung St2178 - Dietzenberg -</t>
    </r>
    <r>
      <rPr>
        <b/>
        <sz val="8"/>
        <rFont val="Arial"/>
        <family val="2"/>
      </rPr>
      <t xml:space="preserve"> Kappl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</si>
  <si>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Porzellanbrunnen</t>
    </r>
    <r>
      <rPr>
        <sz val="8"/>
        <rFont val="Arial"/>
        <family val="2"/>
      </rPr>
      <t xml:space="preserve"> (Ecke Bucherbacher/Hutschenreuther Str.)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Alte Rehauer Str. - Rabenberg - nö Buchbach - Buchbacher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</si>
  <si>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Porzellanbrunnen</t>
    </r>
    <r>
      <rPr>
        <sz val="8"/>
        <rFont val="Arial"/>
        <family val="2"/>
      </rPr>
      <t xml:space="preserve"> (Ecke Bucherbacher/Hutschenreuther Str.)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Alte Rehauer Str. - Höhe 651,2 - Kleppermühle - WA Pferd-/Erdloh - Göringsreuth - Buchbacher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</si>
  <si>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Brücke am Bahnhof</t>
    </r>
    <r>
      <rPr>
        <sz val="8"/>
        <rFont val="Arial"/>
        <family val="2"/>
      </rPr>
      <t xml:space="preserve"> - Peuntstraße - Querung A93 - Siedlung Vielitz - Selb-Plößberg (Porzellanmuseum) - Auweg - Weihergebiet - Querung A93 - Peuntstraße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</si>
  <si>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Selb-Plößberg  (108):
</t>
    </r>
    <r>
      <rPr>
        <b/>
        <sz val="8"/>
        <rFont val="Arial"/>
        <family val="2"/>
      </rPr>
      <t>Plößberg</t>
    </r>
    <r>
      <rPr>
        <sz val="8"/>
        <rFont val="Arial"/>
        <family val="2"/>
      </rPr>
      <t xml:space="preserve"> (Dorfteich)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WA Selberholz- Reichenbach - WA Ascherholz - Bärenhaus - Holzhäsuer - WUN16 - Erbhaus - Ostweg - Prexhäuser - WA Prexholz - Lauterbach - WA Larn - </t>
    </r>
    <r>
      <rPr>
        <b/>
        <sz val="8"/>
        <rFont val="Arial"/>
        <family val="2"/>
      </rPr>
      <t xml:space="preserve">Ausgangspunkt
</t>
    </r>
  </si>
  <si>
    <t>003313_V_Korr-2022_Erbhaus und Ascherholz</t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</si>
  <si>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Hutschenreuther Bad - </t>
    </r>
    <r>
      <rPr>
        <sz val="8"/>
        <rFont val="Arial"/>
        <family val="2"/>
      </rPr>
      <t xml:space="preserve">Erkersreuth - Krippnermühle - Mühlbach - Laubbühl - Höhe 589,5 - entlang Erkersreuther Bach - </t>
    </r>
    <r>
      <rPr>
        <b/>
        <sz val="8"/>
        <rFont val="Arial"/>
        <family val="2"/>
      </rPr>
      <t>Ausgangspunk</t>
    </r>
  </si>
  <si>
    <r>
      <rPr>
        <i/>
        <sz val="8"/>
        <rFont val="Arial"/>
        <family val="2"/>
      </rPr>
      <t xml:space="preserve">Marktleuthen (507:
</t>
    </r>
    <r>
      <rPr>
        <b/>
        <sz val="8"/>
        <rFont val="Arial"/>
        <family val="2"/>
      </rPr>
      <t xml:space="preserve">Marktleuthen </t>
    </r>
    <r>
      <rPr>
        <sz val="8"/>
        <rFont val="Arial"/>
        <family val="2"/>
      </rPr>
      <t xml:space="preserve">(Eisenbahn-Viadukt) - Ri N entlang Eisenbahn - Großwendern - Höhe 579,0 bei Steinelburg - Neudesberg / WA Geiernest - </t>
    </r>
    <r>
      <rPr>
        <b/>
        <sz val="8"/>
        <rFont val="Arial"/>
        <family val="2"/>
      </rPr>
      <t>Wegekreu</t>
    </r>
    <r>
      <rPr>
        <sz val="8"/>
        <rFont val="Arial"/>
        <family val="2"/>
      </rPr>
      <t>z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
</t>
    </r>
  </si>
  <si>
    <t xml:space="preserve">Marktleuthen - Kornberg, FGV-WegNr. 32, ein Markierungsabschnitte 1 - 2 </t>
  </si>
  <si>
    <r>
      <rPr>
        <i/>
        <sz val="8"/>
        <rFont val="Arial"/>
        <family val="2"/>
      </rPr>
      <t xml:space="preserve">Niederlamitz (508):
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Wegekreu</t>
    </r>
    <r>
      <rPr>
        <sz val="8"/>
        <rFont val="Arial"/>
        <family val="2"/>
      </rPr>
      <t xml:space="preserve">z - Höhe 656,1 - Wegegabel Höhe 689,9 </t>
    </r>
    <r>
      <rPr>
        <b/>
        <sz val="8"/>
        <rFont val="Arial"/>
        <family val="2"/>
      </rPr>
      <t xml:space="preserve">- Kornberg (Schönburgwarte) 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</si>
  <si>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 xml:space="preserve">Selb (Marktplatz) - </t>
    </r>
    <r>
      <rPr>
        <sz val="8"/>
        <rFont val="Arial"/>
        <family val="2"/>
      </rPr>
      <t>Hammergut</t>
    </r>
    <r>
      <rPr>
        <b/>
        <sz val="8"/>
        <rFont val="Arial"/>
        <family val="2"/>
      </rPr>
      <t xml:space="preserve"> -</t>
    </r>
    <r>
      <rPr>
        <sz val="8"/>
        <rFont val="Arial"/>
        <family val="2"/>
      </rPr>
      <t xml:space="preserve"> Mittelweißenbach - </t>
    </r>
    <r>
      <rPr>
        <b/>
        <sz val="8"/>
        <rFont val="Arial"/>
        <family val="2"/>
      </rPr>
      <t>St2179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</si>
  <si>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 xml:space="preserve">St2179 - </t>
    </r>
    <r>
      <rPr>
        <sz val="8"/>
        <rFont val="Arial"/>
        <family val="2"/>
      </rPr>
      <t>Oberweisenbach - Steinselb</t>
    </r>
    <r>
      <rPr>
        <b/>
        <sz val="8"/>
        <rFont val="Arial"/>
        <family val="2"/>
      </rPr>
      <t xml:space="preserve"> - Einmündung Nordweg (Höhe 653,9)
</t>
    </r>
  </si>
  <si>
    <r>
      <rPr>
        <i/>
        <sz val="8"/>
        <rFont val="Arial"/>
        <family val="2"/>
      </rPr>
      <t>Schönwald (105):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Schönwald</t>
    </r>
    <r>
      <rPr>
        <sz val="8"/>
        <rFont val="Arial"/>
        <family val="2"/>
      </rPr>
      <t xml:space="preserve"> (Schulstraße) - Brunn - Bernsteinmühle - entlang Bernsteinbach - Richtung Breitenberg - Querung Steinselb - </t>
    </r>
    <r>
      <rPr>
        <b/>
        <sz val="8"/>
        <rFont val="Arial"/>
        <family val="2"/>
      </rPr>
      <t xml:space="preserve">Wegespinne s Langer Berg
</t>
    </r>
  </si>
  <si>
    <r>
      <rPr>
        <i/>
        <sz val="8"/>
        <rFont val="Arial"/>
        <family val="2"/>
      </rPr>
      <t>Marktleuthen(507):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Wegespinne s Langer Berg</t>
    </r>
    <r>
      <rPr>
        <sz val="8"/>
        <rFont val="Arial"/>
        <family val="2"/>
      </rPr>
      <t xml:space="preserve"> - Schwarzenhammer </t>
    </r>
    <r>
      <rPr>
        <b/>
        <sz val="8"/>
        <rFont val="Arial"/>
        <family val="2"/>
      </rPr>
      <t xml:space="preserve">- Egerweg
</t>
    </r>
  </si>
  <si>
    <r>
      <rPr>
        <i/>
        <sz val="8"/>
        <rFont val="Arial"/>
        <family val="2"/>
      </rPr>
      <t xml:space="preserve">Selb-Plößberg (108):
</t>
    </r>
    <r>
      <rPr>
        <b/>
        <sz val="8"/>
        <rFont val="Arial"/>
        <family val="2"/>
      </rPr>
      <t xml:space="preserve">St 2179 (nahe Grenze) </t>
    </r>
    <r>
      <rPr>
        <sz val="8"/>
        <rFont val="Arial"/>
        <family val="2"/>
      </rPr>
      <t xml:space="preserve">- Höhe 642,1 - Wildenau - </t>
    </r>
    <r>
      <rPr>
        <b/>
        <sz val="8"/>
        <rFont val="Arial"/>
        <family val="2"/>
      </rPr>
      <t>Geyermühle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</si>
  <si>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 xml:space="preserve">Geyermühle </t>
    </r>
    <r>
      <rPr>
        <sz val="8"/>
        <rFont val="Arial"/>
        <family val="2"/>
      </rPr>
      <t xml:space="preserve">- Krippnermühle - Mühlbach - Mooslohe - Sommermühle - Längenauer Str. - Stopfersfurth - Naturfreundehaus - Schloßberg - Papiermühlweg - Papiermühle - Hammergut - Höhe 511,6 - </t>
    </r>
    <r>
      <rPr>
        <b/>
        <sz val="8"/>
        <rFont val="Arial"/>
        <family val="2"/>
      </rPr>
      <t xml:space="preserve">Einmündung Egerweg
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</si>
  <si>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 xml:space="preserve">Nordweg (Stopfersfurth) - </t>
    </r>
    <r>
      <rPr>
        <sz val="8"/>
        <rFont val="Arial"/>
        <family val="2"/>
      </rPr>
      <t>Schausteinbruch Häusellohe</t>
    </r>
    <r>
      <rPr>
        <b/>
        <sz val="8"/>
        <rFont val="Arial"/>
        <family val="2"/>
      </rPr>
      <t xml:space="preserve"> - Nordweg </t>
    </r>
  </si>
  <si>
    <r>
      <rPr>
        <i/>
        <sz val="8"/>
        <rFont val="Arial"/>
        <family val="2"/>
      </rPr>
      <t>Marktredwitz(203):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Einmündung Röslauweg</t>
    </r>
    <r>
      <rPr>
        <sz val="8"/>
        <rFont val="Arial"/>
        <family val="2"/>
      </rPr>
      <t xml:space="preserve"> - Querung B303 - Brand - Glashütte - Höhe 649 - </t>
    </r>
    <r>
      <rPr>
        <b/>
        <sz val="8"/>
        <rFont val="Arial"/>
        <family val="2"/>
      </rPr>
      <t xml:space="preserve">Ruhberg </t>
    </r>
    <r>
      <rPr>
        <sz val="8"/>
        <rFont val="Arial"/>
        <family val="2"/>
      </rPr>
      <t>(Abzweig ssö)</t>
    </r>
    <r>
      <rPr>
        <b/>
        <sz val="8"/>
        <rFont val="Arial"/>
        <family val="2"/>
      </rPr>
      <t xml:space="preserve">
</t>
    </r>
  </si>
  <si>
    <t>Marktleuthen  Mitterteich,  FGV-WegNr 78, Markierungsabschnitte 1 -  5</t>
  </si>
  <si>
    <r>
      <rPr>
        <i/>
        <sz val="8"/>
        <rFont val="Arial"/>
        <family val="2"/>
      </rPr>
      <t>Arzberg (101):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Ruhberg </t>
    </r>
    <r>
      <rPr>
        <sz val="8"/>
        <rFont val="Arial"/>
        <family val="2"/>
      </rPr>
      <t xml:space="preserve">(Abzweig ssö) - Querung TIR14 - Großbüchlberg - </t>
    </r>
    <r>
      <rPr>
        <b/>
        <sz val="8"/>
        <rFont val="Arial"/>
        <family val="2"/>
      </rPr>
      <t xml:space="preserve">Mitterteich
</t>
    </r>
  </si>
  <si>
    <r>
      <rPr>
        <i/>
        <sz val="8"/>
        <rFont val="Arial"/>
        <family val="2"/>
      </rPr>
      <t>Grafenreuth (103):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n Bernstein - </t>
    </r>
    <r>
      <rPr>
        <sz val="8"/>
        <rFont val="Arial"/>
        <family val="2"/>
      </rPr>
      <t xml:space="preserve">Bernstein -  Joanneszeche - Querung St2665 - Radweg - Kleehof - Querung A93 - Wampen - Grafenreuth - Korbersdorf - </t>
    </r>
    <r>
      <rPr>
        <b/>
        <sz val="8"/>
        <rFont val="Arial"/>
        <family val="2"/>
      </rPr>
      <t>Einmündung in Röslauweg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</si>
  <si>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Höchstädt (112):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nw Unterwoltersgrün - </t>
    </r>
    <r>
      <rPr>
        <sz val="8"/>
        <rFont val="Arial"/>
        <family val="2"/>
      </rPr>
      <t xml:space="preserve">Oberwoltersgrün - </t>
    </r>
    <r>
      <rPr>
        <b/>
        <sz val="8"/>
        <rFont val="Arial"/>
        <family val="2"/>
      </rPr>
      <t>n Bernstein</t>
    </r>
  </si>
  <si>
    <r>
      <rPr>
        <i/>
        <sz val="8"/>
        <rFont val="Arial"/>
        <family val="2"/>
      </rPr>
      <t>Marktleuthen 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Marktleuthen</t>
    </r>
    <r>
      <rPr>
        <sz val="8"/>
        <rFont val="Arial"/>
        <family val="2"/>
      </rPr>
      <t xml:space="preserve"> - Habnith - Holzmühl - </t>
    </r>
    <r>
      <rPr>
        <b/>
        <sz val="8"/>
        <rFont val="Arial"/>
        <family val="2"/>
      </rPr>
      <t>nw Unterwoltersgrün</t>
    </r>
  </si>
  <si>
    <r>
      <rPr>
        <i/>
        <sz val="8"/>
        <rFont val="Arial"/>
        <family val="2"/>
      </rPr>
      <t xml:space="preserve">Marktleuthen (507):
</t>
    </r>
    <r>
      <rPr>
        <b/>
        <sz val="8"/>
        <rFont val="Arial"/>
        <family val="2"/>
      </rPr>
      <t xml:space="preserve">Marktleuthen </t>
    </r>
    <r>
      <rPr>
        <sz val="8"/>
        <rFont val="Arial"/>
        <family val="2"/>
      </rPr>
      <t xml:space="preserve">(Eisenbahn-Viadukt) - Siedlung - Querung Eger / St2176 - entlang Bibersbach - Hebanz - </t>
    </r>
    <r>
      <rPr>
        <b/>
        <sz val="8"/>
        <rFont val="Arial"/>
        <family val="2"/>
      </rPr>
      <t>WA Tännig</t>
    </r>
    <r>
      <rPr>
        <sz val="8"/>
        <rFont val="Arial"/>
        <family val="2"/>
      </rPr>
      <t xml:space="preserve"> (Wegkreuzung / Ost 289687, Nord 5555596, 563 m)
</t>
    </r>
  </si>
  <si>
    <t>Marktleuthen - Thierstein, FGV-WegNr. 88, Abshnitte 1 - 3</t>
  </si>
  <si>
    <r>
      <rPr>
        <i/>
        <sz val="8"/>
        <rFont val="Arial"/>
        <family val="2"/>
      </rPr>
      <t xml:space="preserve">Höchstädt (112):
</t>
    </r>
    <r>
      <rPr>
        <b/>
        <sz val="8"/>
        <rFont val="Arial"/>
        <family val="2"/>
      </rPr>
      <t xml:space="preserve">WA Tännig </t>
    </r>
    <r>
      <rPr>
        <sz val="8"/>
        <rFont val="Arial"/>
        <family val="2"/>
      </rPr>
      <t>(Wegkreuzung) - Tännig - n Hofmühle -</t>
    </r>
    <r>
      <rPr>
        <b/>
        <sz val="8"/>
        <rFont val="Arial"/>
        <family val="2"/>
      </rPr>
      <t xml:space="preserve"> Querung A93 / B15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</si>
  <si>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Thierstein (110):
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Querung A93 / B15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Thierstein</t>
    </r>
    <r>
      <rPr>
        <sz val="8"/>
        <rFont val="Arial"/>
        <family val="2"/>
      </rPr>
      <t xml:space="preserve"> (Marktplatz)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</si>
  <si>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 xml:space="preserve">Selb </t>
    </r>
    <r>
      <rPr>
        <sz val="8"/>
        <rFont val="Arial"/>
        <family val="2"/>
      </rPr>
      <t>(Wunsiedler Weiher)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WA Gremsenloh - Höhe 555,3 - WA Unterwald - </t>
    </r>
    <r>
      <rPr>
        <b/>
        <sz val="8"/>
        <rFont val="Arial"/>
        <family val="2"/>
      </rPr>
      <t xml:space="preserve">Leupoldshammer 
</t>
    </r>
  </si>
  <si>
    <r>
      <rPr>
        <i/>
        <sz val="8"/>
        <rFont val="Arial"/>
        <family val="2"/>
      </rPr>
      <t xml:space="preserve">Thierstein (110):
</t>
    </r>
    <r>
      <rPr>
        <b/>
        <sz val="8"/>
        <rFont val="Arial"/>
        <family val="2"/>
      </rPr>
      <t xml:space="preserve">Leupoldshammer </t>
    </r>
    <r>
      <rPr>
        <sz val="8"/>
        <rFont val="Arial"/>
        <family val="2"/>
      </rPr>
      <t xml:space="preserve">- Höhe 516,7 - Höhe 543,3 - </t>
    </r>
    <r>
      <rPr>
        <b/>
        <sz val="8"/>
        <rFont val="Arial"/>
        <family val="2"/>
      </rPr>
      <t xml:space="preserve">Einmündung Europäischer Fernwanderweg E3
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</si>
  <si>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>Wunsiedler Weiher</t>
    </r>
    <r>
      <rPr>
        <sz val="8"/>
        <rFont val="Arial"/>
        <family val="2"/>
      </rPr>
      <t xml:space="preserve"> - Höhe 535,5 - WA Schmierofen - parallel Lausenbach - Einmündung in </t>
    </r>
    <r>
      <rPr>
        <b/>
        <sz val="8"/>
        <rFont val="Arial"/>
        <family val="2"/>
      </rPr>
      <t xml:space="preserve">Egerweg nahe Hendelhammer
</t>
    </r>
  </si>
  <si>
    <r>
      <t xml:space="preserve">Arzberg (101):
</t>
    </r>
    <r>
      <rPr>
        <b/>
        <sz val="8"/>
        <rFont val="Arial"/>
        <family val="2"/>
      </rPr>
      <t>Arzberg</t>
    </r>
    <r>
      <rPr>
        <sz val="8"/>
        <rFont val="Arial"/>
        <family val="2"/>
      </rPr>
      <t xml:space="preserve"> (Rathaus) - Schacht - Rosenbühl - Steinhäuser - </t>
    </r>
    <r>
      <rPr>
        <b/>
        <sz val="8"/>
        <rFont val="Arial"/>
        <family val="2"/>
      </rPr>
      <t>Neuhaus a.d. Eger</t>
    </r>
    <r>
      <rPr>
        <sz val="8"/>
        <rFont val="Arial"/>
        <family val="2"/>
      </rPr>
      <t xml:space="preserve"> (WUN 4)
</t>
    </r>
  </si>
  <si>
    <r>
      <t xml:space="preserve">Hohenberg (111):
</t>
    </r>
    <r>
      <rPr>
        <b/>
        <sz val="8"/>
        <rFont val="Arial"/>
        <family val="2"/>
      </rPr>
      <t xml:space="preserve">Neuhaus a.d. Eger </t>
    </r>
    <r>
      <rPr>
        <sz val="8"/>
        <rFont val="Arial"/>
        <family val="2"/>
      </rPr>
      <t xml:space="preserve">(WUN 4) - Fohrenlohe - Höhe 518 - </t>
    </r>
    <r>
      <rPr>
        <b/>
        <sz val="8"/>
        <rFont val="Arial"/>
        <family val="2"/>
      </rPr>
      <t>Wellerthal</t>
    </r>
    <r>
      <rPr>
        <sz val="8"/>
        <rFont val="Arial"/>
        <family val="2"/>
      </rPr>
      <t xml:space="preserve"> (Egerbrücke)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</si>
  <si>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Selb (107):
</t>
    </r>
    <r>
      <rPr>
        <b/>
        <sz val="8"/>
        <rFont val="Arial"/>
        <family val="2"/>
      </rPr>
      <t xml:space="preserve">Selb </t>
    </r>
    <r>
      <rPr>
        <sz val="8"/>
        <rFont val="Arial"/>
        <family val="2"/>
      </rPr>
      <t xml:space="preserve">(Hohenberger Straße) - WA Wetterschlag - Höhe 569 - Silberbrunnen - Nordhang Großer Hengstberg - Querung St 2178 - Egertalweg - Einmündung in </t>
    </r>
    <r>
      <rPr>
        <b/>
        <sz val="8"/>
        <rFont val="Arial"/>
        <family val="2"/>
      </rPr>
      <t>Egerweg beim Hirschsprung</t>
    </r>
    <r>
      <rPr>
        <sz val="8"/>
        <rFont val="Arial"/>
        <family val="2"/>
      </rPr>
      <t xml:space="preserve">
</t>
    </r>
  </si>
  <si>
    <t>Selb - Egerweg/Hirschsprung, FGV-WegNr. 90, ein Abshnitt</t>
  </si>
  <si>
    <r>
      <t xml:space="preserve">Höchstädt (112):
</t>
    </r>
    <r>
      <rPr>
        <b/>
        <sz val="8"/>
        <rFont val="Arial"/>
        <family val="2"/>
      </rPr>
      <t>Oberwoltersgrün</t>
    </r>
    <r>
      <rPr>
        <sz val="8"/>
        <rFont val="Arial"/>
        <family val="2"/>
      </rPr>
      <t xml:space="preserve"> - WA Finkensteinwald - Stemmasgrün - </t>
    </r>
    <r>
      <rPr>
        <b/>
        <sz val="8"/>
        <rFont val="Arial"/>
        <family val="2"/>
      </rPr>
      <t xml:space="preserve">St2176
</t>
    </r>
  </si>
  <si>
    <r>
      <t xml:space="preserve">Thiersheim (1):
</t>
    </r>
    <r>
      <rPr>
        <b/>
        <sz val="8"/>
        <rFont val="Arial"/>
        <family val="2"/>
      </rPr>
      <t>St2176</t>
    </r>
    <r>
      <rPr>
        <sz val="8"/>
        <rFont val="Arial"/>
        <family val="2"/>
      </rPr>
      <t xml:space="preserve"> - Braunersgrün - Höhe 581,4 - Neuenreuth - Höhen 574 und 575 - Querung WUN 4 - </t>
    </r>
    <r>
      <rPr>
        <b/>
        <sz val="8"/>
        <rFont val="Arial"/>
        <family val="2"/>
      </rPr>
      <t xml:space="preserve">Steinhäuser
</t>
    </r>
  </si>
  <si>
    <r>
      <rPr>
        <i/>
        <sz val="8"/>
        <rFont val="Arial"/>
        <family val="2"/>
      </rPr>
      <t xml:space="preserve">Bad Alexandersbad (501):
</t>
    </r>
    <r>
      <rPr>
        <b/>
        <sz val="8"/>
        <rFont val="Arial"/>
        <family val="2"/>
      </rPr>
      <t>Dünkelhammer</t>
    </r>
    <r>
      <rPr>
        <i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entlang Wenderner Bach - Verbindungsstraße Juluishammer&gt;Tiefenbach - </t>
    </r>
    <r>
      <rPr>
        <b/>
        <sz val="8"/>
        <rFont val="Arial"/>
        <family val="2"/>
      </rPr>
      <t xml:space="preserve">Abzweig (n Tiefenbach)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</si>
  <si>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 xml:space="preserve">Abzweig </t>
    </r>
    <r>
      <rPr>
        <sz val="8"/>
        <rFont val="Arial"/>
        <family val="2"/>
      </rPr>
      <t xml:space="preserve">(n Tiefenbach) - rechts der Röslau - Hammermühle - 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Unterthölau </t>
    </r>
    <r>
      <rPr>
        <b/>
        <sz val="8"/>
        <rFont val="Arial"/>
        <family val="2"/>
      </rPr>
      <t>- Einmündung in Röslauweg (</t>
    </r>
    <r>
      <rPr>
        <sz val="8"/>
        <rFont val="Arial"/>
        <family val="2"/>
      </rPr>
      <t xml:space="preserve">Schletzenühle)
</t>
    </r>
  </si>
  <si>
    <r>
      <rPr>
        <i/>
        <sz val="8"/>
        <rFont val="Arial"/>
        <family val="2"/>
      </rPr>
      <t>Marktredwitz(203):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Marktredwitz</t>
    </r>
    <r>
      <rPr>
        <sz val="8"/>
        <rFont val="Arial"/>
        <family val="2"/>
      </rPr>
      <t xml:space="preserve"> - Oberredwitz - Wenderner Stein - </t>
    </r>
    <r>
      <rPr>
        <b/>
        <sz val="8"/>
        <rFont val="Arial"/>
        <family val="2"/>
      </rPr>
      <t xml:space="preserve">Wegegabel sw Wenderner Stein
</t>
    </r>
  </si>
  <si>
    <t>Marktredwitz - Kösseine, Wegverlauf siehe FGV-WegNr 75,  Markierungsabschnitte 1 - 4</t>
  </si>
  <si>
    <r>
      <rPr>
        <i/>
        <sz val="8"/>
        <rFont val="Arial"/>
        <family val="2"/>
      </rPr>
      <t>Waldershof (209):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Wegegabel sw Wenderner Stein</t>
    </r>
    <r>
      <rPr>
        <sz val="8"/>
        <rFont val="Arial"/>
        <family val="2"/>
      </rPr>
      <t xml:space="preserve"> - Graentzer Stein -</t>
    </r>
    <r>
      <rPr>
        <b/>
        <sz val="8"/>
        <rFont val="Arial"/>
        <family val="2"/>
      </rPr>
      <t xml:space="preserve"> Wegekreuzung sw Parkplatz Kleinwendern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</si>
  <si>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Wegekreuzung sw Kleinwendern </t>
    </r>
    <r>
      <rPr>
        <sz val="8"/>
        <rFont val="Arial"/>
        <family val="2"/>
      </rPr>
      <t xml:space="preserve">- Püttnerfels - Höhe 801,6 - </t>
    </r>
    <r>
      <rPr>
        <b/>
        <sz val="8"/>
        <rFont val="Arial"/>
        <family val="2"/>
      </rPr>
      <t xml:space="preserve">Wegegabel n Kösseinebrunnen
</t>
    </r>
  </si>
  <si>
    <r>
      <rPr>
        <i/>
        <sz val="8"/>
        <rFont val="Arial"/>
        <family val="2"/>
      </rPr>
      <t>Wunsiedel (513):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Wegegabel n Kösseinebrunnen - Kösseinegipfel</t>
    </r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</si>
  <si>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>Rathaus (Infotafel)</t>
    </r>
    <r>
      <rPr>
        <sz val="8"/>
        <rFont val="Arial"/>
        <family val="2"/>
      </rPr>
      <t xml:space="preserve"> - Johanneskapelle - unterhalb Schloßweiher und Kössein - Sonnen-/Bahnhofstr. - Am Damm - Querung Eisenbahn - entlang Schrebergärten - Leutendorf - Höhe 625,7 - </t>
    </r>
    <r>
      <rPr>
        <b/>
        <sz val="8"/>
        <rFont val="Arial"/>
        <family val="2"/>
      </rPr>
      <t xml:space="preserve">Wegekreuzung sw Wenderner Stein 
</t>
    </r>
  </si>
  <si>
    <t>Waldershof - Kleinwendern,  FGV-WegNr 91,  Markierungsabschnitte 1 - 2</t>
  </si>
  <si>
    <r>
      <rPr>
        <i/>
        <sz val="8"/>
        <rFont val="Arial"/>
        <family val="2"/>
      </rPr>
      <t xml:space="preserve">Bad Alexandersbad (501):
</t>
    </r>
    <r>
      <rPr>
        <b/>
        <sz val="8"/>
        <rFont val="Arial"/>
        <family val="2"/>
      </rPr>
      <t>Wegekreuzung w Wenderner Stein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Kleinwendern (Dorfmitte)
</t>
    </r>
  </si>
  <si>
    <t>Waldershof - Kleinwendern,  FGV-WegNr 91, ein Markierungsabschnitt</t>
  </si>
  <si>
    <r>
      <rPr>
        <i/>
        <sz val="8"/>
        <rFont val="Arial"/>
        <family val="2"/>
      </rPr>
      <t>Marktredwitz (203):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Marktredwitz (Markt)</t>
    </r>
    <r>
      <rPr>
        <sz val="8"/>
        <rFont val="Arial"/>
        <family val="2"/>
      </rPr>
      <t xml:space="preserve"> - Wölsau - Haingrün - </t>
    </r>
    <r>
      <rPr>
        <b/>
        <sz val="8"/>
        <rFont val="Arial"/>
        <family val="2"/>
      </rPr>
      <t xml:space="preserve">Ruhberg (Höhe 649)
</t>
    </r>
  </si>
  <si>
    <r>
      <rPr>
        <i/>
        <sz val="8"/>
        <rFont val="Arial"/>
        <family val="2"/>
      </rPr>
      <t>Arzberg (101):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Ruhberg (Höhe 649)</t>
    </r>
    <r>
      <rPr>
        <sz val="8"/>
        <rFont val="Arial"/>
        <family val="2"/>
      </rPr>
      <t xml:space="preserve"> - Konnersrreuth - Groppenheim -</t>
    </r>
    <r>
      <rPr>
        <b/>
        <sz val="8"/>
        <rFont val="Arial"/>
        <family val="2"/>
      </rPr>
      <t xml:space="preserve"> Kappl</t>
    </r>
  </si>
  <si>
    <r>
      <rPr>
        <i/>
        <sz val="8"/>
        <rFont val="Arial"/>
        <family val="2"/>
      </rPr>
      <t xml:space="preserve">Thiersheim (109):
</t>
    </r>
    <r>
      <rPr>
        <b/>
        <sz val="8"/>
        <rFont val="Arial"/>
        <family val="2"/>
      </rPr>
      <t>Wartberg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B</t>
    </r>
    <r>
      <rPr>
        <sz val="8"/>
        <rFont val="Arial"/>
        <family val="2"/>
      </rPr>
      <t xml:space="preserve">ergnersreuth (Museum) - Karlmühle - Kothigenbibersbach - </t>
    </r>
    <r>
      <rPr>
        <b/>
        <sz val="8"/>
        <rFont val="Arial"/>
        <family val="2"/>
      </rPr>
      <t xml:space="preserve"> Hutschenreuther-Denkmal
</t>
    </r>
  </si>
  <si>
    <r>
      <rPr>
        <i/>
        <sz val="8"/>
        <rFont val="Arial"/>
        <family val="2"/>
      </rPr>
      <t xml:space="preserve">Hohenberg (111):
</t>
    </r>
    <r>
      <rPr>
        <b/>
        <sz val="8"/>
        <rFont val="Arial"/>
        <family val="2"/>
      </rPr>
      <t xml:space="preserve">Hutschreuther-Denkmal </t>
    </r>
    <r>
      <rPr>
        <sz val="8"/>
        <rFont val="Arial"/>
        <family val="2"/>
      </rPr>
      <t xml:space="preserve">- Eichenallee - </t>
    </r>
    <r>
      <rPr>
        <b/>
        <sz val="8"/>
        <rFont val="Arial"/>
        <family val="2"/>
      </rPr>
      <t>Hohenberg</t>
    </r>
    <r>
      <rPr>
        <sz val="8"/>
        <rFont val="Arial"/>
        <family val="2"/>
      </rPr>
      <t xml:space="preserve"> (Porzellanmuseum)
</t>
    </r>
  </si>
  <si>
    <r>
      <t xml:space="preserve">Arzberg (101):
</t>
    </r>
    <r>
      <rPr>
        <b/>
        <sz val="8"/>
        <rFont val="Arial"/>
        <family val="2"/>
      </rPr>
      <t>Arzberg (Maxplatz)</t>
    </r>
    <r>
      <rPr>
        <sz val="8"/>
        <rFont val="Arial"/>
        <family val="2"/>
      </rPr>
      <t xml:space="preserve"> - Röthenbach (Flurweg)</t>
    </r>
  </si>
  <si>
    <r>
      <t xml:space="preserve">Grafenreuth (1):
</t>
    </r>
    <r>
      <rPr>
        <b/>
        <sz val="8"/>
        <rFont val="Arial"/>
        <family val="2"/>
      </rPr>
      <t xml:space="preserve">Röthenbach (Flurweg) </t>
    </r>
    <r>
      <rPr>
        <sz val="8"/>
        <rFont val="Arial"/>
        <family val="2"/>
      </rPr>
      <t xml:space="preserve">- Flurweg - Dorngasse - durch WA Weidenhofer Forst - </t>
    </r>
    <r>
      <rPr>
        <b/>
        <sz val="8"/>
        <rFont val="Arial"/>
        <family val="2"/>
      </rPr>
      <t xml:space="preserve">Waldrand
</t>
    </r>
  </si>
  <si>
    <r>
      <t xml:space="preserve">Grafenreuth (1):
</t>
    </r>
    <r>
      <rPr>
        <b/>
        <sz val="8"/>
        <rFont val="Arial"/>
        <family val="2"/>
      </rPr>
      <t xml:space="preserve">Waldrand - Wartberg
</t>
    </r>
  </si>
  <si>
    <r>
      <t xml:space="preserve">Arzberg (101):
</t>
    </r>
    <r>
      <rPr>
        <b/>
        <sz val="8"/>
        <rFont val="Arial"/>
        <family val="2"/>
      </rPr>
      <t>Brand b. Marktredwitz (Fridau)</t>
    </r>
    <r>
      <rPr>
        <sz val="8"/>
        <rFont val="Arial"/>
        <family val="2"/>
      </rPr>
      <t xml:space="preserve"> - Haid - Klausen - Kohlberg - </t>
    </r>
    <r>
      <rPr>
        <b/>
        <sz val="8"/>
        <rFont val="Arial"/>
        <family val="2"/>
      </rPr>
      <t>St2176 (Parkplatz Lindenberg)</t>
    </r>
    <r>
      <rPr>
        <i/>
        <sz val="8"/>
        <rFont val="Arial"/>
        <family val="2"/>
      </rPr>
      <t xml:space="preserve">
</t>
    </r>
  </si>
  <si>
    <t>Brand b. Marktredwitz - St2176 (Parkplatz Lindenberg), WegNr 85, ein Markierungsabschnitt</t>
  </si>
  <si>
    <r>
      <t xml:space="preserve">Arzberg (101):
</t>
    </r>
    <r>
      <rPr>
        <b/>
        <sz val="8"/>
        <rFont val="Arial"/>
        <family val="2"/>
      </rPr>
      <t>Arzberg (Rathaus)</t>
    </r>
    <r>
      <rPr>
        <sz val="8"/>
        <rFont val="Arial"/>
        <family val="2"/>
      </rPr>
      <t xml:space="preserve"> - Waldabteilungen Ludelbrunnen / Teerofen / Turnerin - Siegelmühle - Grün - TIR 15 - </t>
    </r>
    <r>
      <rPr>
        <b/>
        <sz val="8"/>
        <rFont val="Arial"/>
        <family val="2"/>
      </rPr>
      <t>Kappl</t>
    </r>
    <r>
      <rPr>
        <i/>
        <sz val="8"/>
        <rFont val="Arial"/>
        <family val="2"/>
      </rPr>
      <t xml:space="preserve">
</t>
    </r>
  </si>
  <si>
    <r>
      <t xml:space="preserve">Arzberg (101):
</t>
    </r>
    <r>
      <rPr>
        <b/>
        <sz val="8"/>
        <rFont val="Arial"/>
        <family val="2"/>
      </rPr>
      <t>Parkplatz St2171/Lindenberg</t>
    </r>
    <r>
      <rPr>
        <sz val="8"/>
        <rFont val="Arial"/>
        <family val="2"/>
      </rPr>
      <t xml:space="preserve"> - Pechbrunnen - Höhe 545 - Weihergebiet Ruderbach - s Haselrangen - </t>
    </r>
    <r>
      <rPr>
        <b/>
        <sz val="8"/>
        <rFont val="Arial"/>
        <family val="2"/>
      </rPr>
      <t>Kappl</t>
    </r>
    <r>
      <rPr>
        <i/>
        <sz val="8"/>
        <rFont val="Arial"/>
        <family val="2"/>
      </rPr>
      <t xml:space="preserve">
</t>
    </r>
  </si>
  <si>
    <r>
      <t xml:space="preserve">Arzberg (101):
</t>
    </r>
    <r>
      <rPr>
        <b/>
        <sz val="8"/>
        <rFont val="Arial"/>
        <family val="2"/>
      </rPr>
      <t>Arzberg (Rathaus)</t>
    </r>
    <r>
      <rPr>
        <sz val="8"/>
        <rFont val="Arial"/>
        <family val="2"/>
      </rPr>
      <t xml:space="preserve"> - Gsteinigt - Elisenfels - Feisnitzspeicher - Elmberg - </t>
    </r>
    <r>
      <rPr>
        <b/>
        <sz val="8"/>
        <rFont val="Arial"/>
        <family val="2"/>
      </rPr>
      <t>Ruhberg</t>
    </r>
    <r>
      <rPr>
        <i/>
        <sz val="8"/>
        <rFont val="Arial"/>
        <family val="2"/>
      </rPr>
      <t xml:space="preserve">
</t>
    </r>
  </si>
  <si>
    <t>Arzberg - (Röslauweg) - Ruhberg, FGV-WegNr. 86, ein Markierungsabschnitt</t>
  </si>
  <si>
    <r>
      <rPr>
        <i/>
        <sz val="8"/>
        <rFont val="Arial"/>
        <family val="2"/>
      </rPr>
      <t xml:space="preserve">Schirnding (104):
</t>
    </r>
    <r>
      <rPr>
        <b/>
        <sz val="8"/>
        <rFont val="Arial"/>
        <family val="2"/>
      </rPr>
      <t xml:space="preserve">Schirnding (Bahnhof) </t>
    </r>
    <r>
      <rPr>
        <sz val="8"/>
        <rFont val="Arial"/>
        <family val="2"/>
      </rPr>
      <t xml:space="preserve">- Blumenstr. - n Ameisenbühl - WA Goldfuchs - WA Kohlhau - Querung Schneckenbach und Raitschenbach - entlang Buchbrunnenbach - Buchbrunnen - Seedorf  - </t>
    </r>
    <r>
      <rPr>
        <b/>
        <sz val="8"/>
        <rFont val="Arial"/>
        <family val="2"/>
      </rPr>
      <t>Preußenstein (Höhe 545)</t>
    </r>
    <r>
      <rPr>
        <sz val="8"/>
        <rFont val="Arial"/>
        <family val="2"/>
      </rPr>
      <t xml:space="preserve"> 
</t>
    </r>
  </si>
  <si>
    <r>
      <rPr>
        <i/>
        <sz val="8"/>
        <rFont val="Arial"/>
        <family val="2"/>
      </rPr>
      <t xml:space="preserve">Pullenreuth (207):
</t>
    </r>
    <r>
      <rPr>
        <b/>
        <sz val="8"/>
        <rFont val="Arial"/>
        <family val="2"/>
      </rPr>
      <t xml:space="preserve">Pullenreuth - </t>
    </r>
    <r>
      <rPr>
        <sz val="8"/>
        <rFont val="Arial"/>
        <family val="2"/>
      </rPr>
      <t xml:space="preserve">Harlachhof - Harlachmühle - Querung TIR 13 - </t>
    </r>
    <r>
      <rPr>
        <b/>
        <sz val="8"/>
        <rFont val="Arial"/>
        <family val="2"/>
      </rPr>
      <t xml:space="preserve">Wanderparkplatz Hohenhard 
</t>
    </r>
  </si>
  <si>
    <t>Pullenreuth -Marktredwitzer Haus, Wegverlauf siehe FGV-WegNr 120,  Markierungsab schnitte 1 - 2, ab MAK-Haus aufgelöst</t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</si>
  <si>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>Wanderparkplatz Hohenhard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Marktredwitzer Haus
</t>
    </r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</si>
  <si>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Rodenzenreuth </t>
    </r>
    <r>
      <rPr>
        <sz val="8"/>
        <rFont val="Arial"/>
        <family val="2"/>
      </rPr>
      <t>(Wanderparkplatz)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Querung Kössein - WA Alte Straße - Höhe 605 - WA Zimmerplatz - </t>
    </r>
    <r>
      <rPr>
        <b/>
        <sz val="8"/>
        <rFont val="Arial"/>
        <family val="2"/>
      </rPr>
      <t xml:space="preserve">Wegespinne sw Parkplatz Kleinwendern
</t>
    </r>
  </si>
  <si>
    <r>
      <rPr>
        <i/>
        <sz val="8"/>
        <rFont val="Arial"/>
        <family val="2"/>
      </rPr>
      <t xml:space="preserve">Bad Alexandersbad (501):
</t>
    </r>
    <r>
      <rPr>
        <b/>
        <sz val="8"/>
        <rFont val="Arial"/>
        <family val="2"/>
      </rPr>
      <t>Wegespinne sw Parkplatz Kleinwendern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Kleinwendern (Dorfmitte)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</si>
  <si>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Marktredwitz (Markt) - </t>
    </r>
    <r>
      <rPr>
        <sz val="8"/>
        <rFont val="Arial"/>
        <family val="2"/>
      </rPr>
      <t xml:space="preserve">Auenpark - w Pfaffenbühl - </t>
    </r>
    <r>
      <rPr>
        <b/>
        <sz val="8"/>
        <rFont val="Arial"/>
        <family val="2"/>
      </rPr>
      <t>St2121</t>
    </r>
  </si>
  <si>
    <t>(3)</t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</si>
  <si>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St2121 </t>
    </r>
    <r>
      <rPr>
        <sz val="8"/>
        <rFont val="Arial"/>
        <family val="2"/>
      </rPr>
      <t>- Rosenhammer</t>
    </r>
    <r>
      <rPr>
        <b/>
        <sz val="8"/>
        <rFont val="Arial"/>
        <family val="2"/>
      </rPr>
      <t xml:space="preserve"> - </t>
    </r>
    <r>
      <rPr>
        <sz val="8"/>
        <rFont val="Arial"/>
        <family val="2"/>
      </rPr>
      <t xml:space="preserve">WA Hammerholz - w/sw Wolfersreuth - um den Lehenbühl - Walbenreuth - WA Walbenreuther Holz - Kaltenlohe - MAK-Haus - </t>
    </r>
    <r>
      <rPr>
        <b/>
        <sz val="8"/>
        <rFont val="Arial"/>
        <family val="2"/>
      </rPr>
      <t>Ruine Weißenstein</t>
    </r>
    <r>
      <rPr>
        <sz val="8"/>
        <rFont val="Arial"/>
        <family val="2"/>
      </rPr>
      <t xml:space="preserve"> (ab hier übernimmt OWV)
</t>
    </r>
  </si>
  <si>
    <t>Marktredwitz - Saubadfelsen,  FGV WegNr 121,  Markierungsabschnitte 1 - 3,  (Abschnitt 3 OWV, ab Weißenstein)</t>
  </si>
  <si>
    <r>
      <rPr>
        <i/>
        <sz val="8"/>
        <rFont val="Arial"/>
        <family val="2"/>
      </rPr>
      <t xml:space="preserve">Pullenreuth (207):
</t>
    </r>
    <r>
      <rPr>
        <b/>
        <sz val="8"/>
        <rFont val="Arial"/>
        <family val="2"/>
      </rPr>
      <t xml:space="preserve">Pullenreuth </t>
    </r>
    <r>
      <rPr>
        <sz val="8"/>
        <rFont val="Arial"/>
        <family val="2"/>
      </rPr>
      <t xml:space="preserve">- Kellermmühle - WA Kunzenlohe - Höhe 660 - Dreimeterweg - Dachsfelsen - Huberfelsen - </t>
    </r>
    <r>
      <rPr>
        <b/>
        <sz val="8"/>
        <rFont val="Arial"/>
        <family val="2"/>
      </rPr>
      <t xml:space="preserve">Einmündung OWV 16208
</t>
    </r>
  </si>
  <si>
    <r>
      <rPr>
        <i/>
        <sz val="8"/>
        <rFont val="Arial"/>
        <family val="2"/>
      </rPr>
      <t xml:space="preserve">Pullenreuth (207):
</t>
    </r>
    <r>
      <rPr>
        <b/>
        <sz val="8"/>
        <rFont val="Arial"/>
        <family val="2"/>
      </rPr>
      <t xml:space="preserve">Pullenreuth </t>
    </r>
    <r>
      <rPr>
        <sz val="8"/>
        <rFont val="Arial"/>
        <family val="2"/>
      </rPr>
      <t xml:space="preserve">- Arnoldsreuth - Glasschleif - Höhe 740 - ö Reisseneggerfelsen - </t>
    </r>
    <r>
      <rPr>
        <b/>
        <sz val="8"/>
        <rFont val="Arial"/>
        <family val="2"/>
      </rPr>
      <t xml:space="preserve">Waldhaus
</t>
    </r>
  </si>
  <si>
    <r>
      <rPr>
        <i/>
        <sz val="8"/>
        <rFont val="Arial"/>
        <family val="2"/>
      </rPr>
      <t xml:space="preserve">Kemnath (202):
</t>
    </r>
    <r>
      <rPr>
        <b/>
        <sz val="8"/>
        <rFont val="Arial"/>
        <family val="2"/>
      </rPr>
      <t xml:space="preserve">Kemnath </t>
    </r>
    <r>
      <rPr>
        <sz val="8"/>
        <rFont val="Arial"/>
        <family val="2"/>
      </rPr>
      <t xml:space="preserve">- Steinberg - Luderweiher - Großer Weiher / WA Steighut - Höhe 494 - Neusteinreuth - Höhe 579 - Armesberg- Erdenweis - Wunschenberg - </t>
    </r>
    <r>
      <rPr>
        <b/>
        <sz val="8"/>
        <rFont val="Arial"/>
        <family val="2"/>
      </rPr>
      <t xml:space="preserve">St 2177
</t>
    </r>
  </si>
  <si>
    <r>
      <rPr>
        <i/>
        <sz val="8"/>
        <rFont val="Arial"/>
        <family val="2"/>
      </rPr>
      <t xml:space="preserve">Ebnath (201):
</t>
    </r>
    <r>
      <rPr>
        <b/>
        <sz val="8"/>
        <rFont val="Arial"/>
        <family val="2"/>
      </rPr>
      <t>St 2177</t>
    </r>
    <r>
      <rPr>
        <sz val="8"/>
        <rFont val="Arial"/>
        <family val="2"/>
      </rPr>
      <t xml:space="preserve"> - Wernersreuth - WA Pietrach - Fichtelnaabtal - Höhe 528,4 - Ebnath - Selingau - Grünlasmühle - Gregnitztal - </t>
    </r>
    <r>
      <rPr>
        <b/>
        <sz val="8"/>
        <rFont val="Arial"/>
        <family val="2"/>
      </rPr>
      <t xml:space="preserve">Wegedreieck n Gregnitzberg
</t>
    </r>
  </si>
  <si>
    <r>
      <rPr>
        <i/>
        <sz val="8"/>
        <rFont val="Arial"/>
        <family val="2"/>
      </rPr>
      <t xml:space="preserve">Nagel (204):
</t>
    </r>
    <r>
      <rPr>
        <b/>
        <sz val="8"/>
        <rFont val="Arial"/>
        <family val="2"/>
      </rPr>
      <t xml:space="preserve"> Wegedreieck n Gregnitzberg </t>
    </r>
    <r>
      <rPr>
        <sz val="8"/>
        <rFont val="Arial"/>
        <family val="2"/>
      </rPr>
      <t xml:space="preserve">- Westufer Nagler See - Höhe 585 - Höhe 678 - </t>
    </r>
    <r>
      <rPr>
        <b/>
        <sz val="8"/>
        <rFont val="Arial"/>
        <family val="2"/>
      </rPr>
      <t xml:space="preserve">Girgelhöhle
</t>
    </r>
  </si>
  <si>
    <r>
      <rPr>
        <i/>
        <sz val="8"/>
        <rFont val="Arial"/>
        <family val="2"/>
      </rPr>
      <t xml:space="preserve">Brand (206):
</t>
    </r>
    <r>
      <rPr>
        <b/>
        <sz val="8"/>
        <rFont val="Arial"/>
        <family val="2"/>
      </rPr>
      <t xml:space="preserve">Einmündung Seenweg (nahe Höhe 633) </t>
    </r>
    <r>
      <rPr>
        <sz val="8"/>
        <rFont val="Arial"/>
        <family val="2"/>
      </rPr>
      <t xml:space="preserve">- Ri SSO - WA Höllschacht - WA Birkschlag - Höhe 626 - Oberöhlbühl - Neubrand - </t>
    </r>
    <r>
      <rPr>
        <b/>
        <sz val="8"/>
        <rFont val="Arial"/>
        <family val="2"/>
      </rPr>
      <t>Rathaus Brand</t>
    </r>
  </si>
  <si>
    <r>
      <rPr>
        <i/>
        <sz val="8"/>
        <rFont val="Arial"/>
        <family val="2"/>
      </rPr>
      <t xml:space="preserve">Brand (206):
</t>
    </r>
    <r>
      <rPr>
        <b/>
        <sz val="8"/>
        <rFont val="Arial"/>
        <family val="2"/>
      </rPr>
      <t xml:space="preserve">Brand (Max-Reger-/Ebnather Str.) </t>
    </r>
    <r>
      <rPr>
        <sz val="8"/>
        <rFont val="Arial"/>
        <family val="2"/>
      </rPr>
      <t xml:space="preserve">- Ebnather Str. / St 2181 - Fuhrmannsreuth - </t>
    </r>
    <r>
      <rPr>
        <b/>
        <sz val="8"/>
        <rFont val="Arial"/>
        <family val="2"/>
      </rPr>
      <t xml:space="preserve">Grünlasmühle
</t>
    </r>
  </si>
  <si>
    <t>Brand - Einmündung FGV-WegNr 70,  FGV-WegNr. 70b, ein Markierungsabschnitt</t>
  </si>
  <si>
    <t xml:space="preserve">Ebnath (206):
Grünlasmühle - WA Langelschacht - Höhe 602 - n Höhe 662 - Einmündung in FGV-WegNr 500 (LDBV-ID 011739)
</t>
  </si>
  <si>
    <r>
      <t xml:space="preserve">Neusorg (205):
</t>
    </r>
    <r>
      <rPr>
        <b/>
        <sz val="8"/>
        <rFont val="Arial"/>
        <family val="2"/>
      </rPr>
      <t xml:space="preserve">Neusorg </t>
    </r>
    <r>
      <rPr>
        <sz val="8"/>
        <rFont val="Arial"/>
        <family val="2"/>
      </rPr>
      <t xml:space="preserve">(Rathaus) - Riglasreuth - Querung Felberer Bach - </t>
    </r>
    <r>
      <rPr>
        <b/>
        <sz val="8"/>
        <rFont val="Arial"/>
        <family val="2"/>
      </rPr>
      <t>St 2177</t>
    </r>
    <r>
      <rPr>
        <b/>
        <sz val="8"/>
        <rFont val="Arial"/>
        <family val="2"/>
      </rPr>
      <t xml:space="preserve">
</t>
    </r>
  </si>
  <si>
    <t>Neusorg - Armesberg, WegNr 96,  Markierungsabschnitte 1 - 2</t>
  </si>
  <si>
    <r>
      <t xml:space="preserve">Kemnath (202):
</t>
    </r>
    <r>
      <rPr>
        <b/>
        <sz val="8"/>
        <rFont val="Arial"/>
        <family val="2"/>
      </rPr>
      <t xml:space="preserve">St 2177 </t>
    </r>
    <r>
      <rPr>
        <sz val="8"/>
        <rFont val="Arial"/>
        <family val="2"/>
      </rPr>
      <t xml:space="preserve">- Wunschenberg - Höhe 630 - </t>
    </r>
    <r>
      <rPr>
        <b/>
        <sz val="8"/>
        <rFont val="Arial"/>
        <family val="2"/>
      </rPr>
      <t xml:space="preserve">Armesberg (Kapelle)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</si>
  <si>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Untersteinach (Bahnhof) </t>
    </r>
    <r>
      <rPr>
        <sz val="8"/>
        <rFont val="Arial"/>
        <family val="2"/>
      </rPr>
      <t xml:space="preserve">- um den Lunzen - Görau - Höhe 522 - n Breiter Berg - Höhe 561 - Lankendorfer Berg - Lessauer Berg - Kreuzstein -  </t>
    </r>
    <r>
      <rPr>
        <b/>
        <sz val="8"/>
        <rFont val="Arial"/>
        <family val="2"/>
      </rPr>
      <t xml:space="preserve">Straße sw Fischbach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</si>
  <si>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Straße sw Fischbach </t>
    </r>
    <r>
      <rPr>
        <sz val="8"/>
        <rFont val="Arial"/>
        <family val="2"/>
      </rPr>
      <t xml:space="preserve">- Fenkenseer Berg - Höhe 564,8 - Steinkreuzhütte - Höhe 551 - Querung BT42 - Tauritzmühle - Göppmannsbühl - Haidenaab - Weihergebiet Gabellohe - </t>
    </r>
    <r>
      <rPr>
        <b/>
        <sz val="8"/>
        <rFont val="Arial"/>
        <family val="2"/>
      </rPr>
      <t>Immenreuth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</si>
  <si>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Seybothenreuth (Bahnhof) </t>
    </r>
    <r>
      <rPr>
        <sz val="8"/>
        <rFont val="Arial"/>
        <family val="2"/>
      </rPr>
      <t xml:space="preserve">- Querung B 22 - Querung Mühlbach - Höhe 533,9 - Steinkreuzhütte - </t>
    </r>
    <r>
      <rPr>
        <b/>
        <sz val="8"/>
        <rFont val="Arial"/>
        <family val="2"/>
      </rPr>
      <t>Einmündung in Fichtelgebirge-Südrandweg</t>
    </r>
    <r>
      <rPr>
        <sz val="8"/>
        <rFont val="Arial"/>
        <family val="2"/>
      </rPr>
      <t xml:space="preserve"> (FGV-WegNr 105, LGV-ID 3451)
</t>
    </r>
  </si>
  <si>
    <r>
      <rPr>
        <i/>
        <sz val="8"/>
        <rFont val="Arial"/>
        <family val="2"/>
      </rPr>
      <t xml:space="preserve">Speichersdorf (306):
</t>
    </r>
    <r>
      <rPr>
        <b/>
        <sz val="8"/>
        <rFont val="Arial"/>
        <family val="2"/>
      </rPr>
      <t xml:space="preserve">Tauritzmühle (FGV-Schutzhütte) </t>
    </r>
    <r>
      <rPr>
        <sz val="8"/>
        <rFont val="Arial"/>
        <family val="2"/>
      </rPr>
      <t xml:space="preserve">- Ri N - ö Zengerslohe - w Feuersteinhügel - Herzogssteg - Schmetterslohe - Dennhof - Poppenberg - w Steinrangen - </t>
    </r>
    <r>
      <rPr>
        <b/>
        <sz val="8"/>
        <rFont val="Arial"/>
        <family val="2"/>
      </rPr>
      <t xml:space="preserve">Königskron
</t>
    </r>
  </si>
  <si>
    <t xml:space="preserve">Weidenberg (3):
Königskron - Geißberg - Höhe 818 - Einmündung in Südweg (LDBV-ID 2971)
</t>
  </si>
  <si>
    <r>
      <t xml:space="preserve">Weidenberg (312):
</t>
    </r>
    <r>
      <rPr>
        <b/>
        <sz val="8"/>
        <rFont val="Arial"/>
        <family val="2"/>
      </rPr>
      <t>Weidenberg (Bahnhof)</t>
    </r>
    <r>
      <rPr>
        <sz val="8"/>
        <rFont val="Arial"/>
        <family val="2"/>
      </rPr>
      <t xml:space="preserve"> - Ri NO - Querung St2181 - Naturfreundehaus - Königsheide - </t>
    </r>
    <r>
      <rPr>
        <b/>
        <sz val="8"/>
        <rFont val="Arial"/>
        <family val="2"/>
      </rPr>
      <t xml:space="preserve">Einmündung Mittelweg
</t>
    </r>
  </si>
  <si>
    <t>2020-11-28, Johannes: Bild Markierungszeichen getauscht, war [51] statt [62]</t>
  </si>
  <si>
    <r>
      <t xml:space="preserve">Warmensteinach (311):
</t>
    </r>
    <r>
      <rPr>
        <b/>
        <sz val="8"/>
        <rFont val="Arial"/>
        <family val="2"/>
      </rPr>
      <t xml:space="preserve">Warmensteinach </t>
    </r>
    <r>
      <rPr>
        <sz val="8"/>
        <rFont val="Arial"/>
        <family val="2"/>
      </rPr>
      <t xml:space="preserve">- Marienhöhe - um den Schanzberg - Ri S - Querung Dreibrunnenbachl - Querung Felchrangenbächlein - Querung Warme Steinach - St2181 - Ri N - Zainhammerhügel - Schreiberhügel - </t>
    </r>
    <r>
      <rPr>
        <b/>
        <sz val="8"/>
        <rFont val="Arial"/>
        <family val="2"/>
      </rPr>
      <t xml:space="preserve">Ausgangspunkt
</t>
    </r>
  </si>
  <si>
    <t>003470_Korr-2020_Wurzbachsteig</t>
  </si>
  <si>
    <t xml:space="preserve">Weidenberg (312):
Westweg (nahe Haidenaabquelle) - n Poppenberggraben - w Poppenberg - s Poppenberggraben nw Grub - Einmündung in FGV-WegNr 61 (LDBV-ID 3457)
</t>
  </si>
  <si>
    <t>Westweg - Einmündung Weg 61 (LDBV-ID 3472),  FGV-WegNr 61a, ein Markierungsabschnitt</t>
  </si>
  <si>
    <r>
      <t xml:space="preserve">Weidenberg (312):
</t>
    </r>
    <r>
      <rPr>
        <b/>
        <sz val="8"/>
        <rFont val="Arial"/>
        <family val="2"/>
      </rPr>
      <t>Weidenberg (Bahnhof)</t>
    </r>
    <r>
      <rPr>
        <sz val="8"/>
        <rFont val="Arial"/>
        <family val="2"/>
      </rPr>
      <t xml:space="preserve"> - Bahnhof-/Lindenstr. - An der Steinach - Am buchert - In der Au - Rosenhammer - Querung und entlang St2171 - Waizenreuth - Iskaraweg - Südflanke Iskaraberg - Altenreuth - Muckenreuth - Gänskopfhütte - WA Südlicher Hochwald - Höhe 789 - </t>
    </r>
    <r>
      <rPr>
        <b/>
        <sz val="8"/>
        <rFont val="Arial"/>
        <family val="2"/>
      </rPr>
      <t xml:space="preserve">Königskron
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</si>
  <si>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 xml:space="preserve">Bad Berneck </t>
    </r>
    <r>
      <rPr>
        <sz val="8"/>
        <rFont val="Arial"/>
        <family val="2"/>
      </rPr>
      <t>- Ri N - Kirchleite - Rimlas - Prinz-Rupprecht-Turm -</t>
    </r>
    <r>
      <rPr>
        <b/>
        <sz val="8"/>
        <rFont val="Arial"/>
        <family val="2"/>
      </rPr>
      <t xml:space="preserve"> nw Gothendorf 
</t>
    </r>
  </si>
  <si>
    <r>
      <rPr>
        <i/>
        <sz val="8"/>
        <rFont val="Arial"/>
        <family val="2"/>
      </rPr>
      <t xml:space="preserve">Gefrees (504):
</t>
    </r>
    <r>
      <rPr>
        <b/>
        <sz val="8"/>
        <rFont val="Arial"/>
        <family val="2"/>
      </rPr>
      <t xml:space="preserve">nw Gothendorf </t>
    </r>
    <r>
      <rPr>
        <sz val="8"/>
        <rFont val="Arial"/>
        <family val="2"/>
      </rPr>
      <t xml:space="preserve">- Querung A9 - Rohrersreuth - Marktschorgast - </t>
    </r>
    <r>
      <rPr>
        <b/>
        <sz val="8"/>
        <rFont val="Arial"/>
        <family val="2"/>
      </rPr>
      <t xml:space="preserve">Einmündung Nordweg
</t>
    </r>
  </si>
  <si>
    <r>
      <rPr>
        <i/>
        <sz val="8"/>
        <rFont val="Arial"/>
        <family val="2"/>
      </rPr>
      <t>Kulmbach (506):</t>
    </r>
    <r>
      <rPr>
        <b/>
        <sz val="8"/>
        <rFont val="Arial"/>
        <family val="2"/>
      </rPr>
      <t xml:space="preserve">
Langenstadt</t>
    </r>
    <r>
      <rPr>
        <sz val="8"/>
        <rFont val="Arial"/>
        <family val="2"/>
      </rPr>
      <t xml:space="preserve"> - Wehelitz - Rohr - Steinhaus - Lindau - Spitzeichen - Waizendorf - Querung Weißer Main - </t>
    </r>
    <r>
      <rPr>
        <b/>
        <sz val="8"/>
        <rFont val="Arial"/>
        <family val="2"/>
      </rPr>
      <t xml:space="preserve">See </t>
    </r>
    <r>
      <rPr>
        <sz val="8"/>
        <rFont val="Arial"/>
        <family val="2"/>
      </rPr>
      <t xml:space="preserve">( Einmündung in Nordweg [1994])
</t>
    </r>
  </si>
  <si>
    <r>
      <rPr>
        <i/>
        <sz val="8"/>
        <rFont val="Arial"/>
        <family val="2"/>
      </rPr>
      <t xml:space="preserve">Bayreuth (301):
</t>
    </r>
    <r>
      <rPr>
        <b/>
        <sz val="8"/>
        <rFont val="Arial"/>
        <family val="2"/>
      </rPr>
      <t xml:space="preserve">Rotmain-Ursprung </t>
    </r>
    <r>
      <rPr>
        <sz val="8"/>
        <rFont val="Arial"/>
        <family val="2"/>
      </rPr>
      <t xml:space="preserve">- Creussen - Hammermühle - Eimersmühle - Schlehenberg - Aichig - Eremitage - Bayreuth Wendelhöfen - </t>
    </r>
    <r>
      <rPr>
        <b/>
        <sz val="8"/>
        <rFont val="Arial"/>
        <family val="2"/>
      </rPr>
      <t xml:space="preserve">Martinsreuth
</t>
    </r>
  </si>
  <si>
    <r>
      <rPr>
        <i/>
        <sz val="8"/>
        <rFont val="Arial"/>
        <family val="2"/>
      </rPr>
      <t xml:space="preserve">Kulmbach (5):
</t>
    </r>
    <r>
      <rPr>
        <b/>
        <sz val="8"/>
        <rFont val="Arial"/>
        <family val="2"/>
      </rPr>
      <t xml:space="preserve">Martinsreuth </t>
    </r>
    <r>
      <rPr>
        <sz val="8"/>
        <rFont val="Arial"/>
        <family val="2"/>
      </rPr>
      <t xml:space="preserve">- Altenplos - Grüngraben - Jöslein - Langenstadt - Partenfeld - Affalterhof - Katschenreuth - Mainzusammenfluss - </t>
    </r>
    <r>
      <rPr>
        <b/>
        <sz val="8"/>
        <rFont val="Arial"/>
        <family val="2"/>
      </rPr>
      <t xml:space="preserve">Steinenhausen
</t>
    </r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</si>
  <si>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Marktredwitzer Haus - </t>
    </r>
    <r>
      <rPr>
        <sz val="8"/>
        <rFont val="Arial"/>
        <family val="2"/>
      </rPr>
      <t xml:space="preserve">Querung St2121 - n Plößberg - </t>
    </r>
    <r>
      <rPr>
        <b/>
        <sz val="8"/>
        <rFont val="Arial"/>
        <family val="2"/>
      </rPr>
      <t xml:space="preserve">Hackelplatz (Wegegabel)
</t>
    </r>
  </si>
  <si>
    <r>
      <t xml:space="preserve">Schwarzenbach (406)
</t>
    </r>
    <r>
      <rPr>
        <b/>
        <sz val="8"/>
        <rFont val="Arial"/>
        <family val="2"/>
      </rPr>
      <t xml:space="preserve">Parkplatz Kornberg </t>
    </r>
    <r>
      <rPr>
        <sz val="8"/>
        <rFont val="Arial"/>
        <family val="2"/>
      </rPr>
      <t xml:space="preserve">-  durch die WA Nonnenwald - </t>
    </r>
    <r>
      <rPr>
        <b/>
        <sz val="8"/>
        <rFont val="Arial"/>
        <family val="2"/>
      </rPr>
      <t>Ausgangspunkt</t>
    </r>
  </si>
  <si>
    <r>
      <t xml:space="preserve">Hof (402):
</t>
    </r>
    <r>
      <rPr>
        <b/>
        <sz val="8"/>
        <rFont val="Arial"/>
        <family val="2"/>
      </rPr>
      <t>Unterkotzau</t>
    </r>
    <r>
      <rPr>
        <sz val="8"/>
        <rFont val="Arial"/>
        <family val="2"/>
      </rPr>
      <t xml:space="preserve"> (Kreuzung Regnitz-/Hofer Str.) - Hof - Neudöhlau - </t>
    </r>
    <r>
      <rPr>
        <b/>
        <sz val="8"/>
        <rFont val="Arial"/>
        <family val="2"/>
      </rPr>
      <t>Döhlau</t>
    </r>
    <r>
      <rPr>
        <sz val="8"/>
        <rFont val="Arial"/>
        <family val="2"/>
      </rPr>
      <t xml:space="preserve"> (Sportplatzstr.)
</t>
    </r>
  </si>
  <si>
    <r>
      <t xml:space="preserve">Oberkotzau (404):
</t>
    </r>
    <r>
      <rPr>
        <b/>
        <sz val="8"/>
        <rFont val="Arial"/>
        <family val="2"/>
      </rPr>
      <t>Döhlau (Sportplatzstr.)</t>
    </r>
    <r>
      <rPr>
        <sz val="8"/>
        <rFont val="Arial"/>
        <family val="2"/>
      </rPr>
      <t xml:space="preserve"> - Baumersreuth - Völkenreuth - Hallerstein - Buchbrunnen - </t>
    </r>
    <r>
      <rPr>
        <b/>
        <sz val="8"/>
        <rFont val="Arial"/>
        <family val="2"/>
      </rPr>
      <t>400m w Höhe 679</t>
    </r>
    <r>
      <rPr>
        <sz val="8"/>
        <rFont val="Arial"/>
        <family val="2"/>
      </rPr>
      <t xml:space="preserve"> 
</t>
    </r>
  </si>
  <si>
    <r>
      <t xml:space="preserve">Schwarzenbach 406):
</t>
    </r>
    <r>
      <rPr>
        <b/>
        <sz val="8"/>
        <rFont val="Arial"/>
        <family val="2"/>
      </rPr>
      <t>Ludwigstr (Rathaus)</t>
    </r>
    <r>
      <rPr>
        <sz val="8"/>
        <rFont val="Arial"/>
        <family val="2"/>
      </rPr>
      <t xml:space="preserve"> - Baumersreuth - Völkenreuth - Hallerstein - Buchbrunnen - </t>
    </r>
    <r>
      <rPr>
        <b/>
        <sz val="8"/>
        <rFont val="Arial"/>
        <family val="2"/>
      </rPr>
      <t>400m w Höhe 679</t>
    </r>
    <r>
      <rPr>
        <sz val="8"/>
        <rFont val="Arial"/>
        <family val="2"/>
      </rPr>
      <t xml:space="preserve"> 
</t>
    </r>
  </si>
  <si>
    <r>
      <t xml:space="preserve">Sparneck (407):
</t>
    </r>
    <r>
      <rPr>
        <b/>
        <sz val="8"/>
        <rFont val="Arial"/>
        <family val="2"/>
      </rPr>
      <t>400m w Höhe 679</t>
    </r>
    <r>
      <rPr>
        <sz val="8"/>
        <rFont val="Arial"/>
        <family val="2"/>
      </rPr>
      <t xml:space="preserve"> - Sparneck - Reinersreuth - </t>
    </r>
    <r>
      <rPr>
        <b/>
        <sz val="8"/>
        <rFont val="Arial"/>
        <family val="2"/>
      </rPr>
      <t xml:space="preserve">Beginn Gipfelbreich (Waldstein)
</t>
    </r>
  </si>
  <si>
    <r>
      <t xml:space="preserve">Münchberg (403):
</t>
    </r>
    <r>
      <rPr>
        <b/>
        <sz val="8"/>
        <rFont val="Arial"/>
        <family val="2"/>
      </rPr>
      <t>Gipfelbereich Waldstein</t>
    </r>
  </si>
  <si>
    <r>
      <t xml:space="preserve">Weißenstadt (512):
</t>
    </r>
    <r>
      <rPr>
        <b/>
        <sz val="8"/>
        <rFont val="Arial"/>
        <family val="2"/>
      </rPr>
      <t>Waldstein</t>
    </r>
    <r>
      <rPr>
        <sz val="8"/>
        <rFont val="Arial"/>
        <family val="2"/>
      </rPr>
      <t xml:space="preserve"> - Weißenstadt - </t>
    </r>
    <r>
      <rPr>
        <b/>
        <sz val="8"/>
        <rFont val="Arial"/>
        <family val="2"/>
      </rPr>
      <t>Galgenberg</t>
    </r>
  </si>
  <si>
    <r>
      <t xml:space="preserve">Franken (503):
</t>
    </r>
    <r>
      <rPr>
        <b/>
        <sz val="8"/>
        <rFont val="Arial"/>
        <family val="2"/>
      </rPr>
      <t xml:space="preserve">Galgenberg - </t>
    </r>
    <r>
      <rPr>
        <sz val="8"/>
        <rFont val="Arial"/>
        <family val="2"/>
      </rPr>
      <t xml:space="preserve">Grub - </t>
    </r>
    <r>
      <rPr>
        <b/>
        <sz val="8"/>
        <rFont val="Arial"/>
        <family val="2"/>
      </rPr>
      <t>Gemeindegrenze Röslau</t>
    </r>
  </si>
  <si>
    <r>
      <t xml:space="preserve">Röslau (509):
</t>
    </r>
    <r>
      <rPr>
        <b/>
        <sz val="8"/>
        <rFont val="Arial"/>
        <family val="2"/>
      </rPr>
      <t xml:space="preserve">Gemeindegrenze Röslau - </t>
    </r>
    <r>
      <rPr>
        <sz val="8"/>
        <rFont val="Arial"/>
        <family val="2"/>
      </rPr>
      <t>Thusmühle - Röslau -</t>
    </r>
    <r>
      <rPr>
        <b/>
        <sz val="8"/>
        <rFont val="Arial"/>
        <family val="2"/>
      </rPr>
      <t xml:space="preserve"> Bibersbach</t>
    </r>
  </si>
  <si>
    <r>
      <t xml:space="preserve">Wunsiedel (513):
</t>
    </r>
    <r>
      <rPr>
        <b/>
        <sz val="8"/>
        <rFont val="Arial"/>
        <family val="2"/>
      </rPr>
      <t xml:space="preserve">Bibersbach - </t>
    </r>
    <r>
      <rPr>
        <sz val="8"/>
        <rFont val="Arial"/>
        <family val="2"/>
      </rPr>
      <t>Wunsiedel</t>
    </r>
    <r>
      <rPr>
        <b/>
        <sz val="8"/>
        <rFont val="Arial"/>
        <family val="2"/>
      </rPr>
      <t xml:space="preserve"> - Dünkelhammer</t>
    </r>
  </si>
  <si>
    <r>
      <t xml:space="preserve">Bad Alexandersbad (501):
</t>
    </r>
    <r>
      <rPr>
        <b/>
        <sz val="8"/>
        <rFont val="Arial"/>
        <family val="2"/>
      </rPr>
      <t xml:space="preserve">Dünkelhammer - </t>
    </r>
    <r>
      <rPr>
        <sz val="8"/>
        <rFont val="Arial"/>
        <family val="2"/>
      </rPr>
      <t xml:space="preserve">Bad Alexandersbad </t>
    </r>
    <r>
      <rPr>
        <b/>
        <sz val="8"/>
        <rFont val="Arial"/>
        <family val="2"/>
      </rPr>
      <t xml:space="preserve">- Abzweig Luisenburgbereich
</t>
    </r>
  </si>
  <si>
    <r>
      <t xml:space="preserve">Wunsiedel (513):
</t>
    </r>
    <r>
      <rPr>
        <b/>
        <sz val="8"/>
        <rFont val="Arial"/>
        <family val="2"/>
      </rPr>
      <t xml:space="preserve">Abzweig Luisenburg -  </t>
    </r>
    <r>
      <rPr>
        <sz val="8"/>
        <rFont val="Arial"/>
        <family val="2"/>
      </rPr>
      <t>w Haberstei</t>
    </r>
    <r>
      <rPr>
        <b/>
        <sz val="8"/>
        <rFont val="Arial"/>
        <family val="2"/>
      </rPr>
      <t xml:space="preserve">n </t>
    </r>
    <r>
      <rPr>
        <sz val="8"/>
        <rFont val="Arial"/>
        <family val="2"/>
      </rPr>
      <t>-</t>
    </r>
    <r>
      <rPr>
        <b/>
        <sz val="8"/>
        <rFont val="Arial"/>
        <family val="2"/>
      </rPr>
      <t xml:space="preserve"> Abzweig nnw Kösseine</t>
    </r>
  </si>
  <si>
    <r>
      <t xml:space="preserve">Nagel (204):
</t>
    </r>
    <r>
      <rPr>
        <b/>
        <sz val="8"/>
        <rFont val="Arial"/>
        <family val="2"/>
      </rPr>
      <t xml:space="preserve">Abzweig nnw Kösseine - </t>
    </r>
    <r>
      <rPr>
        <sz val="8"/>
        <rFont val="Arial"/>
        <family val="2"/>
      </rPr>
      <t xml:space="preserve">Reichenbach - Nagel - Querung Gregnitz - </t>
    </r>
    <r>
      <rPr>
        <b/>
        <sz val="8"/>
        <rFont val="Arial"/>
        <family val="2"/>
      </rPr>
      <t xml:space="preserve">Wegekreuz s. Gregnitzhügel
</t>
    </r>
  </si>
  <si>
    <r>
      <t xml:space="preserve">Bischofsgrün (303):
</t>
    </r>
    <r>
      <rPr>
        <b/>
        <sz val="8"/>
        <rFont val="Arial"/>
        <family val="2"/>
      </rPr>
      <t xml:space="preserve">Weißmainfelsen </t>
    </r>
    <r>
      <rPr>
        <sz val="8"/>
        <rFont val="Arial"/>
        <family val="2"/>
      </rPr>
      <t>- Karches - Weißer Main entlang - Bischofsgrün - Rangen -</t>
    </r>
    <r>
      <rPr>
        <b/>
        <sz val="8"/>
        <rFont val="Arial"/>
        <family val="2"/>
      </rPr>
      <t xml:space="preserve"> Wegekreuz Markgrafenweg nw Hirschaid
</t>
    </r>
  </si>
  <si>
    <r>
      <t xml:space="preserve">Gefrees (504):
</t>
    </r>
    <r>
      <rPr>
        <b/>
        <sz val="8"/>
        <rFont val="Arial"/>
        <family val="2"/>
      </rPr>
      <t xml:space="preserve">Wegekreuz  Markgrafenweg nw Hirschhaid </t>
    </r>
    <r>
      <rPr>
        <sz val="8"/>
        <rFont val="Arial"/>
        <family val="2"/>
      </rPr>
      <t>(Einmündung in ID 2979)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 Schweinsbach - Metzlersreuth - Entenmühle - </t>
    </r>
    <r>
      <rPr>
        <b/>
        <sz val="8"/>
        <rFont val="Arial"/>
        <family val="2"/>
      </rPr>
      <t xml:space="preserve">Stein
</t>
    </r>
  </si>
  <si>
    <r>
      <t xml:space="preserve">Bad Berneck (302):
</t>
    </r>
    <r>
      <rPr>
        <b/>
        <sz val="8"/>
        <rFont val="Arial"/>
        <family val="2"/>
      </rPr>
      <t xml:space="preserve">Stein - </t>
    </r>
    <r>
      <rPr>
        <sz val="8"/>
        <rFont val="Arial"/>
        <family val="2"/>
      </rPr>
      <t>Bad Berneck - Geseeser Höhe</t>
    </r>
    <r>
      <rPr>
        <b/>
        <sz val="8"/>
        <rFont val="Arial"/>
        <family val="2"/>
      </rPr>
      <t xml:space="preserve"> - n Leisau
</t>
    </r>
  </si>
  <si>
    <r>
      <t xml:space="preserve">Goldkronach (305):
</t>
    </r>
    <r>
      <rPr>
        <b/>
        <sz val="8"/>
        <rFont val="Arial"/>
        <family val="2"/>
      </rPr>
      <t>n Leisau</t>
    </r>
    <r>
      <rPr>
        <sz val="8"/>
        <rFont val="Arial"/>
        <family val="2"/>
      </rPr>
      <t xml:space="preserve"> - Goldkronach -</t>
    </r>
    <r>
      <rPr>
        <b/>
        <sz val="8"/>
        <rFont val="Arial"/>
        <family val="2"/>
      </rPr>
      <t xml:space="preserve"> Badeweiher
</t>
    </r>
  </si>
  <si>
    <t>09.01.2022: Abschnitt A14 (bisher Nemmersdorf) wird von Goldkronach übernommen</t>
  </si>
  <si>
    <r>
      <t xml:space="preserve">Goldkronach (305):
</t>
    </r>
    <r>
      <rPr>
        <b/>
        <sz val="8"/>
        <rFont val="Arial"/>
        <family val="2"/>
      </rPr>
      <t xml:space="preserve">Badeweiher </t>
    </r>
    <r>
      <rPr>
        <sz val="8"/>
        <rFont val="Arial"/>
        <family val="2"/>
      </rPr>
      <t>- Kottersreuth - Katzeneichen - Deps -</t>
    </r>
    <r>
      <rPr>
        <b/>
        <sz val="8"/>
        <rFont val="Arial"/>
        <family val="2"/>
      </rPr>
      <t xml:space="preserve"> BT 46</t>
    </r>
    <r>
      <rPr>
        <sz val="8"/>
        <rFont val="Arial"/>
        <family val="2"/>
      </rPr>
      <t xml:space="preserve"> (Panzerstr.)</t>
    </r>
  </si>
  <si>
    <r>
      <rPr>
        <i/>
        <sz val="8"/>
        <rFont val="Arial"/>
        <family val="2"/>
      </rPr>
      <t>Bayreuth (301):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Höflas</t>
    </r>
    <r>
      <rPr>
        <sz val="8"/>
        <rFont val="Arial"/>
        <family val="2"/>
      </rPr>
      <t xml:space="preserve"> - Römerleithen - Eremitage - Eremitenhof - </t>
    </r>
    <r>
      <rPr>
        <b/>
        <sz val="8"/>
        <rFont val="Arial"/>
        <family val="2"/>
      </rPr>
      <t>Colmdorf (Autobahn)</t>
    </r>
    <r>
      <rPr>
        <sz val="8"/>
        <rFont val="Arial"/>
        <family val="2"/>
      </rPr>
      <t xml:space="preserve">
</t>
    </r>
  </si>
  <si>
    <r>
      <t xml:space="preserve">Weidenberg (312):
</t>
    </r>
    <r>
      <rPr>
        <b/>
        <sz val="8"/>
        <rFont val="Arial"/>
        <family val="2"/>
      </rPr>
      <t xml:space="preserve">Gemeindegrenze Bindlach (westl. Oschenberg) - Friedrichsthal - Höflas
</t>
    </r>
  </si>
  <si>
    <t>28.06.2023: OV Weidenberg übernimmt Markierung bis zur Gemeindegrenze Bindlach (Meldung Walter Keppler)</t>
  </si>
  <si>
    <r>
      <rPr>
        <i/>
        <sz val="8"/>
        <rFont val="Arial"/>
        <family val="2"/>
      </rPr>
      <t xml:space="preserve">Münchberg (403):
</t>
    </r>
    <r>
      <rPr>
        <b/>
        <sz val="8"/>
        <rFont val="Arial"/>
        <family val="2"/>
      </rPr>
      <t>Übernahme FWV Dreschersreuth (KU 13)</t>
    </r>
    <r>
      <rPr>
        <sz val="8"/>
        <rFont val="Arial"/>
        <family val="2"/>
      </rPr>
      <t xml:space="preserve"> - Ahornis - Schödlas - Solg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>Querenbach - Höhe 592 - Lösten - w Großlosnitz - Kleinlosnitz</t>
    </r>
    <r>
      <rPr>
        <b/>
        <sz val="8"/>
        <rFont val="Arial"/>
        <family val="2"/>
      </rPr>
      <t xml:space="preserve"> - Bauernhofmuseum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</si>
  <si>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Immenreuth (Nähe Bahnhaltestelle) </t>
    </r>
    <r>
      <rPr>
        <sz val="8"/>
        <rFont val="Arial"/>
        <family val="2"/>
      </rPr>
      <t xml:space="preserve">- Kemnatherstr. - Mühlweg - Hofloher-/Badstr. - Heid-/Großer Hirschberg-/Herzingweiher - entlang Eisenbahnlinie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</si>
  <si>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Tauritzmühle </t>
    </r>
    <r>
      <rPr>
        <sz val="8"/>
        <rFont val="Arial"/>
        <family val="2"/>
      </rPr>
      <t xml:space="preserve">- Göppmansbühl - Haidenaab - Weihergebiet n Haidenaab - WA Luderegert - s Gabellohe - Höhe 491,2 - Großer Hirschbergweiher - Höhe 487 - WA Baumgartenhut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</si>
  <si>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Ramlesreuth </t>
    </r>
    <r>
      <rPr>
        <sz val="8"/>
        <rFont val="Arial"/>
        <family val="2"/>
      </rPr>
      <t xml:space="preserve">- Holzmühle - WA Kehrbrunnenschlag - über den Katzenbühl - Forsthaus - s Kodlitz - Höhe - Höhe 505 -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</si>
  <si>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Tauritzmühle </t>
    </r>
    <r>
      <rPr>
        <sz val="8"/>
        <rFont val="Arial"/>
        <family val="2"/>
      </rPr>
      <t xml:space="preserve">-  WA Grenzholz - Höhe 488 - Stinkender Brunnen - Flinsberg - um den Feuersteinhügel - ö Zengerslohe -  </t>
    </r>
    <r>
      <rPr>
        <b/>
        <sz val="8"/>
        <rFont val="Arial"/>
        <family val="2"/>
      </rPr>
      <t xml:space="preserve">Ausgangspunkt
</t>
    </r>
  </si>
  <si>
    <t>008513_V_Korr-20231_Tauritzmühle</t>
  </si>
  <si>
    <t>Korrektur an LDBV, Günter, 06.02.2021</t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</si>
  <si>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Parkplatz an BT 42 (Speichersdorf-Tressau) </t>
    </r>
    <r>
      <rPr>
        <sz val="8"/>
        <rFont val="Arial"/>
        <family val="2"/>
      </rPr>
      <t xml:space="preserve">- durch Weihergebiet - n Höhe 494 - Bärenlöcher - Höhe 551 - Steinkreuz-Hütte - Höhe 564,8 n Fenkensees - entlang Haidbach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</si>
  <si>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Weidenberg (Bahnhof) </t>
    </r>
    <r>
      <rPr>
        <sz val="8"/>
        <rFont val="Arial"/>
        <family val="2"/>
      </rPr>
      <t xml:space="preserve">- Bahnhofstr. - An der Steinach - Am Buchert - Scherzenmühle - Rosenhammer - Waizenreuth - Altreuth - Mittlernhammer - Mengersreuth - Bahnhofstr.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</si>
  <si>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Sophienthal - um den Rindschenberg - Sophienthal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</si>
  <si>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Ri N entlang Warme Steinach - ö Brunnenhaus -  Wurzbachtal - Wurzbachweiher - entlang Langenstockbachl -Kehre Ri SW - Höhen 631 / 620 -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</si>
  <si>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Querung St2181 - Wildenreuth - Kattersreuth - entlang Kleeleitenbach - WA Blauer Stein - w Zainhammer Hügel - Ri S - Querung Tiefenbachgraben - St2181 -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</si>
  <si>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Ri NO - Höhe 620 - Neuhaus - entlang Steinbach - Sophienthal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</si>
  <si>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 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Sophienthal - um den Iskaraberg - Sophienthal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</si>
  <si>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(Bayreuther Str./Siebensternweg) </t>
    </r>
    <r>
      <rPr>
        <sz val="8"/>
        <rFont val="Arial"/>
        <family val="2"/>
      </rPr>
      <t xml:space="preserve">- Promenadenweg - entlang Nordhang Krügel - Wolfgangquelle/Reisigbach - Südwesthang Dürrberg - Denkmalsweg - Kirchweg - Berliner 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</si>
  <si>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(Bahnhofstr./Bayreuther Str.) </t>
    </r>
    <r>
      <rPr>
        <sz val="8"/>
        <rFont val="Arial"/>
        <family val="2"/>
      </rPr>
      <t xml:space="preserve">- Hohe-Wacht-Weg - Böhmerwald-/Schlesier-/Bachmannweg - Querung Kleiner Farnbach - Hohe-Wacht-Weg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</si>
  <si>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>Warmensteinach (Badstr.)</t>
    </r>
    <r>
      <rPr>
        <sz val="8"/>
        <rFont val="Arial"/>
        <family val="2"/>
      </rPr>
      <t xml:space="preserve"> - Hühnleinsweg - s Schreiberhügel - Querung Finstergraben - ö Neuwelter Berg - w Zainhammer Hügel - WA Blauer Stein - Ri N - Rendelbrunnen - Wrmensteinacher Forst - Ri SO - entlang Großer Fahrenbach - Bergstr. -</t>
    </r>
    <r>
      <rPr>
        <b/>
        <sz val="8"/>
        <rFont val="Arial"/>
        <family val="2"/>
      </rPr>
      <t xml:space="preserve"> Ausgangspunkt
</t>
    </r>
  </si>
  <si>
    <r>
      <rPr>
        <i/>
        <sz val="8"/>
        <rFont val="Arial"/>
        <family val="2"/>
      </rPr>
      <t xml:space="preserve">Warmensteinach (311:
</t>
    </r>
    <r>
      <rPr>
        <b/>
        <sz val="8"/>
        <rFont val="Arial"/>
        <family val="2"/>
      </rPr>
      <t xml:space="preserve">Warmensteinach (Badstr.) </t>
    </r>
    <r>
      <rPr>
        <sz val="8"/>
        <rFont val="Arial"/>
        <family val="2"/>
      </rPr>
      <t xml:space="preserve">- um die Marienhöhe - um den Schanzberg - entlang Mandleswiesenbachl - entlang Wurzbach - entlang Westhang Schanzberg - Hüttenweg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</si>
  <si>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Warmensteinach (Badstr.) </t>
    </r>
    <r>
      <rPr>
        <sz val="8"/>
        <rFont val="Arial"/>
        <family val="2"/>
      </rPr>
      <t xml:space="preserve">- Hüttenweg - entlang Westhang Schanzberg - Pfeiferhaus - Querung Steinach - St2181 - Zainhammer Hügel - Höhe 540,6 - Querung Finstergraben - Hühnleinsweg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</si>
  <si>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Klausenturm - Höhe 818 - Höhe 818,7 - WA An der Ruhebank - Gesundheitsbrunnen - Querung Glaserbach - Glaserrangen - w Neugrün - Mooslohgraben - sw Fichtelberg - Schwertrangen - ö Neugrün - um den Beerhügel - Hüttstadl - Höhe 643 - WA Klause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</si>
  <si>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Nemmersdorf (307):
</t>
    </r>
    <r>
      <rPr>
        <b/>
        <sz val="8"/>
        <rFont val="Arial"/>
        <family val="2"/>
      </rPr>
      <t xml:space="preserve">Nemmersdorf (Ortsmitte / Parkplatz Friedhof) </t>
    </r>
    <r>
      <rPr>
        <sz val="8"/>
        <rFont val="Arial"/>
        <family val="2"/>
      </rPr>
      <t xml:space="preserve">- Dorfstr. Ri Pöllersdorf - Ri S - Höhe 506 - Kreuzstein - Ri NO - Höhe 509 - Reuth - Reuther Str.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</si>
  <si>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Höhe 803 - Ri S - entlang Pfarrgraben - Höhe 677 - bei Höhe 636 gen Westen n Mittelberg - Stichweg im Flötzbachtal nach Ahornberg und zurück - ö Rotenfels - Holzgrabenberg - Fliegergedenkstein - Klausenturm - </t>
    </r>
    <r>
      <rPr>
        <b/>
        <sz val="8"/>
        <rFont val="Arial"/>
        <family val="2"/>
      </rPr>
      <t xml:space="preserve">Ausgangspunkt
</t>
    </r>
  </si>
  <si>
    <t>008572_V_Korr-2022
008752_L_Korr-2022</t>
  </si>
  <si>
    <t>Laufende Korrektur vom 29.05.2022 (GR), in NSP bereits eingearbeitet</t>
  </si>
  <si>
    <r>
      <t xml:space="preserve">Wunsiedel (513):
</t>
    </r>
    <r>
      <rPr>
        <b/>
        <sz val="8"/>
        <rFont val="Arial"/>
        <family val="2"/>
      </rPr>
      <t>Kösseinegipfel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Wegekreuz n Pfalzbrunnen</t>
    </r>
  </si>
  <si>
    <r>
      <t xml:space="preserve">Neusorg (205):
</t>
    </r>
    <r>
      <rPr>
        <b/>
        <sz val="8"/>
        <rFont val="Arial"/>
        <family val="2"/>
      </rPr>
      <t>Wegekreuz n Pfalzbrunnen</t>
    </r>
    <r>
      <rPr>
        <sz val="8"/>
        <rFont val="Arial"/>
        <family val="2"/>
      </rPr>
      <t xml:space="preserve"> - Kösssain - Buchlohhäuser - Schurbach - Langentheilen - Dreihäuser - </t>
    </r>
    <r>
      <rPr>
        <b/>
        <sz val="8"/>
        <rFont val="Arial"/>
        <family val="2"/>
      </rPr>
      <t>St2177</t>
    </r>
    <r>
      <rPr>
        <b/>
        <sz val="8"/>
        <rFont val="Arial"/>
        <family val="2"/>
      </rPr>
      <t xml:space="preserve">
</t>
    </r>
  </si>
  <si>
    <r>
      <t xml:space="preserve">Pullenreuth (207):
</t>
    </r>
    <r>
      <rPr>
        <b/>
        <sz val="8"/>
        <rFont val="Arial"/>
        <family val="2"/>
      </rPr>
      <t xml:space="preserve">St2177 </t>
    </r>
    <r>
      <rPr>
        <sz val="8"/>
        <rFont val="Arial"/>
        <family val="2"/>
      </rPr>
      <t xml:space="preserve">-- Schindellohe - Tannenhäusl - Harlachberg - ö Nockfelsen -Steinwaldpilz - </t>
    </r>
    <r>
      <rPr>
        <b/>
        <sz val="8"/>
        <rFont val="Arial"/>
        <family val="2"/>
      </rPr>
      <t xml:space="preserve">Platte </t>
    </r>
    <r>
      <rPr>
        <sz val="8"/>
        <rFont val="Arial"/>
        <family val="2"/>
      </rPr>
      <t>(Turm)</t>
    </r>
    <r>
      <rPr>
        <b/>
        <sz val="8"/>
        <rFont val="Arial"/>
        <family val="2"/>
      </rPr>
      <t xml:space="preserve">
</t>
    </r>
  </si>
  <si>
    <r>
      <t xml:space="preserve">Waldershof (209):
</t>
    </r>
    <r>
      <rPr>
        <b/>
        <sz val="8"/>
        <rFont val="Arial"/>
        <family val="2"/>
      </rPr>
      <t xml:space="preserve">Platte </t>
    </r>
    <r>
      <rPr>
        <sz val="8"/>
        <rFont val="Arial"/>
        <family val="2"/>
      </rPr>
      <t>(Turm)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Dreifaltigkeitskapelle - Ruine Weißenstein - Marktredwitzer Haus - Querung St2121 - Hackelstein </t>
    </r>
    <r>
      <rPr>
        <b/>
        <sz val="8"/>
        <rFont val="Arial"/>
        <family val="2"/>
      </rPr>
      <t xml:space="preserve">- Fuchsmühl (St2170)
</t>
    </r>
  </si>
  <si>
    <r>
      <t xml:space="preserve">Marktredwitz (203):
</t>
    </r>
    <r>
      <rPr>
        <b/>
        <sz val="8"/>
        <rFont val="Arial"/>
        <family val="2"/>
      </rPr>
      <t xml:space="preserve"> Fuchsmühl (St2170) </t>
    </r>
    <r>
      <rPr>
        <sz val="8"/>
        <rFont val="Arial"/>
        <family val="2"/>
      </rPr>
      <t xml:space="preserve">- Sauerbrunnen - Hurtingöd - WA Hurting - Höhe 561 - WA Untergries / Alter Schlag - Raumberghof - </t>
    </r>
    <r>
      <rPr>
        <b/>
        <sz val="8"/>
        <rFont val="Arial"/>
        <family val="2"/>
      </rPr>
      <t xml:space="preserve">Großbüchlberg
</t>
    </r>
  </si>
  <si>
    <r>
      <t xml:space="preserve">Arzberg (101):
</t>
    </r>
    <r>
      <rPr>
        <b/>
        <sz val="8"/>
        <rFont val="Arial"/>
        <family val="2"/>
      </rPr>
      <t xml:space="preserve">Großbüchlberg </t>
    </r>
    <r>
      <rPr>
        <sz val="8"/>
        <rFont val="Arial"/>
        <family val="2"/>
      </rPr>
      <t xml:space="preserve">- Querung St2176 - Gulg - Pleußen - Steinmühle - Altenhammer - Schupfenteiche - </t>
    </r>
    <r>
      <rPr>
        <b/>
        <sz val="8"/>
        <rFont val="Arial"/>
        <family val="2"/>
      </rPr>
      <t>Waldsassen</t>
    </r>
    <r>
      <rPr>
        <b/>
        <sz val="8"/>
        <rFont val="Arial"/>
        <family val="2"/>
      </rPr>
      <t xml:space="preserve">
</t>
    </r>
  </si>
  <si>
    <r>
      <t xml:space="preserve">Brand i.d.Opf. (206):
</t>
    </r>
    <r>
      <rPr>
        <b/>
        <sz val="8"/>
        <rFont val="Arial"/>
        <family val="2"/>
      </rPr>
      <t xml:space="preserve">Brand (Rathaus/Geburtshaus) - </t>
    </r>
    <r>
      <rPr>
        <sz val="8"/>
        <rFont val="Arial"/>
        <family val="2"/>
      </rPr>
      <t xml:space="preserve">Max-Reger-/Kemnather-/Jahnstr. - Fichtelnaabtal - Querung St2181 - Selingau - Gregnitztal - Grünlasmühle - Goldwäscherstein - um den Gregnitzer Berg - ö Bernlohe - Querung St2665 - nö Oberölbühl - WA Hahnenfilz - Höhe 621 - Ortsrand Oberölbühl - Höhe 617 - s Fuhrberg - Höhe 601,7 - WA Riedelschlag - Ri SO bis Rödelgasse - Querung Fichtelnaab - Höhe 571 - Ri O / SO bis Grünlas - Kemnather/Schiettingerstr - Querung Grundbach - Ri NO Fichtelberger Str. - Max-Reger-Str.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</si>
  <si>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Mehlmeisel (Kirche)  </t>
    </r>
    <r>
      <rPr>
        <sz val="8"/>
        <rFont val="Arial"/>
        <family val="2"/>
      </rPr>
      <t xml:space="preserve">- Rathausplatz - Schafgasse - Liftstraße - Ri W WA Klause - Querung Schnaitbach - w Ferienpark Hüttstadl - Querung Glaserbach - Hüttstadler 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</si>
  <si>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Liftweg am Rand der Skipiste - Richardsfeld - St2181 - Querung Spinniglohbach - Höhe 614 - WA Tannenlohe/Hahnenfilz - Oberölbühl - Querung St2181 bei Höhe 601,7 - entlang Fichtelnaab - WA Schmierlohe - entlang Rieselbach  - </t>
    </r>
    <r>
      <rPr>
        <b/>
        <sz val="8"/>
        <rFont val="Arial"/>
        <family val="2"/>
      </rPr>
      <t xml:space="preserve">Ausgangspunkt
</t>
    </r>
  </si>
  <si>
    <t>008650_V_Korr-2021_Lochbuehl</t>
  </si>
  <si>
    <r>
      <t xml:space="preserve">Brand i.d.Opf. (206):
</t>
    </r>
    <r>
      <rPr>
        <b/>
        <sz val="8"/>
        <rFont val="Arial"/>
        <family val="2"/>
      </rPr>
      <t>Grünberg (Kemnather Str.)</t>
    </r>
    <r>
      <rPr>
        <sz val="8"/>
        <rFont val="Arial"/>
        <family val="2"/>
      </rPr>
      <t xml:space="preserve"> - südliches Ortsende Ri NW / W - Höhe 576,7 - Zinnenbrunnen - Ri SW - Querung Saugrabenbach - Höhe 706 - Ölbrunn - Ri N / NO - s Neugrünberg - Kemnather Str. - </t>
    </r>
    <r>
      <rPr>
        <b/>
        <sz val="8"/>
        <rFont val="Arial"/>
        <family val="2"/>
      </rPr>
      <t xml:space="preserve">Ausgangspunkt
</t>
    </r>
  </si>
  <si>
    <r>
      <t xml:space="preserve">Brand i.d.Opf. (206):
</t>
    </r>
    <r>
      <rPr>
        <b/>
        <sz val="8"/>
        <rFont val="Arial"/>
        <family val="2"/>
      </rPr>
      <t>Grünberg (Kemnather Str.)</t>
    </r>
    <r>
      <rPr>
        <sz val="8"/>
        <rFont val="Arial"/>
        <family val="2"/>
      </rPr>
      <t xml:space="preserve"> - südliches Ortsende Ri NW / W - Höhe 576,7 - Zinnenbrunnen - WA Rehberg - WA Saulohe - Um den Scheibenberg - Höhe 767 - Schuster-Marterl - Höhe 706 - Ölbrunn - Rankenreuth - s Neugrünberg - Kemnather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</si>
  <si>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WA Volgelherd - Höhe 767 - Schuster-Marterl - Wolfsäule - Querung Ruselgraben - Ri W  und NW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</si>
  <si>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Liftweg am Rand der Skipiste - Ri O zur Waldhausstr. - Waldhausstr. bergab - Geißbach-Marterl - Geißbachsteig - Ruselwald - Rusel-Marterl - Wolfsäule - Schuster-Marterl - Höhe 767 -  WA Lenauer Forst - WA Vogelherd - Wildgehege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</si>
  <si>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Immenreuth (Nähe Bahnhaltestelle) </t>
    </r>
    <r>
      <rPr>
        <sz val="8"/>
        <rFont val="Arial"/>
        <family val="2"/>
      </rPr>
      <t xml:space="preserve">- Lenauer Str. - Querung Bahnlinie - ö Plößberg - s Punreuth - Katzenöd - Günzlas - n Tannenberg - Hölzmühle - Ahornberg - Querung und entlang Flötzbach  - </t>
    </r>
    <r>
      <rPr>
        <b/>
        <sz val="8"/>
        <rFont val="Arial"/>
        <family val="2"/>
      </rPr>
      <t xml:space="preserve">Ausgangspunkt
</t>
    </r>
  </si>
  <si>
    <t>RW 8
(Flötztalweg)</t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</si>
  <si>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Immenreuth </t>
    </r>
    <r>
      <rPr>
        <sz val="8"/>
        <rFont val="Arial"/>
        <family val="2"/>
      </rPr>
      <t xml:space="preserve">- Querung Eisenbahn - entlang und Querung Flötzbach - Ahornberg - Hölzlmühle - w Flötzrangen - sw Buch- und Steinrangen - Königskron - Roßsteig - Schottenbühl - Klausenturm - Wildgehege - Höhe 830 - Holzgrabenberg - ö Rotenfels - entlang Flötzbach - Hölzlmühle  - </t>
    </r>
    <r>
      <rPr>
        <b/>
        <sz val="8"/>
        <rFont val="Arial"/>
        <family val="2"/>
      </rPr>
      <t xml:space="preserve">Ausgangspunkt
</t>
    </r>
  </si>
  <si>
    <t>Wegverlauf korrigiert, 008656_L_Korr-2021_Immenreuth, Günter, 07.02.2021</t>
  </si>
  <si>
    <r>
      <t xml:space="preserve">Ebnath (201):
</t>
    </r>
    <r>
      <rPr>
        <b/>
        <sz val="8"/>
        <rFont val="Arial"/>
        <family val="2"/>
      </rPr>
      <t>Ebnath (Parkplatz am Markt)</t>
    </r>
    <r>
      <rPr>
        <sz val="8"/>
        <rFont val="Arial"/>
        <family val="2"/>
      </rPr>
      <t xml:space="preserve"> - Naabweg - Witzlasreuther Weg - Höhe 528,4 - entlang Fichtelnaab - Querung Fichtelnaab / St2181 - entlang Tiefenbach - Hölzlashof - Hölzlashofer- / Schulweg - </t>
    </r>
    <r>
      <rPr>
        <b/>
        <sz val="8"/>
        <rFont val="Arial"/>
        <family val="2"/>
      </rPr>
      <t xml:space="preserve">Ausgangspunkt
</t>
    </r>
  </si>
  <si>
    <t>008667_V_Korr-2023</t>
  </si>
  <si>
    <r>
      <t xml:space="preserve">Ebnath (201):
</t>
    </r>
    <r>
      <rPr>
        <b/>
        <sz val="8"/>
        <rFont val="Arial"/>
        <family val="2"/>
      </rPr>
      <t>Ebnath (Parkplatz am Markt)</t>
    </r>
    <r>
      <rPr>
        <sz val="8"/>
        <rFont val="Arial"/>
        <family val="2"/>
      </rPr>
      <t xml:space="preserve"> - Brander Str. Ri w - n Schenkelhöhe - Fichtelnaabtal - Naabrangen - Höhe 606,6 - Höhew 597,4 - Kemnather / Brander Str. - </t>
    </r>
    <r>
      <rPr>
        <b/>
        <sz val="8"/>
        <rFont val="Arial"/>
        <family val="2"/>
      </rPr>
      <t xml:space="preserve">Ausgangspunkt
</t>
    </r>
  </si>
  <si>
    <t>008668_V_Korr-2023</t>
  </si>
  <si>
    <r>
      <t xml:space="preserve">Ebnath (201):
</t>
    </r>
    <r>
      <rPr>
        <b/>
        <sz val="8"/>
        <rFont val="Arial"/>
        <family val="2"/>
      </rPr>
      <t>Ebnath (Parkplatz am Markt)</t>
    </r>
    <r>
      <rPr>
        <sz val="8"/>
        <rFont val="Arial"/>
        <family val="2"/>
      </rPr>
      <t xml:space="preserve"> - Bahnhof-/Schwarzenreuther-/Kösseinestr. - Am Berg - w Kalvarienberg - Zeckenberg - Höhe 592 - Grünlas - Gregnitztal - Grünlasmühle - Selingau - alte Bahntrasse - Gregnitz-/Bahnhofstr. - Hofweiherweg - </t>
    </r>
    <r>
      <rPr>
        <b/>
        <sz val="8"/>
        <rFont val="Arial"/>
        <family val="2"/>
      </rPr>
      <t xml:space="preserve">Ausgangspunkt
</t>
    </r>
  </si>
  <si>
    <t>201-04</t>
  </si>
  <si>
    <r>
      <t xml:space="preserve">Ebnath (201):
</t>
    </r>
    <r>
      <rPr>
        <b/>
        <sz val="8"/>
        <rFont val="Arial"/>
        <family val="2"/>
      </rPr>
      <t>Ebnath (Parkplatz am Markt)</t>
    </r>
    <r>
      <rPr>
        <sz val="8"/>
        <rFont val="Arial"/>
        <family val="2"/>
      </rPr>
      <t xml:space="preserve"> - Schulstr. - ö Kalvarienberg - n Schwarzenreuth - Höhe 649,8 - Ri N - ö Höhe 659 / WA Scheibenschlag  Ri SW - Luisenburgweg - Bahnhofstr. - Hofweiherweg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</si>
  <si>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Neusorg (205):
</t>
    </r>
    <r>
      <rPr>
        <b/>
        <sz val="8"/>
        <rFont val="Arial"/>
        <family val="2"/>
      </rPr>
      <t xml:space="preserve">Schulstraße im Wald (Ost 713248, Nord 5536218)  </t>
    </r>
    <r>
      <rPr>
        <sz val="8"/>
        <rFont val="Arial"/>
        <family val="2"/>
      </rPr>
      <t xml:space="preserve">- s Bärenrangen - Höllbachtal - Marienkapelle - Dragoner - s Höll - Haidelfurth - entlang Eisenbahn - Höllbachstr. -  im Wald zum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</si>
  <si>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Neusorg (205):
</t>
    </r>
    <r>
      <rPr>
        <b/>
        <sz val="8"/>
        <rFont val="Arial"/>
        <family val="2"/>
      </rPr>
      <t xml:space="preserve">Schulstraße im Wald (Ost 713248, Nord 5536218)  </t>
    </r>
    <r>
      <rPr>
        <sz val="8"/>
        <rFont val="Arial"/>
        <family val="2"/>
      </rPr>
      <t xml:space="preserve">- Ri N - um den Bärenrangen - 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</si>
  <si>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Neusorg (205):
</t>
    </r>
    <r>
      <rPr>
        <b/>
        <sz val="8"/>
        <rFont val="Arial"/>
        <family val="2"/>
      </rPr>
      <t xml:space="preserve">Schulstraße im Wald (Ost 713248, Nord 5536218)  </t>
    </r>
    <r>
      <rPr>
        <sz val="8"/>
        <rFont val="Arial"/>
        <family val="2"/>
      </rPr>
      <t xml:space="preserve">- Ri N - Bärenrangen - Querung TIR16 - Schwarzenreuth - Kalvarienberg - Ebnath - Hölzlashof - Radweg - Neusorg - Schulstr.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</si>
  <si>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Mehlmeisel (306):
</t>
    </r>
    <r>
      <rPr>
        <b/>
        <sz val="8"/>
        <rFont val="Arial"/>
        <family val="2"/>
      </rPr>
      <t xml:space="preserve">Bayreuther Haus  </t>
    </r>
    <r>
      <rPr>
        <sz val="8"/>
        <rFont val="Arial"/>
        <family val="2"/>
      </rPr>
      <t xml:space="preserve">- Klausenturm - Höhe 818 - Schottenbühl - Roßsteig - w Königskron - am Stein-/Buch-/Flötzrangen entlang - Ortsrand Ahornberg - Hölzlmühle - Schadersberger Rangen - Günzlas - um den Scheibenberg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</si>
  <si>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Weidenberg(312):
</t>
    </r>
    <r>
      <rPr>
        <b/>
        <sz val="8"/>
        <rFont val="Arial"/>
        <family val="2"/>
      </rPr>
      <t xml:space="preserve">Sophienthal (Wanderparkplatz) </t>
    </r>
    <r>
      <rPr>
        <sz val="8"/>
        <rFont val="Arial"/>
        <family val="2"/>
      </rPr>
      <t xml:space="preserve">- Querung Warme Steinach und St2181 - um den Reizenstein - Höhe 615 - s Kolmreuth - Sophienthal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</si>
  <si>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Neusorg (205):
</t>
    </r>
    <r>
      <rPr>
        <b/>
        <sz val="8"/>
        <rFont val="Arial"/>
        <family val="2"/>
      </rPr>
      <t xml:space="preserve">Neusorg </t>
    </r>
    <r>
      <rPr>
        <sz val="8"/>
        <rFont val="Arial"/>
        <family val="2"/>
      </rPr>
      <t xml:space="preserve">- Mengersreuth - </t>
    </r>
    <r>
      <rPr>
        <b/>
        <sz val="8"/>
        <rFont val="Arial"/>
        <family val="2"/>
      </rPr>
      <t>St2177</t>
    </r>
  </si>
  <si>
    <t>Neusorg - Pullenreuth,  FGV-WegNr  130, Markierungsabschnitte 1 - 2</t>
  </si>
  <si>
    <r>
      <rPr>
        <i/>
        <sz val="8"/>
        <rFont val="Arial"/>
        <family val="2"/>
      </rPr>
      <t xml:space="preserve">Pullenreuth (207):
</t>
    </r>
    <r>
      <rPr>
        <b/>
        <sz val="8"/>
        <rFont val="Arial"/>
        <family val="2"/>
      </rPr>
      <t xml:space="preserve">St2177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>Pullenreuth</t>
    </r>
  </si>
  <si>
    <r>
      <t xml:space="preserve">Schwarzenbach (406)
</t>
    </r>
    <r>
      <rPr>
        <b/>
        <sz val="8"/>
        <rFont val="Arial"/>
        <family val="2"/>
      </rPr>
      <t xml:space="preserve">Parkplatz Kornberg </t>
    </r>
    <r>
      <rPr>
        <sz val="8"/>
        <rFont val="Arial"/>
        <family val="2"/>
      </rPr>
      <t xml:space="preserve">- Ri SO Hauknock - Ri NW und Ri SW durch den WA Nonnenwald - </t>
    </r>
    <r>
      <rPr>
        <b/>
        <sz val="8"/>
        <rFont val="Arial"/>
        <family val="2"/>
      </rPr>
      <t xml:space="preserve">Ausgangspunkt
</t>
    </r>
  </si>
  <si>
    <r>
      <t xml:space="preserve">Schwarzenbach (406)
</t>
    </r>
    <r>
      <rPr>
        <b/>
        <sz val="8"/>
        <rFont val="Arial"/>
        <family val="2"/>
      </rPr>
      <t xml:space="preserve">Parkplatz Kornberg </t>
    </r>
    <r>
      <rPr>
        <sz val="8"/>
        <rFont val="Arial"/>
        <family val="2"/>
      </rPr>
      <t xml:space="preserve">- Turmalle - Kornberggipfel - Ri O / SO - Vorsuchhütte - Ri N - Höhe 707,5 - Ri NW - Höhe 724 - Höhe 651,7 - </t>
    </r>
    <r>
      <rPr>
        <b/>
        <sz val="8"/>
        <rFont val="Arial"/>
        <family val="2"/>
      </rPr>
      <t xml:space="preserve">Ausgangspunkt
</t>
    </r>
  </si>
  <si>
    <r>
      <t xml:space="preserve">Schwarzenbach (406)
</t>
    </r>
    <r>
      <rPr>
        <b/>
        <sz val="8"/>
        <rFont val="Arial"/>
        <family val="2"/>
      </rPr>
      <t xml:space="preserve">Parkplatz Kornberg </t>
    </r>
    <r>
      <rPr>
        <sz val="8"/>
        <rFont val="Arial"/>
        <family val="2"/>
      </rPr>
      <t xml:space="preserve">- Turmalle - bei Höhe 599 Ri SO - Querung Ringelbach - w Hirschstein - Nordweg - WA Ringlersreut/Pferdestoß - Ringelbrunnen - WA Kolbenreut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</si>
  <si>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>Pilgramsreuth</t>
    </r>
    <r>
      <rPr>
        <sz val="8"/>
        <rFont val="Arial"/>
        <family val="2"/>
      </rPr>
      <t xml:space="preserve"> - Höhe 639 - Förstersruhe - Höhe 691 - w Steinhöhe - Göringsreuth (Altes Pfarrhaus)- Wüstenbrunn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</si>
  <si>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 xml:space="preserve">Rathausplatz </t>
    </r>
    <r>
      <rPr>
        <sz val="8"/>
        <rFont val="Arial"/>
        <family val="2"/>
      </rPr>
      <t xml:space="preserve">- Schulstr. - Schützenstr. - Max-Reger-Str. - Brunn - Merzenhaus - WA Hirschbrunnen - Hoher Rainstein - Buchbach - Max-Reger-Str.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</si>
  <si>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 xml:space="preserve">Rathausplatz </t>
    </r>
    <r>
      <rPr>
        <sz val="8"/>
        <rFont val="Arial"/>
        <family val="2"/>
      </rPr>
      <t xml:space="preserve">- Schulstr. - Schützenstr. - Max-Reger-Str. - Querung WUN15 - WA Vielitzer Loh - Brunn - Bersteinmühle - Querung WUN15 - o Merzenhaus - s Buchbach - Max-Reger-Str. - </t>
    </r>
    <r>
      <rPr>
        <b/>
        <sz val="8"/>
        <rFont val="Arial"/>
        <family val="2"/>
      </rPr>
      <t xml:space="preserve">Ausgangspunkt
</t>
    </r>
  </si>
  <si>
    <r>
      <t xml:space="preserve">Marktleuthen (507):
</t>
    </r>
    <r>
      <rPr>
        <b/>
        <sz val="8"/>
        <rFont val="Arial"/>
        <family val="2"/>
      </rPr>
      <t>Marktleuthener Haus</t>
    </r>
    <r>
      <rPr>
        <sz val="8"/>
        <rFont val="Arial"/>
        <family val="2"/>
      </rPr>
      <t xml:space="preserve"> - (im Uhrzeigfersinn um den Bibersberg) - ö Höhe 593,1 - durch das Tal des Biberbachs zurück zum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</si>
  <si>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Marktleuthen 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Marktleuthener Haus</t>
    </r>
    <r>
      <rPr>
        <sz val="8"/>
        <rFont val="Arial"/>
        <family val="2"/>
      </rPr>
      <t xml:space="preserve"> - Querung St 2176 und Eger - Wiesenstr. -Forststr. - Leuthenfost - Wendenhammer - Rondell - Leuthenforst - </t>
    </r>
    <r>
      <rPr>
        <b/>
        <sz val="8"/>
        <rFont val="Arial"/>
        <family val="2"/>
      </rPr>
      <t xml:space="preserve">Ausgangspunkt </t>
    </r>
    <r>
      <rPr>
        <sz val="8"/>
        <rFont val="Arial"/>
        <family val="2"/>
      </rPr>
      <t xml:space="preserve">(mit Alternativroute über Eisenbahnvidaukt)
</t>
    </r>
  </si>
  <si>
    <r>
      <rPr>
        <i/>
        <sz val="8"/>
        <rFont val="Arial"/>
        <family val="2"/>
      </rPr>
      <t>Marktleuthen 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Marktleuthener Haus</t>
    </r>
    <r>
      <rPr>
        <sz val="8"/>
        <rFont val="Arial"/>
        <family val="2"/>
      </rPr>
      <t xml:space="preserve"> - Querung Biberbach - Drosselweg - Lerchenbühl -entlang Eisenbahntrasse - Habnith - Rundkurs zum Bibersbach / Ruggenmühle - Habnith -  </t>
    </r>
    <r>
      <rPr>
        <b/>
        <sz val="8"/>
        <rFont val="Arial"/>
        <family val="2"/>
      </rPr>
      <t xml:space="preserve">Ausgangspunkt 
</t>
    </r>
  </si>
  <si>
    <r>
      <rPr>
        <i/>
        <sz val="8"/>
        <rFont val="Arial"/>
        <family val="2"/>
      </rPr>
      <t>Marktleuthen 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Marktleuthener Haus</t>
    </r>
    <r>
      <rPr>
        <sz val="8"/>
        <rFont val="Arial"/>
        <family val="2"/>
      </rPr>
      <t xml:space="preserve"> - Querung St 2176 und Eger - Wiesenstr. -Forststr. - Leuthenfost - s Seeberg - Querung Wenderner Bach - </t>
    </r>
    <r>
      <rPr>
        <b/>
        <sz val="8"/>
        <rFont val="Arial"/>
        <family val="2"/>
      </rPr>
      <t xml:space="preserve">Ausgangspunkt </t>
    </r>
    <r>
      <rPr>
        <sz val="8"/>
        <rFont val="Arial"/>
        <family val="2"/>
      </rPr>
      <t xml:space="preserve">(mit Alternativroute über Eisenbahnvidaukt)
</t>
    </r>
  </si>
  <si>
    <r>
      <rPr>
        <i/>
        <sz val="8"/>
        <rFont val="Arial"/>
        <family val="2"/>
      </rPr>
      <t xml:space="preserve">Thierstein (110):
</t>
    </r>
    <r>
      <rPr>
        <b/>
        <sz val="8"/>
        <rFont val="Arial"/>
        <family val="2"/>
      </rPr>
      <t xml:space="preserve">Thierstein (Marktplatz) </t>
    </r>
    <r>
      <rPr>
        <sz val="8"/>
        <rFont val="Arial"/>
        <family val="2"/>
      </rPr>
      <t xml:space="preserve">- An der Kirche - Sechsämterstraße - Querung B15 / BAB93 - um den Nachtberg - Nordrand Höchstädt - Schlossberg - Querung B15 / BAB93 - BD-Seensors-Str - Wiesenstr. Markgrafenstr. -Hauptstr.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</si>
  <si>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 xml:space="preserve">Rathausplatz </t>
    </r>
    <r>
      <rPr>
        <sz val="8"/>
        <rFont val="Arial"/>
        <family val="2"/>
      </rPr>
      <t xml:space="preserve">- Schulstr. - Schützenstr. - Max-Reger-Str. - Querung WUN15 - Höhe 633,5 - WA Pfaffenholz - n Höhe 671,1 - Höhe 623 - WA Vielitzer Loh - Querung WUN15 - Max-Reger-Str. -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</si>
  <si>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Stadtkirche St. Andreas - </t>
    </r>
    <r>
      <rPr>
        <sz val="8"/>
        <rFont val="Arial"/>
        <family val="2"/>
      </rPr>
      <t xml:space="preserve">Querung Selbbach - Wunsiedler Str. - ö Goldberg - ö Klepperbühl - Teichgebiet - Eisstadion - Vorwerk - Häusellohweg - Stopfersfurth - WA Hohe Furt - Sommermühle - Reuth - Königsberger Str. - Christian-Höfer-Ring - Rosenthalpark - Grafenmühlweiher/-weg - </t>
    </r>
    <r>
      <rPr>
        <b/>
        <sz val="8"/>
        <rFont val="Arial"/>
        <family val="2"/>
      </rPr>
      <t xml:space="preserve">Ausgangspunk
</t>
    </r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</si>
  <si>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Maximilianstr. (Kirche Herz Jesu) - </t>
    </r>
    <r>
      <rPr>
        <sz val="8"/>
        <rFont val="Arial"/>
        <family val="2"/>
      </rPr>
      <t xml:space="preserve">Schillerstr. - Schmiedbergl - Ludwig-/Marienstr. - Papiermühlweg - Papiermühle - w Hammergut - Selbbach entlang - Selbbachmündung - ö Ringberg - WA Lärchengarten / Dachsloh / Hammerwald - ö Hammergut - Papiermühle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</si>
  <si>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Thierstein (110):
</t>
    </r>
    <r>
      <rPr>
        <b/>
        <sz val="8"/>
        <rFont val="Arial"/>
        <family val="2"/>
      </rPr>
      <t xml:space="preserve">Thierstein (Marktplatz) </t>
    </r>
    <r>
      <rPr>
        <sz val="8"/>
        <rFont val="Arial"/>
        <family val="2"/>
      </rPr>
      <t xml:space="preserve">- Selber Str. - Ziegelhütte - Höhe 516,7 - Leupoldshammer - Blumenthal - Weihergebiet / WA Kroatenloh - Pfannenstiel - Hafendeck - </t>
    </r>
    <r>
      <rPr>
        <b/>
        <sz val="8"/>
        <rFont val="Arial"/>
        <family val="2"/>
      </rPr>
      <t xml:space="preserve">Ausgangspunkt
</t>
    </r>
  </si>
  <si>
    <t>Rundwanderweg Nr. 1 der GemeindeThierstein 
(Stichweg doppelt gerechnet)</t>
  </si>
  <si>
    <r>
      <rPr>
        <i/>
        <sz val="8"/>
        <rFont val="Arial"/>
        <family val="2"/>
      </rPr>
      <t xml:space="preserve">Thierstein (110): </t>
    </r>
    <r>
      <rPr>
        <sz val="8"/>
        <rFont val="Arial"/>
        <family val="2"/>
      </rPr>
      <t xml:space="preserve">                                                                                                </t>
    </r>
    <r>
      <rPr>
        <b/>
        <sz val="8"/>
        <rFont val="Arial"/>
        <family val="2"/>
      </rPr>
      <t>Thierstein (Marktplatz)</t>
    </r>
    <r>
      <rPr>
        <sz val="8"/>
        <rFont val="Arial"/>
        <family val="2"/>
      </rPr>
      <t xml:space="preserve"> – Wäschteich – Schwarzteich - Neudürrlas – Altdürrlas – Birkenbühl – Öchslermühle -</t>
    </r>
    <r>
      <rPr>
        <b/>
        <sz val="8"/>
        <rFont val="Arial"/>
        <family val="2"/>
      </rPr>
      <t xml:space="preserve"> Ausgangspunkt
</t>
    </r>
  </si>
  <si>
    <r>
      <rPr>
        <i/>
        <sz val="8"/>
        <rFont val="Arial"/>
        <family val="2"/>
      </rPr>
      <t>Thiersheim (109)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Thiersheim (Marktplatz)</t>
    </r>
    <r>
      <rPr>
        <sz val="8"/>
        <rFont val="Arial"/>
        <family val="2"/>
      </rPr>
      <t xml:space="preserve"> - Bahnhofstr. - Galgenberg - WUN 12 - Birkenbühl - Altdürrlas - Brutteich - o Ziegnruck - Neuenreuth - Querung und entlang WUN 12 - Bahnhofstr. - </t>
    </r>
    <r>
      <rPr>
        <b/>
        <sz val="8"/>
        <rFont val="Arial"/>
        <family val="2"/>
      </rPr>
      <t xml:space="preserve">Ausgangspunkt
</t>
    </r>
  </si>
  <si>
    <t>Streckenlänge korrigiert (Stichweg doppelt), Günter, 09.11.2020</t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</si>
  <si>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Silberbach (St2178) - </t>
    </r>
    <r>
      <rPr>
        <sz val="8"/>
        <rFont val="Arial"/>
        <family val="2"/>
      </rPr>
      <t xml:space="preserve">Ri NNO - Höhe 569 - Ri W um Höhe 595 - Ri S - w Höhe 546 - Spindlingslohe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</si>
  <si>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Silberbach (St2178) - </t>
    </r>
    <r>
      <rPr>
        <sz val="8"/>
        <rFont val="Arial"/>
        <family val="2"/>
      </rPr>
      <t xml:space="preserve">Spindlingslohe - w Höhe 546 - WA Oberwald - Querung St2178 - s Buchenbühl - Lohwiesengraben - WA Bienstock / Hachtenbrunnen - Gründelwiese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</si>
  <si>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Parkplatz Schrickerswinkel unterhalb Großer Hengstberg</t>
    </r>
    <r>
      <rPr>
        <sz val="8"/>
        <rFont val="Arial"/>
        <family val="2"/>
      </rPr>
      <t xml:space="preserve"> – Alte Poststraße – Egertal – Sabelteich – Egertalweg – Silberbacher Mühle – </t>
    </r>
    <r>
      <rPr>
        <b/>
        <sz val="8"/>
        <rFont val="Arial"/>
        <family val="2"/>
      </rPr>
      <t>Ausgangspunkt</t>
    </r>
  </si>
  <si>
    <r>
      <rPr>
        <i/>
        <sz val="8"/>
        <rFont val="Arial"/>
        <family val="2"/>
      </rPr>
      <t xml:space="preserve">Hohenberg (111): 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Neuhaus (Thiersteiner Straße)</t>
    </r>
    <r>
      <rPr>
        <sz val="8"/>
        <rFont val="Arial"/>
        <family val="2"/>
      </rPr>
      <t xml:space="preserve"> – Egerweg – Egerstau – Egertal – Kraftwerk Hirschsprung – Wellertal –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</si>
  <si>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Silberbach (Sommerhauer Str./Haus Silberbach) - </t>
    </r>
    <r>
      <rPr>
        <sz val="8"/>
        <rFont val="Arial"/>
        <family val="2"/>
      </rPr>
      <t xml:space="preserve">Sabelteich - entlang Lutherbächlein - </t>
    </r>
    <r>
      <rPr>
        <b/>
        <sz val="8"/>
        <rFont val="Arial"/>
        <family val="2"/>
      </rPr>
      <t xml:space="preserve">Egertal (Hirschsprung)
</t>
    </r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</si>
  <si>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Hohenberg (Burgplatz)</t>
    </r>
    <r>
      <rPr>
        <sz val="8"/>
        <rFont val="Arial"/>
        <family val="2"/>
      </rPr>
      <t xml:space="preserve"> – Kirchstraße – Langer Weg – Steinberg – Eichenallee – Steinhaus – Neuhaus –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</si>
  <si>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Fohrenreuth </t>
    </r>
    <r>
      <rPr>
        <sz val="8"/>
        <rFont val="Arial"/>
        <family val="2"/>
      </rPr>
      <t xml:space="preserve">- Ri SW - Höhe 602 - Pilgramsreuth - n Wüstenbrunn - Kleppermühle - Höhe 575,3 - entlang Tannigbach - w Röllmühle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</si>
  <si>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Fohrenreuth </t>
    </r>
    <r>
      <rPr>
        <sz val="8"/>
        <rFont val="Arial"/>
        <family val="2"/>
      </rPr>
      <t xml:space="preserve">- Ri S - Schätzera - nö Kleppermühle - nö Höhe 637  - n Höhe 595 - Querung A 93 - Sophienreuth - entlang Perlenbach / w Perlenhaus - Eulenhammer - Höhe 550,8 -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</si>
  <si>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 xml:space="preserve">Fohrenreuth </t>
    </r>
    <r>
      <rPr>
        <sz val="8"/>
        <rFont val="Arial"/>
        <family val="2"/>
      </rPr>
      <t xml:space="preserve">- Pilgramsreuth - n Wüstenbrunn - Kleppermühle - nö Höhe 637  - n Höhe 595 - Ri NNW - WA Hickenloh - WA Fritzenloh - Höhe 550,8 -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</si>
  <si>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Thiersheim (109)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Thiersheim (Marktplatz)</t>
    </r>
    <r>
      <rPr>
        <sz val="8"/>
        <rFont val="Arial"/>
        <family val="2"/>
      </rPr>
      <t xml:space="preserve"> - Schulstr. - Böhmmühle - Bergnersreuth - Mittelmühle - Stemmas - Neuenreuth - Querung und entlang WUN 12 - Bahnhofstr.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</si>
  <si>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Thiersheim (109)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Thiersheim (Marktplatz)</t>
    </r>
    <r>
      <rPr>
        <sz val="8"/>
        <rFont val="Arial"/>
        <family val="2"/>
      </rPr>
      <t xml:space="preserve"> - Schulstr. - Peuntweg - Querung A93 - Autohof - Braunersgrün - Querung und parallel A93 - Pfarrweg - Barunersgrüner Str. - Bahnhofstr.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</si>
  <si>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Thiersheim (109)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Thiersheim (Marktplatz)</t>
    </r>
    <r>
      <rPr>
        <sz val="8"/>
        <rFont val="Arial"/>
        <family val="2"/>
      </rPr>
      <t xml:space="preserve"> - Schulstr. - Wolfsloh/Pertschloh - Wartberg - Wampgen - Vogelherd - Sportplatz - </t>
    </r>
    <r>
      <rPr>
        <b/>
        <sz val="8"/>
        <rFont val="Arial"/>
        <family val="2"/>
      </rPr>
      <t xml:space="preserve">Ausgangspunkt
</t>
    </r>
  </si>
  <si>
    <r>
      <t xml:space="preserve">Arzberg (101):                                                                                             </t>
    </r>
    <r>
      <rPr>
        <b/>
        <sz val="8"/>
        <rFont val="Arial"/>
        <family val="2"/>
      </rPr>
      <t>Arzberg (Rathausstraße)</t>
    </r>
    <r>
      <rPr>
        <sz val="8"/>
        <rFont val="Arial"/>
        <family val="2"/>
      </rPr>
      <t xml:space="preserve"> – Herrenleithengasse - Sandmühle – Bergnersreuth (Museum) – Röthenbach – </t>
    </r>
    <r>
      <rPr>
        <b/>
        <sz val="8"/>
        <rFont val="Arial"/>
        <family val="2"/>
      </rPr>
      <t>Ausgangspunkt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</si>
  <si>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Röslau (509):
</t>
    </r>
    <r>
      <rPr>
        <b/>
        <sz val="8"/>
        <rFont val="Arial"/>
        <family val="2"/>
      </rPr>
      <t xml:space="preserve">Röslau (Marktplatz) </t>
    </r>
    <r>
      <rPr>
        <sz val="8"/>
        <rFont val="Arial"/>
        <family val="2"/>
      </rPr>
      <t xml:space="preserve">- Eger-/Waldstraße - Waldrandsiedlung - s Höllberg - Rauschensteig - Querung St2180 - Schönlind - entlang Eisenbahntrasse - Egerstraße / Alte Straße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</si>
  <si>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Schlossterrassen</t>
    </r>
    <r>
      <rPr>
        <sz val="8"/>
        <rFont val="Arial"/>
        <family val="2"/>
      </rPr>
      <t xml:space="preserve"> - Luisenburgallee - ö Friedhof - Denkmal - Badeweiher - Am Kirchsteig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</si>
  <si>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Schlossterrassen</t>
    </r>
    <r>
      <rPr>
        <sz val="8"/>
        <rFont val="Arial"/>
        <family val="2"/>
      </rPr>
      <t xml:space="preserve"> - Luisenquelle - Unterqerung B 303 - Dünkelhammer -  entlang Wenderbach - Höhe 583,7 - entlang und Querung B303 -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</si>
  <si>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Schlossterrassen</t>
    </r>
    <r>
      <rPr>
        <sz val="8"/>
        <rFont val="Arial"/>
        <family val="2"/>
      </rPr>
      <t xml:space="preserve"> - Luisenquelle - Höhen 580 / 583,6 / 582 - Querung Wenderbach - Kleinwendern - Lehmgrube - ö Friedhof - Luisenallee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</si>
  <si>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Schlossterrassen</t>
    </r>
    <r>
      <rPr>
        <sz val="8"/>
        <rFont val="Arial"/>
        <family val="2"/>
      </rPr>
      <t xml:space="preserve"> - Luisenquelle - Höhe 580 / 583,6 - Aussichtspunkt - WA Bürschling / Siebenbrunn - Wenderner Stein - Abstecher Kleinwendern - im Tal des Wenderbachs Ri Luisenquelle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</si>
  <si>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Kleinwendern</t>
    </r>
    <r>
      <rPr>
        <sz val="8"/>
        <rFont val="Arial"/>
        <family val="2"/>
      </rPr>
      <t xml:space="preserve"> - Wenderner Stein - Graentzer Stein - Höhe 650 -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</si>
  <si>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Wackerstadion (Unterführung B303) </t>
    </r>
    <r>
      <rPr>
        <sz val="8"/>
        <rFont val="Arial"/>
        <family val="2"/>
      </rPr>
      <t xml:space="preserve">- Querung B303 - Einzel Tiefenbach - "Hummelburg" - n Berghof - Berghofweg - Querung B303 - Albrecht-Dürer-Str. - Adam-Krafft-Str. - entlang B303 -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</si>
  <si>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Parkplatz Thölauer Str. </t>
    </r>
    <r>
      <rPr>
        <sz val="8"/>
        <rFont val="Arial"/>
        <family val="2"/>
      </rPr>
      <t>- n Berghof - n Hummelburg - Unterthölau - entlang Eisenbahnlinie - Miedelmühle - Unterführung Eisenbahn - A</t>
    </r>
    <r>
      <rPr>
        <b/>
        <sz val="8"/>
        <rFont val="Arial"/>
        <family val="2"/>
      </rPr>
      <t>usgangspunkt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</si>
  <si>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Eisenbahnbrücke (Manzenberger Str.) </t>
    </r>
    <r>
      <rPr>
        <sz val="8"/>
        <rFont val="Arial"/>
        <family val="2"/>
      </rPr>
      <t xml:space="preserve">- In der Lohe - w Höhe 589,1 - 24-Örterstein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</si>
  <si>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Lorenzreuth (Sportgelände) </t>
    </r>
    <r>
      <rPr>
        <sz val="8"/>
        <rFont val="Arial"/>
        <family val="2"/>
      </rPr>
      <t xml:space="preserve">-parallel A93 - Unterquerung A93 - Weiher am Peuntbach - ö Höhe 524 - Röslautal - WA Schupfenwald - Unterquerung A93 - </t>
    </r>
    <r>
      <rPr>
        <b/>
        <sz val="8"/>
        <rFont val="Arial"/>
        <family val="2"/>
      </rPr>
      <t xml:space="preserve">Ausgangspunkt
</t>
    </r>
  </si>
  <si>
    <r>
      <t xml:space="preserve">Selb (107)
</t>
    </r>
    <r>
      <rPr>
        <b/>
        <sz val="8"/>
        <rFont val="Arial"/>
        <family val="2"/>
      </rPr>
      <t xml:space="preserve">Längenau - </t>
    </r>
    <r>
      <rPr>
        <sz val="8"/>
        <rFont val="Arial"/>
        <family val="2"/>
      </rPr>
      <t xml:space="preserve">Höhe 614 - um den Wartberg - um den Oppersbühl - </t>
    </r>
    <r>
      <rPr>
        <b/>
        <sz val="8"/>
        <rFont val="Arial"/>
        <family val="2"/>
      </rPr>
      <t xml:space="preserve">Längenau
</t>
    </r>
  </si>
  <si>
    <t>107-22</t>
  </si>
  <si>
    <r>
      <rPr>
        <i/>
        <sz val="8"/>
        <rFont val="Arial"/>
        <family val="2"/>
      </rPr>
      <t>Selb  (107)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Forst Mühlbacher Waldung</t>
    </r>
    <r>
      <rPr>
        <sz val="8"/>
        <rFont val="Arial"/>
        <family val="2"/>
      </rPr>
      <t xml:space="preserve"> - Schüsselstein - entlang der Bundesgrenze (historische Wappensteine) - </t>
    </r>
    <r>
      <rPr>
        <b/>
        <sz val="8"/>
        <rFont val="Arial"/>
        <family val="2"/>
      </rPr>
      <t>Ausgangspunk</t>
    </r>
    <r>
      <rPr>
        <sz val="8"/>
        <rFont val="Arial"/>
        <family val="2"/>
      </rPr>
      <t xml:space="preserve">t
</t>
    </r>
  </si>
  <si>
    <t>Weg ging von Selb-Plößberg an Selb (Februar 2022)</t>
  </si>
  <si>
    <r>
      <rPr>
        <i/>
        <sz val="8"/>
        <rFont val="Arial"/>
        <family val="2"/>
      </rPr>
      <t>Selb (107)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Silberbach (Ecke Zur Hohen Warte/Im Silbergrund) - </t>
    </r>
    <r>
      <rPr>
        <sz val="8"/>
        <rFont val="Arial"/>
        <family val="2"/>
      </rPr>
      <t xml:space="preserve">Querung Silberbach - Nordhang Großer Hengstberg - n Brandberg / Hohe Wart - Höhe 569 -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</si>
  <si>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Hohenberg (Burgplatz)</t>
    </r>
    <r>
      <rPr>
        <sz val="8"/>
        <rFont val="Arial"/>
        <family val="2"/>
      </rPr>
      <t xml:space="preserve"> – Kirchstraße – Schulsteig – Unterer Brand – Grünstegbrücke – Pfeiffermühle – Hammermühle – Carolinenquelle –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</si>
  <si>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Hohenberg (Burgplatz)</t>
    </r>
    <r>
      <rPr>
        <sz val="8"/>
        <rFont val="Arial"/>
        <family val="2"/>
      </rPr>
      <t xml:space="preserve"> – Schirndinger Straße – Weißenbachstraße – Fischern – Carolinenquelle – Confinhaus –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</si>
  <si>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Hohenberg (Burgplatz)</t>
    </r>
    <r>
      <rPr>
        <sz val="8"/>
        <rFont val="Arial"/>
        <family val="2"/>
      </rPr>
      <t xml:space="preserve"> – Kirchstraße – Langer Weg – Ottenlohe – Weidighaus – Raithenbach – Menzloh – </t>
    </r>
    <r>
      <rPr>
        <b/>
        <sz val="8"/>
        <rFont val="Arial"/>
        <family val="2"/>
      </rPr>
      <t xml:space="preserve">Ausgangspunkt
</t>
    </r>
  </si>
  <si>
    <r>
      <t xml:space="preserve">Arzberg (101):                                                                                           
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Arzberg</t>
    </r>
    <r>
      <rPr>
        <sz val="8"/>
        <rFont val="Arial"/>
        <family val="2"/>
      </rPr>
      <t xml:space="preserve"> (Friedrich-Ebert-Straße) – G´steinigt – An der Buchstauden – Schöpfengasse –  Bergwerksgasse – Kirchplatz – </t>
    </r>
    <r>
      <rPr>
        <b/>
        <sz val="8"/>
        <rFont val="Arial"/>
        <family val="2"/>
      </rPr>
      <t xml:space="preserve"> Ausgangspunkt</t>
    </r>
  </si>
  <si>
    <r>
      <t xml:space="preserve">Arzberg (101):                                                       
</t>
    </r>
    <r>
      <rPr>
        <b/>
        <sz val="8"/>
        <rFont val="Arial"/>
        <family val="2"/>
      </rPr>
      <t>Arzberg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 xml:space="preserve">(Friedrich-Ebert-Straße) – G´steinigt –  Elisenfels – Waldenfelswarte – Carl-Schumann-Straße – </t>
    </r>
    <r>
      <rPr>
        <b/>
        <sz val="8"/>
        <rFont val="Arial"/>
        <family val="2"/>
      </rPr>
      <t xml:space="preserve">Ausgangspunkt
</t>
    </r>
  </si>
  <si>
    <r>
      <t xml:space="preserve">Arzberg (101):                                                                                                  </t>
    </r>
    <r>
      <rPr>
        <b/>
        <sz val="8"/>
        <rFont val="Arial"/>
        <family val="2"/>
      </rPr>
      <t>Arzberg</t>
    </r>
    <r>
      <rPr>
        <sz val="8"/>
        <rFont val="Arial"/>
        <family val="2"/>
      </rPr>
      <t xml:space="preserve"> (Parkplatz Siebenlindenberg) – Waldenfelswarte – Theresienfeld – </t>
    </r>
    <r>
      <rPr>
        <b/>
        <sz val="8"/>
        <rFont val="Arial"/>
        <family val="2"/>
      </rPr>
      <t xml:space="preserve">Ausgangspunkt
</t>
    </r>
  </si>
  <si>
    <r>
      <t xml:space="preserve">Arzberg (101):                                                                                                 </t>
    </r>
    <r>
      <rPr>
        <b/>
        <sz val="8"/>
        <rFont val="Arial"/>
        <family val="2"/>
      </rPr>
      <t>Arzberg</t>
    </r>
    <r>
      <rPr>
        <sz val="8"/>
        <rFont val="Arial"/>
        <family val="2"/>
      </rPr>
      <t xml:space="preserve"> (Parkplatz Siebenlindenberg) – Waldabteilungen Teerofen / Turnerin – Hagenhaus – Preußenstein – </t>
    </r>
    <r>
      <rPr>
        <b/>
        <sz val="8"/>
        <rFont val="Arial"/>
        <family val="2"/>
      </rPr>
      <t>Ausgangspunkt</t>
    </r>
    <r>
      <rPr>
        <sz val="8"/>
        <rFont val="Arial"/>
        <family val="2"/>
      </rPr>
      <t xml:space="preserve">
</t>
    </r>
  </si>
  <si>
    <r>
      <t xml:space="preserve">Arzberg (101):                                                                                                 </t>
    </r>
    <r>
      <rPr>
        <b/>
        <sz val="8"/>
        <rFont val="Arial"/>
        <family val="2"/>
      </rPr>
      <t>Arzberg</t>
    </r>
    <r>
      <rPr>
        <sz val="8"/>
        <rFont val="Arial"/>
        <family val="2"/>
      </rPr>
      <t xml:space="preserve"> (Parkplatz Siebenlindenberg) – Waldabteilungen Böse Hülle / Schulwiese / Schwarzlache / Täfelein / Siebenlinden – </t>
    </r>
    <r>
      <rPr>
        <b/>
        <sz val="8"/>
        <rFont val="Arial"/>
        <family val="2"/>
      </rPr>
      <t>Ausgangspunkt</t>
    </r>
    <r>
      <rPr>
        <sz val="8"/>
        <rFont val="Arial"/>
        <family val="2"/>
      </rPr>
      <t xml:space="preserve">
</t>
    </r>
  </si>
  <si>
    <t>(2)</t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</si>
  <si>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Hackelstein - Hackelplatz - WA Im langen Graben / Hausnerin - Querung St 2121 - Ruine Weißenstein
</t>
    </r>
  </si>
  <si>
    <t>Hackelstein- Ruine Weißenstein, FGV-WegNr. 133,  2 Markierungsabschnitte, Abschnitt 1 durch OWV (Fuchsmühl- Hackelstein)</t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</si>
  <si>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 xml:space="preserve">Manzenberger Str. </t>
    </r>
    <r>
      <rPr>
        <sz val="8"/>
        <rFont val="Arial"/>
        <family val="2"/>
      </rPr>
      <t>- Birklweg - Weihergebiet - Manzenberg - WA Sodelholz - w Höhe 589,1 - In der Lohe -</t>
    </r>
    <r>
      <rPr>
        <b/>
        <sz val="8"/>
        <rFont val="Arial"/>
        <family val="2"/>
      </rPr>
      <t xml:space="preserve"> Ausgangspunkt
</t>
    </r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</si>
  <si>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Rathaus (Infotafel) </t>
    </r>
    <r>
      <rPr>
        <sz val="8"/>
        <rFont val="Arial"/>
        <family val="2"/>
      </rPr>
      <t xml:space="preserve">- Johanneskapelle - unterhalb Schloßweiher und Kössein - Sonnen-/Bahnhofstr. - Am Damm - Querung Eisenbahn - entlang Schrebergärten - Leutendorf - Grünitzmühle - WA Schmierofen - Graentzerstein - WA Lohwiese - Rodenzenreuth - Schwimmbad - </t>
    </r>
    <r>
      <rPr>
        <b/>
        <sz val="8"/>
        <rFont val="Arial"/>
        <family val="2"/>
      </rPr>
      <t xml:space="preserve">Ausgangspunkt
</t>
    </r>
  </si>
  <si>
    <t>Rundwanderweg Nr. 1 der GemeindeWaldershof</t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</si>
  <si>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Rathaus (Infotafel) </t>
    </r>
    <r>
      <rPr>
        <sz val="8"/>
        <rFont val="Arial"/>
        <family val="2"/>
      </rPr>
      <t xml:space="preserve">- Johanneskapelle - unterhalb Schloßweiher und Kössein - Sonnen-/Bahnhofstr. - Am Damm - Querung Eisenbahn - entlang Schrebergärten - Schwimmbad - Rodenzenreuth - Stehermühle - Langentheilen - Dreihäuser - Leimgruben - entlang Eisenbahn - Eisenbahndurchlass - Querung Kössein - </t>
    </r>
    <r>
      <rPr>
        <b/>
        <sz val="8"/>
        <rFont val="Arial"/>
        <family val="2"/>
      </rPr>
      <t xml:space="preserve">Ausgangspunkt
</t>
    </r>
  </si>
  <si>
    <t>Rundwanderweg Nr. 2 der GemeindeWaldershof</t>
  </si>
  <si>
    <r>
      <rPr>
        <i/>
        <sz val="8"/>
        <rFont val="Arial"/>
        <family val="2"/>
      </rPr>
      <t xml:space="preserve">Waldershof (209):
</t>
    </r>
    <r>
      <rPr>
        <b/>
        <sz val="8"/>
        <rFont val="Arial"/>
        <family val="2"/>
      </rPr>
      <t xml:space="preserve">Rathaus (Infotafel) </t>
    </r>
    <r>
      <rPr>
        <sz val="8"/>
        <rFont val="Arial"/>
        <family val="2"/>
      </rPr>
      <t xml:space="preserve">- Johanneskapelle - Querung St2177 - Neumühle - Mascher Berg - Höhe 600,6 - Walbenreuth - w Lehenbühl - Ortsrand Wolfersreuth - Sportanlage - Markt - </t>
    </r>
    <r>
      <rPr>
        <b/>
        <sz val="8"/>
        <rFont val="Arial"/>
        <family val="2"/>
      </rPr>
      <t xml:space="preserve">Ausgangspunkt
</t>
    </r>
  </si>
  <si>
    <t>Rundwanderweg Nr. 3 der GemeindeWaldershof</t>
  </si>
  <si>
    <r>
      <t xml:space="preserve">Waldershof (209):
</t>
    </r>
    <r>
      <rPr>
        <b/>
        <sz val="8"/>
        <rFont val="Arial"/>
        <family val="2"/>
      </rPr>
      <t xml:space="preserve">Waldershof </t>
    </r>
    <r>
      <rPr>
        <sz val="8"/>
        <rFont val="Arial"/>
        <family val="2"/>
      </rPr>
      <t xml:space="preserve">(Rathaus) - Bahnhofstraße - Am Damm - Kösseinebad - Rodenzenreuth - "Ho-Tschi-Minh-Pfad" - Höhe 627,8 - </t>
    </r>
    <r>
      <rPr>
        <b/>
        <sz val="8"/>
        <rFont val="Arial"/>
        <family val="2"/>
      </rPr>
      <t xml:space="preserve">Kössain
</t>
    </r>
  </si>
  <si>
    <t>Waldershof - Kössain, WegNr131, ein Markierungsabschnitt</t>
  </si>
  <si>
    <r>
      <rPr>
        <i/>
        <sz val="8"/>
        <rFont val="Arial"/>
        <family val="2"/>
      </rPr>
      <t xml:space="preserve">Weidenberg(312):
</t>
    </r>
    <r>
      <rPr>
        <b/>
        <sz val="8"/>
        <rFont val="Arial"/>
        <family val="2"/>
      </rPr>
      <t xml:space="preserve">Weidenberg (Bahnhof) </t>
    </r>
    <r>
      <rPr>
        <sz val="8"/>
        <rFont val="Arial"/>
        <family val="2"/>
      </rPr>
      <t>- Überquerung Bahngleise - Rügersberger Weg</t>
    </r>
    <r>
      <rPr>
        <b/>
        <sz val="8"/>
        <color indexed="10"/>
        <rFont val="Arial"/>
        <family val="2"/>
      </rPr>
      <t xml:space="preserve"> </t>
    </r>
    <r>
      <rPr>
        <sz val="8"/>
        <rFont val="Arial"/>
        <family val="2"/>
      </rPr>
      <t xml:space="preserve">- Heßlacher Str. - bei Höhe 467 links auf asphaltierten Feldweg - Heßlach - Gossenreuth - Ri NO - Querung Heßlachbach - Ri S entlang Auenberg - am Sandgassengraben Ri SW - Königsheidering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</si>
  <si>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Weidenberg(312):
</t>
    </r>
    <r>
      <rPr>
        <b/>
        <sz val="8"/>
        <rFont val="Arial"/>
        <family val="2"/>
      </rPr>
      <t xml:space="preserve">Weidenberg (Obermarkt) </t>
    </r>
    <r>
      <rPr>
        <sz val="8"/>
        <rFont val="Arial"/>
        <family val="2"/>
      </rPr>
      <t xml:space="preserve">- Schuhmühle - Grund - Höhe 440 - s Görschnitz - Höhe 522 - nö Breiter Berg - Höhe 561 / Querung BT 6 - Lankendorfer Berg - Höhe 571,8 - St. Stephan - Höhe 465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</si>
  <si>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Weidenberg(312):
</t>
    </r>
    <r>
      <rPr>
        <b/>
        <sz val="8"/>
        <rFont val="Arial"/>
        <family val="2"/>
      </rPr>
      <t xml:space="preserve">Weidenberg (Brunnen Rathausplatz) </t>
    </r>
    <r>
      <rPr>
        <sz val="8"/>
        <rFont val="Arial"/>
        <family val="2"/>
      </rPr>
      <t xml:space="preserve">- Obere Marktstr. - Am Kulm - Höhen 543,2 / 558 / 554,6 - Hohe Straße - w Längengefäll - entlang Bergrangen - Waizenreuther Str. - Am Alten Schloss - </t>
    </r>
    <r>
      <rPr>
        <b/>
        <sz val="8"/>
        <rFont val="Arial"/>
        <family val="2"/>
      </rPr>
      <t xml:space="preserve">Ausgangspunkt
</t>
    </r>
  </si>
  <si>
    <r>
      <t xml:space="preserve">Bayreuth (301):
</t>
    </r>
    <r>
      <rPr>
        <b/>
        <sz val="8"/>
        <rFont val="Arial"/>
        <family val="2"/>
      </rPr>
      <t>Bayreuth</t>
    </r>
    <r>
      <rPr>
        <sz val="8"/>
        <rFont val="Arial"/>
        <family val="2"/>
      </rPr>
      <t xml:space="preserve"> (Waldrand WA Skt. Georgen) - Schloss - entlang Roter Main - Skt. Johannis - Eremitage - Aichig - entlang Roter Main - Creussen - s Wasserkraut - </t>
    </r>
    <r>
      <rPr>
        <b/>
        <sz val="8"/>
        <rFont val="Arial"/>
        <family val="2"/>
      </rPr>
      <t>Rotmainquelle</t>
    </r>
    <r>
      <rPr>
        <sz val="8"/>
        <rFont val="Arial"/>
        <family val="2"/>
      </rPr>
      <t xml:space="preserve">
</t>
    </r>
  </si>
  <si>
    <t>Oberrfränkischer Jakobsweg Hof - Nürnberg,  FGV-WegNr 610, wird nur teilweise vom FGV markiert, Markierungsabschnitte 1 - ?</t>
  </si>
  <si>
    <r>
      <rPr>
        <i/>
        <sz val="8"/>
        <rFont val="Arial"/>
        <family val="2"/>
      </rPr>
      <t xml:space="preserve">Oberkotzau (404):
</t>
    </r>
    <r>
      <rPr>
        <b/>
        <sz val="8"/>
        <rFont val="Arial"/>
        <family val="2"/>
      </rPr>
      <t xml:space="preserve">Autengrün </t>
    </r>
    <r>
      <rPr>
        <sz val="8"/>
        <rFont val="Arial"/>
        <family val="2"/>
      </rPr>
      <t xml:space="preserve">- ö Hollareuth - entlang Untreubach - Eppenreuther Mühle - Querung Untreusee - Ri S - Höhe 537 - </t>
    </r>
    <r>
      <rPr>
        <b/>
        <sz val="8"/>
        <rFont val="Arial"/>
        <family val="2"/>
      </rPr>
      <t xml:space="preserve">Ausgangspunkt
</t>
    </r>
  </si>
  <si>
    <t>92
oder
94</t>
  </si>
  <si>
    <r>
      <rPr>
        <i/>
        <sz val="8"/>
        <rFont val="Arial"/>
        <family val="2"/>
      </rPr>
      <t xml:space="preserve">Münchberg (403):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Münchberg (</t>
    </r>
    <r>
      <rPr>
        <sz val="8"/>
        <rFont val="Arial"/>
        <family val="2"/>
      </rPr>
      <t xml:space="preserve">Kreuzung 300m NW Rohrbühl)  – Mechlenreuth -Kleinlosnitz – </t>
    </r>
    <r>
      <rPr>
        <b/>
        <sz val="8"/>
        <rFont val="Arial"/>
        <family val="2"/>
      </rPr>
      <t xml:space="preserve">sw Großlosnitz </t>
    </r>
    <r>
      <rPr>
        <sz val="8"/>
        <rFont val="Arial"/>
        <family val="2"/>
      </rPr>
      <t>(699947E 5558865N)</t>
    </r>
    <r>
      <rPr>
        <b/>
        <sz val="8"/>
        <rFont val="Arial"/>
        <family val="2"/>
      </rPr>
      <t xml:space="preserve">
</t>
    </r>
  </si>
  <si>
    <t>Übernahme vom FWV in Münchberg / Übergabe an FSV nahe Rotmainquelle,  FGV-WegNr 500, Markierungsabschnitte 01 - 30</t>
  </si>
  <si>
    <t>000039_001992_001996_007589_011739_V_Korr-2020_Kleinlosnitz.pdf
011739_V_Korr-2021_Muenchberg Rohrbühl</t>
  </si>
  <si>
    <t>Korrekturen durchgeführt auch im NSP</t>
  </si>
  <si>
    <r>
      <rPr>
        <i/>
        <sz val="8"/>
        <rFont val="Arial"/>
        <family val="2"/>
      </rPr>
      <t xml:space="preserve">Zell (408):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sw Großlosnitz </t>
    </r>
    <r>
      <rPr>
        <sz val="8"/>
        <rFont val="Arial"/>
        <family val="2"/>
      </rPr>
      <t xml:space="preserve">(699947E 5558865N) - Haidberg - Zell - Saalequelle </t>
    </r>
    <r>
      <rPr>
        <b/>
        <sz val="8"/>
        <rFont val="Arial"/>
        <family val="2"/>
      </rPr>
      <t>- sw Gipfelbereich Waldstein</t>
    </r>
    <r>
      <rPr>
        <sz val="8"/>
        <rFont val="Arial"/>
        <family val="2"/>
      </rPr>
      <t xml:space="preserve"> (703307E 5556111N)
</t>
    </r>
  </si>
  <si>
    <r>
      <rPr>
        <i/>
        <sz val="8"/>
        <rFont val="Arial"/>
        <family val="2"/>
      </rPr>
      <t xml:space="preserve">Münchberg (403): </t>
    </r>
    <r>
      <rPr>
        <b/>
        <sz val="8"/>
        <rFont val="Arial"/>
        <family val="2"/>
      </rPr>
      <t xml:space="preserve">
sw Gipfelbereich Waldstein </t>
    </r>
    <r>
      <rPr>
        <sz val="8"/>
        <rFont val="Arial"/>
        <family val="2"/>
      </rPr>
      <t>(703307E 5556111N)</t>
    </r>
    <r>
      <rPr>
        <b/>
        <sz val="8"/>
        <rFont val="Arial"/>
        <family val="2"/>
      </rPr>
      <t xml:space="preserve">  – </t>
    </r>
    <r>
      <rPr>
        <sz val="8"/>
        <rFont val="Arial"/>
        <family val="2"/>
      </rPr>
      <t>Gipfel - Wegstrecke -</t>
    </r>
    <r>
      <rPr>
        <b/>
        <sz val="8"/>
        <rFont val="Arial"/>
        <family val="2"/>
      </rPr>
      <t xml:space="preserve"> WUN 3 </t>
    </r>
    <r>
      <rPr>
        <sz val="8"/>
        <rFont val="Arial"/>
        <family val="2"/>
      </rPr>
      <t>(7053974E 5556313N)</t>
    </r>
    <r>
      <rPr>
        <b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</si>
  <si>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Weißenstadt (512):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WUN 3</t>
    </r>
    <r>
      <rPr>
        <sz val="8"/>
        <rFont val="Arial"/>
        <family val="2"/>
      </rPr>
      <t xml:space="preserve"> (7053974E 5556313N) - Zigeunermühle -</t>
    </r>
    <r>
      <rPr>
        <b/>
        <sz val="8"/>
        <rFont val="Arial"/>
        <family val="2"/>
      </rPr>
      <t xml:space="preserve"> Frohnlohe
</t>
    </r>
  </si>
  <si>
    <r>
      <rPr>
        <i/>
        <sz val="8"/>
        <rFont val="Arial"/>
        <family val="2"/>
      </rPr>
      <t xml:space="preserve">Kirchenlamitz (505):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Frohnlohe</t>
    </r>
    <r>
      <rPr>
        <sz val="8"/>
        <rFont val="Arial"/>
        <family val="2"/>
      </rPr>
      <t xml:space="preserve"> - Epprechtstein - Buchhaus - </t>
    </r>
    <r>
      <rPr>
        <b/>
        <sz val="8"/>
        <rFont val="Arial"/>
        <family val="2"/>
      </rPr>
      <t xml:space="preserve">St2177 </t>
    </r>
    <r>
      <rPr>
        <sz val="8"/>
        <rFont val="Arial"/>
        <family val="2"/>
      </rPr>
      <t xml:space="preserve">(711895E 5558917N)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</si>
  <si>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Niederlamitz (508): </t>
    </r>
    <r>
      <rPr>
        <sz val="8"/>
        <rFont val="Arial"/>
        <family val="2"/>
      </rPr>
      <t xml:space="preserve">
St2177 (711895E 5558917N) - Niederlamitz / Wustung - Hirschstein - Kornberg - </t>
    </r>
    <r>
      <rPr>
        <b/>
        <sz val="8"/>
        <rFont val="Arial"/>
        <family val="2"/>
      </rPr>
      <t>Forstweg</t>
    </r>
    <r>
      <rPr>
        <sz val="8"/>
        <rFont val="Arial"/>
        <family val="2"/>
      </rPr>
      <t xml:space="preserve"> sö Abhang bei Höhe 689,9
</t>
    </r>
  </si>
  <si>
    <r>
      <rPr>
        <i/>
        <sz val="8"/>
        <rFont val="Arial"/>
        <family val="2"/>
      </rPr>
      <t xml:space="preserve">Marktleuthen (507):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Forstweg </t>
    </r>
    <r>
      <rPr>
        <sz val="8"/>
        <rFont val="Arial"/>
        <family val="2"/>
      </rPr>
      <t>(sö Abhang bei Höhe 689,9) - Spielberg - Heidelheim - Langer Berg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(am Leuthenbach) - </t>
    </r>
    <r>
      <rPr>
        <b/>
        <sz val="8"/>
        <rFont val="Arial"/>
        <family val="2"/>
      </rPr>
      <t>Schwarzenhammer</t>
    </r>
    <r>
      <rPr>
        <sz val="8"/>
        <rFont val="Arial"/>
        <family val="2"/>
      </rPr>
      <t xml:space="preserve"> (Einmündung B15)
</t>
    </r>
  </si>
  <si>
    <r>
      <rPr>
        <i/>
        <sz val="8"/>
        <rFont val="Arial"/>
        <family val="2"/>
      </rPr>
      <t xml:space="preserve">Thierstein (110):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Schwarzenhammer</t>
    </r>
    <r>
      <rPr>
        <sz val="8"/>
        <rFont val="Arial"/>
        <family val="2"/>
      </rPr>
      <t xml:space="preserve"> (Einmündung B15) -  Hendelhammer - Leupoldshammer - </t>
    </r>
    <r>
      <rPr>
        <b/>
        <sz val="8"/>
        <rFont val="Arial"/>
        <family val="2"/>
      </rPr>
      <t>ö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Wellerthal </t>
    </r>
    <r>
      <rPr>
        <sz val="8"/>
        <rFont val="Arial"/>
        <family val="2"/>
      </rPr>
      <t xml:space="preserve">(Egerbrücke/Parkplatz)
</t>
    </r>
  </si>
  <si>
    <r>
      <rPr>
        <i/>
        <sz val="8"/>
        <rFont val="Arial"/>
        <family val="2"/>
      </rPr>
      <t>Hohenberg (111):</t>
    </r>
    <r>
      <rPr>
        <sz val="8"/>
        <rFont val="Arial"/>
        <family val="2"/>
      </rPr>
      <t xml:space="preserve"> 
</t>
    </r>
    <r>
      <rPr>
        <b/>
        <sz val="8"/>
        <rFont val="Arial"/>
        <family val="2"/>
      </rPr>
      <t xml:space="preserve">ö Wellerthal </t>
    </r>
    <r>
      <rPr>
        <sz val="8"/>
        <rFont val="Arial"/>
        <family val="2"/>
      </rPr>
      <t xml:space="preserve">(Egerbrücke/Parkplatz) - </t>
    </r>
    <r>
      <rPr>
        <b/>
        <sz val="8"/>
        <rFont val="Arial"/>
        <family val="2"/>
      </rPr>
      <t xml:space="preserve">Neuhaus a.d. Eger </t>
    </r>
    <r>
      <rPr>
        <sz val="8"/>
        <rFont val="Arial"/>
        <family val="2"/>
      </rPr>
      <t>(WUN 4)</t>
    </r>
    <r>
      <rPr>
        <b/>
        <sz val="8"/>
        <rFont val="Arial"/>
        <family val="2"/>
      </rPr>
      <t/>
    </r>
  </si>
  <si>
    <r>
      <t xml:space="preserve">Arzberg (101): 
</t>
    </r>
    <r>
      <rPr>
        <b/>
        <sz val="8"/>
        <rFont val="Arial"/>
        <family val="2"/>
      </rPr>
      <t>Neuhaus a.d. Eger</t>
    </r>
    <r>
      <rPr>
        <sz val="8"/>
        <rFont val="Arial"/>
        <family val="2"/>
      </rPr>
      <t xml:space="preserve"> (WUN 4) - Steinhäuser - </t>
    </r>
    <r>
      <rPr>
        <b/>
        <sz val="8"/>
        <rFont val="Arial"/>
        <family val="2"/>
      </rPr>
      <t>Einmündung Eichenallee</t>
    </r>
    <r>
      <rPr>
        <sz val="8"/>
        <rFont val="Arial"/>
        <family val="2"/>
      </rPr>
      <t xml:space="preserve"> (33 N, 297948E, 5551935N)</t>
    </r>
    <r>
      <rPr>
        <i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</si>
  <si>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Thiersheim (109):</t>
    </r>
    <r>
      <rPr>
        <sz val="8"/>
        <rFont val="Arial"/>
        <family val="2"/>
      </rPr>
      <t xml:space="preserve"> 
</t>
    </r>
    <r>
      <rPr>
        <b/>
        <sz val="8"/>
        <rFont val="Arial"/>
        <family val="2"/>
      </rPr>
      <t xml:space="preserve">Einmündung Eichenallee </t>
    </r>
    <r>
      <rPr>
        <sz val="8"/>
        <rFont val="Arial"/>
        <family val="2"/>
      </rPr>
      <t>(33 N, 297948E, 5551935N) - Kothigenbibersbach - Karlmühle</t>
    </r>
    <r>
      <rPr>
        <b/>
        <sz val="8"/>
        <rFont val="Arial"/>
        <family val="2"/>
      </rPr>
      <t xml:space="preserve"> - Bergnersreuth</t>
    </r>
    <r>
      <rPr>
        <sz val="8"/>
        <rFont val="Arial"/>
        <family val="2"/>
      </rPr>
      <t xml:space="preserve"> (Parkplatz Gerätemuseum)
</t>
    </r>
    <r>
      <rPr>
        <b/>
        <sz val="8"/>
        <rFont val="Arial"/>
        <family val="2"/>
      </rPr>
      <t/>
    </r>
  </si>
  <si>
    <r>
      <t xml:space="preserve">Arzberg (101): 
</t>
    </r>
    <r>
      <rPr>
        <b/>
        <sz val="8"/>
        <rFont val="Arial"/>
        <family val="2"/>
      </rPr>
      <t>Bergnersreuth</t>
    </r>
    <r>
      <rPr>
        <sz val="8"/>
        <rFont val="Arial"/>
        <family val="2"/>
      </rPr>
      <t xml:space="preserve"> (Parkplatz Gerätemusuem) - Röthenbach - Gsteinigt - Kohlberg - Siebenlindenberg - Preußensteine - </t>
    </r>
    <r>
      <rPr>
        <b/>
        <sz val="8"/>
        <rFont val="Arial"/>
        <family val="2"/>
      </rPr>
      <t>s Kappl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</si>
  <si>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Arzberg (101:)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s Kappl </t>
    </r>
    <r>
      <rPr>
        <sz val="8"/>
        <rFont val="Arial"/>
        <family val="2"/>
      </rPr>
      <t xml:space="preserve">- </t>
    </r>
    <r>
      <rPr>
        <b/>
        <sz val="8"/>
        <rFont val="Arial"/>
        <family val="2"/>
      </rPr>
      <t xml:space="preserve">Waldsassen </t>
    </r>
    <r>
      <rPr>
        <sz val="8"/>
        <rFont val="Arial"/>
        <family val="2"/>
      </rPr>
      <t>(Goetheplatz/Kirchenstr.)</t>
    </r>
    <r>
      <rPr>
        <b/>
        <sz val="8"/>
        <rFont val="Arial"/>
        <family val="2"/>
      </rPr>
      <t xml:space="preserve">
</t>
    </r>
  </si>
  <si>
    <r>
      <t xml:space="preserve">Arzberg (101)
</t>
    </r>
    <r>
      <rPr>
        <b/>
        <sz val="8"/>
        <rFont val="Arial"/>
        <family val="2"/>
      </rPr>
      <t>Waldsassen</t>
    </r>
    <r>
      <rPr>
        <sz val="8"/>
        <rFont val="Arial"/>
        <family val="2"/>
      </rPr>
      <t xml:space="preserve"> (Goetheplatz/Kirchenstr.) - Altenhammer - Steinmühle - Gulg - </t>
    </r>
    <r>
      <rPr>
        <b/>
        <sz val="8"/>
        <rFont val="Arial"/>
        <family val="2"/>
      </rPr>
      <t>Großbüchlberg</t>
    </r>
    <r>
      <rPr>
        <i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</si>
  <si>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 xml:space="preserve">Marktredwitz (203):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Großbüchlberg</t>
    </r>
    <r>
      <rPr>
        <sz val="8"/>
        <rFont val="Arial"/>
        <family val="2"/>
      </rPr>
      <t xml:space="preserve"> - Rote Marter - Oberteicher Bühl - Teichlberg - Hurtingöd – </t>
    </r>
    <r>
      <rPr>
        <b/>
        <sz val="8"/>
        <rFont val="Arial"/>
        <family val="2"/>
      </rPr>
      <t xml:space="preserve">Fuchsmühl
</t>
    </r>
  </si>
  <si>
    <r>
      <rPr>
        <i/>
        <sz val="8"/>
        <rFont val="Arial"/>
        <family val="2"/>
      </rPr>
      <t xml:space="preserve">Waldershof (209):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Fuchsmühl</t>
    </r>
    <r>
      <rPr>
        <sz val="8"/>
        <rFont val="Arial"/>
        <family val="2"/>
      </rPr>
      <t xml:space="preserve"> - Hackelstein - Weißenstein - </t>
    </r>
    <r>
      <rPr>
        <b/>
        <sz val="8"/>
        <rFont val="Arial"/>
        <family val="2"/>
      </rPr>
      <t xml:space="preserve">Platte/Steinwald
</t>
    </r>
  </si>
  <si>
    <r>
      <rPr>
        <i/>
        <sz val="8"/>
        <rFont val="Arial"/>
        <family val="2"/>
      </rPr>
      <t xml:space="preserve">Pullenreuth (207):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Platte/Steinwald</t>
    </r>
    <r>
      <rPr>
        <sz val="8"/>
        <rFont val="Arial"/>
        <family val="2"/>
      </rPr>
      <t xml:space="preserve"> - Glasschleif - Pullenreuth - </t>
    </r>
    <r>
      <rPr>
        <b/>
        <sz val="8"/>
        <rFont val="Arial"/>
        <family val="2"/>
      </rPr>
      <t xml:space="preserve">Neusorg </t>
    </r>
    <r>
      <rPr>
        <sz val="8"/>
        <rFont val="Arial"/>
        <family val="2"/>
      </rPr>
      <t>(Bahnbrücke)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</si>
  <si>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Neusorg (205): </t>
    </r>
    <r>
      <rPr>
        <b/>
        <sz val="8"/>
        <rFont val="Arial"/>
        <family val="2"/>
      </rPr>
      <t xml:space="preserve">
Neusorg </t>
    </r>
    <r>
      <rPr>
        <sz val="8"/>
        <rFont val="Arial"/>
        <family val="2"/>
      </rPr>
      <t xml:space="preserve">(Bahnbrücke) - Höllbachtal - Schwarzenreuth - </t>
    </r>
    <r>
      <rPr>
        <b/>
        <sz val="8"/>
        <rFont val="Arial"/>
        <family val="2"/>
      </rPr>
      <t xml:space="preserve">Ebnath/Kalvarienberg </t>
    </r>
    <r>
      <rPr>
        <sz val="8"/>
        <rFont val="Arial"/>
        <family val="2"/>
      </rPr>
      <t xml:space="preserve">(Kapelle)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</si>
  <si>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Ebnath (201): </t>
    </r>
    <r>
      <rPr>
        <b/>
        <sz val="8"/>
        <rFont val="Arial"/>
        <family val="2"/>
      </rPr>
      <t xml:space="preserve">
Ebnath/Kalvarienberg</t>
    </r>
    <r>
      <rPr>
        <sz val="8"/>
        <rFont val="Arial"/>
        <family val="2"/>
      </rPr>
      <t xml:space="preserve"> (Kapelle) - </t>
    </r>
    <r>
      <rPr>
        <b/>
        <sz val="8"/>
        <rFont val="Arial"/>
        <family val="2"/>
      </rPr>
      <t>Wegkreuzung nahe Hirschbrunnen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</si>
  <si>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Wunsiedel (513): </t>
    </r>
    <r>
      <rPr>
        <b/>
        <sz val="8"/>
        <rFont val="Arial"/>
        <family val="2"/>
      </rPr>
      <t xml:space="preserve">
Wegkreuzung nahe Hirschbrunnen</t>
    </r>
    <r>
      <rPr>
        <sz val="8"/>
        <rFont val="Arial"/>
        <family val="2"/>
      </rPr>
      <t xml:space="preserve"> - Kösseine - Haberstein - Burgstein - Kaiserfelsen - Luisenburg - </t>
    </r>
    <r>
      <rPr>
        <b/>
        <sz val="8"/>
        <rFont val="Arial"/>
        <family val="2"/>
      </rPr>
      <t xml:space="preserve">Wegkreuzng nw Kösseinegipfel  </t>
    </r>
    <r>
      <rPr>
        <sz val="8"/>
        <rFont val="Arial"/>
        <family val="2"/>
      </rPr>
      <t xml:space="preserve">(713324E, 5542306N)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</si>
  <si>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>Nagel (204 ):</t>
    </r>
    <r>
      <rPr>
        <b/>
        <sz val="8"/>
        <rFont val="Arial"/>
        <family val="2"/>
      </rPr>
      <t xml:space="preserve">
Wegkreuzung nw Kösseinegipfel  </t>
    </r>
    <r>
      <rPr>
        <sz val="8"/>
        <rFont val="Arial"/>
        <family val="2"/>
      </rPr>
      <t xml:space="preserve"> (713324E, 5542306N)
 - Reichenbach - Mühlbühl - Nagel - </t>
    </r>
    <r>
      <rPr>
        <b/>
        <sz val="8"/>
        <rFont val="Arial"/>
        <family val="2"/>
      </rPr>
      <t xml:space="preserve">Girgelhöhle </t>
    </r>
    <r>
      <rPr>
        <sz val="8"/>
        <rFont val="Arial"/>
        <family val="2"/>
      </rPr>
      <t xml:space="preserve">(Wegegabelung)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</si>
  <si>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Tröstau (510): </t>
    </r>
    <r>
      <rPr>
        <b/>
        <sz val="8"/>
        <rFont val="Arial"/>
        <family val="2"/>
      </rPr>
      <t xml:space="preserve">
Girgelhöhle</t>
    </r>
    <r>
      <rPr>
        <sz val="8"/>
        <rFont val="Arial"/>
        <family val="2"/>
      </rPr>
      <t xml:space="preserve"> (Wegegabelung) - Prinzenfels - </t>
    </r>
    <r>
      <rPr>
        <b/>
        <sz val="8"/>
        <rFont val="Arial"/>
        <family val="2"/>
      </rPr>
      <t>Silberhaus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</si>
  <si>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Vordorf (511): </t>
    </r>
    <r>
      <rPr>
        <b/>
        <sz val="8"/>
        <rFont val="Arial"/>
        <family val="2"/>
      </rPr>
      <t xml:space="preserve">
Silberhaus</t>
    </r>
    <r>
      <rPr>
        <sz val="8"/>
        <rFont val="Arial"/>
        <family val="2"/>
      </rPr>
      <t xml:space="preserve"> - Pltte - Seehaus - Nußhardt - Schneeberg -</t>
    </r>
    <r>
      <rPr>
        <b/>
        <sz val="8"/>
        <rFont val="Arial"/>
        <family val="2"/>
      </rPr>
      <t xml:space="preserve"> Schneebergbrunnen
</t>
    </r>
  </si>
  <si>
    <r>
      <rPr>
        <i/>
        <sz val="8"/>
        <rFont val="Arial"/>
        <family val="2"/>
      </rPr>
      <t xml:space="preserve">Fichtelberg (304): </t>
    </r>
    <r>
      <rPr>
        <b/>
        <sz val="8"/>
        <rFont val="Arial"/>
        <family val="2"/>
      </rPr>
      <t xml:space="preserve">
Schneebergbrunnen</t>
    </r>
    <r>
      <rPr>
        <sz val="8"/>
        <rFont val="Arial"/>
        <family val="2"/>
      </rPr>
      <t xml:space="preserve"> - Haberstein - B303 - Fichtelsee - Neubau - Fichtelnaabquelle - </t>
    </r>
    <r>
      <rPr>
        <b/>
        <sz val="8"/>
        <rFont val="Arial"/>
        <family val="2"/>
      </rPr>
      <t>s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Weißmainfels</t>
    </r>
    <r>
      <rPr>
        <sz val="8"/>
        <rFont val="Arial"/>
        <family val="2"/>
      </rPr>
      <t xml:space="preserve"> (Wegkreuzung)
</t>
    </r>
    <r>
      <rPr>
        <b/>
        <sz val="8"/>
        <rFont val="Arial"/>
        <family val="2"/>
      </rPr>
      <t/>
    </r>
  </si>
  <si>
    <t>011739_V_Korr-2021_Neubau</t>
  </si>
  <si>
    <t>Nuer Wegverlauf westlch Fichtelsee, nach Einarbietung LDBV Wegverlauf kontrollieren
(Günter, 07.06.2021)</t>
  </si>
  <si>
    <r>
      <rPr>
        <i/>
        <sz val="8"/>
        <rFont val="Arial"/>
        <family val="2"/>
      </rPr>
      <t xml:space="preserve">Bischofsgrün (303): </t>
    </r>
    <r>
      <rPr>
        <b/>
        <sz val="8"/>
        <rFont val="Arial"/>
        <family val="2"/>
      </rPr>
      <t xml:space="preserve">
s Weißmainfels</t>
    </r>
    <r>
      <rPr>
        <sz val="8"/>
        <rFont val="Arial"/>
        <family val="2"/>
      </rPr>
      <t xml:space="preserve"> (Wegkreuzung) - Ochsenkopf - Reißingerbrunnen - Bischofsgrün - BT4 - </t>
    </r>
    <r>
      <rPr>
        <b/>
        <sz val="8"/>
        <rFont val="Arial"/>
        <family val="2"/>
      </rPr>
      <t>Wegegabel n Moosbach / Höhe 730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/>
    </r>
  </si>
  <si>
    <t>Temporär geänderter Verlauf !!! Nicht in DB und NSP übernommen !! (2019-2020/21)</t>
  </si>
  <si>
    <r>
      <rPr>
        <i/>
        <sz val="8"/>
        <rFont val="Arial"/>
        <family val="2"/>
      </rPr>
      <t xml:space="preserve">Warmensteinach (311): </t>
    </r>
    <r>
      <rPr>
        <b/>
        <sz val="8"/>
        <rFont val="Arial"/>
        <family val="2"/>
      </rPr>
      <t xml:space="preserve">
Wegegabel n Moosbach / Höhe 730 - Wegegabelung n Eselsbrunnen / Höhe 773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</si>
  <si>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Goldkronach (305):  </t>
    </r>
    <r>
      <rPr>
        <b/>
        <sz val="8"/>
        <rFont val="Arial"/>
        <family val="2"/>
      </rPr>
      <t xml:space="preserve">
Wegegabelung n Eselsbrunnen - w Fürstenstein</t>
    </r>
    <r>
      <rPr>
        <sz val="8"/>
        <rFont val="Arial"/>
        <family val="2"/>
      </rPr>
      <t xml:space="preserve"> </t>
    </r>
  </si>
  <si>
    <r>
      <rPr>
        <i/>
        <sz val="8"/>
        <rFont val="Arial"/>
        <family val="2"/>
      </rPr>
      <t xml:space="preserve">Nemmersdorf (307):  </t>
    </r>
    <r>
      <rPr>
        <b/>
        <sz val="8"/>
        <rFont val="Arial"/>
        <family val="2"/>
      </rPr>
      <t xml:space="preserve">
w Fürstenstein</t>
    </r>
    <r>
      <rPr>
        <sz val="8"/>
        <rFont val="Arial"/>
        <family val="2"/>
      </rPr>
      <t xml:space="preserve"> - Sickenreuth - Goldener Hirsch - BT12 - </t>
    </r>
    <r>
      <rPr>
        <b/>
        <sz val="8"/>
        <rFont val="Arial"/>
        <family val="2"/>
      </rPr>
      <t xml:space="preserve">Untersteinach </t>
    </r>
    <r>
      <rPr>
        <sz val="8"/>
        <rFont val="Arial"/>
        <family val="2"/>
      </rPr>
      <t xml:space="preserve">(St2181)
</t>
    </r>
  </si>
  <si>
    <r>
      <rPr>
        <i/>
        <sz val="8"/>
        <rFont val="Arial"/>
        <family val="2"/>
      </rPr>
      <t xml:space="preserve">Weidenberg (312): </t>
    </r>
    <r>
      <rPr>
        <b/>
        <sz val="8"/>
        <rFont val="Arial"/>
        <family val="2"/>
      </rPr>
      <t xml:space="preserve">
Untersteinach </t>
    </r>
    <r>
      <rPr>
        <sz val="8"/>
        <rFont val="Arial"/>
        <family val="2"/>
      </rPr>
      <t xml:space="preserve">(St2181) - Döhlau - </t>
    </r>
    <r>
      <rPr>
        <b/>
        <sz val="8"/>
        <rFont val="Arial"/>
        <family val="2"/>
      </rPr>
      <t xml:space="preserve">Höflas
</t>
    </r>
  </si>
  <si>
    <r>
      <rPr>
        <i/>
        <sz val="8"/>
        <rFont val="Arial"/>
        <family val="2"/>
      </rPr>
      <t xml:space="preserve">Bayreuth (301): </t>
    </r>
    <r>
      <rPr>
        <b/>
        <sz val="8"/>
        <rFont val="Arial"/>
        <family val="2"/>
      </rPr>
      <t xml:space="preserve">
Höflas</t>
    </r>
    <r>
      <rPr>
        <sz val="8"/>
        <rFont val="Arial"/>
        <family val="2"/>
      </rPr>
      <t xml:space="preserve"> - Rodersberg - Eremitage - Aichig - Schlehenmühle - Eimersmühle - Hagenohe - Creussen – </t>
    </r>
    <r>
      <rPr>
        <b/>
        <sz val="8"/>
        <rFont val="Arial"/>
        <family val="2"/>
      </rPr>
      <t xml:space="preserve">Rotmainquelle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</si>
  <si>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Brücke am Bahnhof</t>
    </r>
    <r>
      <rPr>
        <sz val="8"/>
        <rFont val="Arial"/>
        <family val="2"/>
      </rPr>
      <t xml:space="preserve"> - Oststr. - entlang Eisenbahn - Sportplatz - Grünhaid - Neuenbrand - Oststr.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</si>
  <si>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Brücke am Bahnhof</t>
    </r>
    <r>
      <rPr>
        <sz val="8"/>
        <rFont val="Arial"/>
        <family val="2"/>
      </rPr>
      <t xml:space="preserve"> - Peuntstraße - Querung und entlang  BAB93 - Reichenbach - WA Selber Holz - Plößberg - Plößberger Peuntstr. - Querung Stockbach - entlang und Querung BAB93 - </t>
    </r>
    <r>
      <rPr>
        <b/>
        <sz val="8"/>
        <rFont val="Arial"/>
        <family val="2"/>
      </rPr>
      <t>Ausgangspunkt</t>
    </r>
  </si>
  <si>
    <t>93
oder
95</t>
  </si>
  <si>
    <t>Zubringer-FGW</t>
  </si>
  <si>
    <r>
      <rPr>
        <i/>
        <sz val="8"/>
        <rFont val="Arial"/>
        <family val="2"/>
      </rPr>
      <t>Nemmersdorf (305):</t>
    </r>
    <r>
      <rPr>
        <b/>
        <sz val="8"/>
        <rFont val="Arial"/>
        <family val="2"/>
      </rPr>
      <t xml:space="preserve">
Goldkronach</t>
    </r>
    <r>
      <rPr>
        <sz val="8"/>
        <rFont val="Arial"/>
        <family val="2"/>
      </rPr>
      <t xml:space="preserve"> - Sickenreuth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</si>
  <si>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Bad Berneck (302):</t>
    </r>
    <r>
      <rPr>
        <b/>
        <sz val="8"/>
        <rFont val="Arial"/>
        <family val="2"/>
      </rPr>
      <t xml:space="preserve">
Bad Berneck</t>
    </r>
    <r>
      <rPr>
        <sz val="8"/>
        <rFont val="Arial"/>
        <family val="2"/>
      </rPr>
      <t xml:space="preserve"> - Goldmühl - Brandholz -  Fürstenstein -</t>
    </r>
    <r>
      <rPr>
        <b/>
        <sz val="8"/>
        <rFont val="Arial"/>
        <family val="2"/>
      </rPr>
      <t xml:space="preserve"> FGW</t>
    </r>
  </si>
  <si>
    <r>
      <rPr>
        <i/>
        <sz val="8"/>
        <rFont val="Arial"/>
        <family val="2"/>
      </rPr>
      <t>Waldershof (209):</t>
    </r>
    <r>
      <rPr>
        <b/>
        <sz val="8"/>
        <rFont val="Arial"/>
        <family val="2"/>
      </rPr>
      <t xml:space="preserve">
Waldershof</t>
    </r>
    <r>
      <rPr>
        <sz val="8"/>
        <rFont val="Arial"/>
        <family val="2"/>
      </rPr>
      <t xml:space="preserve"> - Mascher Berg - Kaltenlohe - Marktredwitzer Haus - Weißenstein - </t>
    </r>
    <r>
      <rPr>
        <b/>
        <sz val="8"/>
        <rFont val="Arial"/>
        <family val="2"/>
      </rPr>
      <t xml:space="preserve">FGW 
</t>
    </r>
  </si>
  <si>
    <t>Zuweg zum Fränkischen Gebirgsweg von  Waldershof</t>
  </si>
  <si>
    <r>
      <rPr>
        <i/>
        <sz val="8"/>
        <rFont val="Arial"/>
        <family val="2"/>
      </rPr>
      <t>Waldershof (209):</t>
    </r>
    <r>
      <rPr>
        <b/>
        <sz val="8"/>
        <rFont val="Arial"/>
        <family val="2"/>
      </rPr>
      <t xml:space="preserve">
Marktredwitzer Haus</t>
    </r>
    <r>
      <rPr>
        <sz val="8"/>
        <rFont val="Arial"/>
        <family val="2"/>
      </rPr>
      <t xml:space="preserve"> - Plößberg - </t>
    </r>
    <r>
      <rPr>
        <b/>
        <sz val="8"/>
        <rFont val="Arial"/>
        <family val="2"/>
      </rPr>
      <t>FGW</t>
    </r>
  </si>
  <si>
    <t>Zuwege zum Fränkischen Gebirgsweg vom Marktredwitzer Haus</t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</si>
  <si>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Bad Alexandersbad</t>
    </r>
    <r>
      <rPr>
        <sz val="8"/>
        <rFont val="Arial"/>
        <family val="2"/>
      </rPr>
      <t xml:space="preserve"> - Luisenburgallee - Luisenburg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</si>
  <si>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Thiersheim (109):</t>
    </r>
    <r>
      <rPr>
        <b/>
        <sz val="8"/>
        <rFont val="Arial"/>
        <family val="2"/>
      </rPr>
      <t xml:space="preserve">
Thiersheim </t>
    </r>
    <r>
      <rPr>
        <sz val="8"/>
        <rFont val="Arial"/>
        <family val="2"/>
      </rPr>
      <t xml:space="preserve">- Mittelmühle - Bergnersreuth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</si>
  <si>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Neusorg (205):</t>
    </r>
    <r>
      <rPr>
        <b/>
        <sz val="8"/>
        <rFont val="Arial"/>
        <family val="2"/>
      </rPr>
      <t xml:space="preserve">
Neusorg</t>
    </r>
    <r>
      <rPr>
        <sz val="8"/>
        <rFont val="Arial"/>
        <family val="2"/>
      </rPr>
      <t xml:space="preserve"> - Bärenrangen - </t>
    </r>
    <r>
      <rPr>
        <b/>
        <sz val="8"/>
        <rFont val="Arial"/>
        <family val="2"/>
      </rPr>
      <t>FGW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Variante: </t>
    </r>
    <r>
      <rPr>
        <sz val="8"/>
        <rFont val="Arial"/>
        <family val="2"/>
      </rPr>
      <t xml:space="preserve">über Denkmal Erbfolgelkrieg - </t>
    </r>
    <r>
      <rPr>
        <b/>
        <sz val="8"/>
        <rFont val="Arial"/>
        <family val="2"/>
      </rPr>
      <t xml:space="preserve">FGW
</t>
    </r>
  </si>
  <si>
    <r>
      <rPr>
        <i/>
        <sz val="8"/>
        <rFont val="Arial"/>
        <family val="2"/>
      </rPr>
      <t>Tröstau (510):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Tröstau </t>
    </r>
    <r>
      <rPr>
        <sz val="8"/>
        <rFont val="Arial"/>
        <family val="2"/>
      </rPr>
      <t xml:space="preserve">- Hohe Matze - Girglstein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</si>
  <si>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Tröstau (510):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Tröstau</t>
    </r>
    <r>
      <rPr>
        <sz val="8"/>
        <rFont val="Arial"/>
        <family val="2"/>
      </rPr>
      <t xml:space="preserve"> - Neuenhammer - Silberhaus - </t>
    </r>
    <r>
      <rPr>
        <b/>
        <sz val="8"/>
        <rFont val="Arial"/>
        <family val="2"/>
      </rPr>
      <t xml:space="preserve">FGW
</t>
    </r>
  </si>
  <si>
    <r>
      <rPr>
        <i/>
        <sz val="8"/>
        <rFont val="Arial"/>
        <family val="2"/>
      </rPr>
      <t>Tröstau (510):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Tröstau </t>
    </r>
    <r>
      <rPr>
        <sz val="8"/>
        <rFont val="Arial"/>
        <family val="2"/>
      </rPr>
      <t xml:space="preserve">- Fahrenbach - Kösseine - </t>
    </r>
    <r>
      <rPr>
        <b/>
        <sz val="8"/>
        <rFont val="Arial"/>
        <family val="2"/>
      </rPr>
      <t>FGW</t>
    </r>
    <r>
      <rPr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</si>
  <si>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Ebnath (201):</t>
    </r>
    <r>
      <rPr>
        <b/>
        <sz val="8"/>
        <rFont val="Arial"/>
        <family val="2"/>
      </rPr>
      <t xml:space="preserve">
Ebnath</t>
    </r>
    <r>
      <rPr>
        <sz val="8"/>
        <rFont val="Arial"/>
        <family val="2"/>
      </rPr>
      <t xml:space="preserve"> - Richtung Kalvarienberg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</si>
  <si>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Brand (206):</t>
    </r>
    <r>
      <rPr>
        <b/>
        <sz val="8"/>
        <rFont val="Arial"/>
        <family val="2"/>
      </rPr>
      <t xml:space="preserve">
Brand </t>
    </r>
    <r>
      <rPr>
        <sz val="8"/>
        <rFont val="Arial"/>
        <family val="2"/>
      </rPr>
      <t xml:space="preserve">- Bernlohe - Krögnitztal - Nagel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</si>
  <si>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Hohenberg (111):</t>
    </r>
    <r>
      <rPr>
        <b/>
        <sz val="8"/>
        <rFont val="Arial"/>
        <family val="2"/>
      </rPr>
      <t xml:space="preserve">
Hohenberg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 xml:space="preserve">ST 2174 </t>
    </r>
    <r>
      <rPr>
        <sz val="8"/>
        <rFont val="Arial"/>
        <family val="2"/>
      </rPr>
      <t>(B 303)</t>
    </r>
    <r>
      <rPr>
        <b/>
        <sz val="8"/>
        <rFont val="Arial"/>
        <family val="2"/>
      </rPr>
      <t xml:space="preserve">
</t>
    </r>
  </si>
  <si>
    <t>Zuwege zum Fränkischen Gebirgsweg von Hohenberg,   FGV-WegNr 513b, Markierungsabschnitte 1 - 3</t>
  </si>
  <si>
    <r>
      <rPr>
        <i/>
        <sz val="8"/>
        <rFont val="Arial"/>
        <family val="2"/>
      </rPr>
      <t>Schirnding (104):</t>
    </r>
    <r>
      <rPr>
        <b/>
        <sz val="8"/>
        <rFont val="Arial"/>
        <family val="2"/>
      </rPr>
      <t xml:space="preserve">
ST 2174</t>
    </r>
    <r>
      <rPr>
        <sz val="8"/>
        <rFont val="Arial"/>
        <family val="2"/>
      </rPr>
      <t xml:space="preserve"> (B 303) - Schirnding - </t>
    </r>
    <r>
      <rPr>
        <b/>
        <sz val="8"/>
        <rFont val="Arial"/>
        <family val="2"/>
      </rPr>
      <t xml:space="preserve">Oschwitz
</t>
    </r>
  </si>
  <si>
    <r>
      <t xml:space="preserve">Arzberg (101):
</t>
    </r>
    <r>
      <rPr>
        <b/>
        <sz val="8"/>
        <rFont val="Arial"/>
        <family val="2"/>
      </rPr>
      <t>Oschwitz</t>
    </r>
    <r>
      <rPr>
        <sz val="8"/>
        <rFont val="Arial"/>
        <family val="2"/>
      </rPr>
      <t xml:space="preserve"> - Kläranlage - Arzberg - Humboldtstr. - Wiesenmühle -</t>
    </r>
    <r>
      <rPr>
        <b/>
        <sz val="8"/>
        <rFont val="Arial"/>
        <family val="2"/>
      </rPr>
      <t xml:space="preserve"> FGW</t>
    </r>
  </si>
  <si>
    <r>
      <rPr>
        <i/>
        <sz val="8"/>
        <rFont val="Arial"/>
        <family val="2"/>
      </rPr>
      <t>Hohenberg (111):</t>
    </r>
    <r>
      <rPr>
        <b/>
        <sz val="8"/>
        <rFont val="Arial"/>
        <family val="2"/>
      </rPr>
      <t xml:space="preserve">
Hohenberg </t>
    </r>
    <r>
      <rPr>
        <sz val="8"/>
        <rFont val="Arial"/>
        <family val="2"/>
      </rPr>
      <t xml:space="preserve">- Heiligenberg - Höhe 606 - s Basalthügel -Steinhäuser -  </t>
    </r>
    <r>
      <rPr>
        <b/>
        <sz val="8"/>
        <rFont val="Arial"/>
        <family val="2"/>
      </rPr>
      <t xml:space="preserve">FGW
</t>
    </r>
  </si>
  <si>
    <t>Zuwege zum Fränkischen Gebirgsweg von Hohenberg,   FGV-WegNr 513a, ein Markierungsabschnitt</t>
  </si>
  <si>
    <r>
      <rPr>
        <i/>
        <sz val="8"/>
        <rFont val="Arial"/>
        <family val="2"/>
      </rPr>
      <t>Marktleuthen (507):</t>
    </r>
    <r>
      <rPr>
        <b/>
        <sz val="8"/>
        <rFont val="Arial"/>
        <family val="2"/>
      </rPr>
      <t xml:space="preserve">
Marktleuthener Haus</t>
    </r>
    <r>
      <rPr>
        <sz val="8"/>
        <rFont val="Arial"/>
        <family val="2"/>
      </rPr>
      <t xml:space="preserve"> - Wendenhammer - Kaiserhammer Forst (Rondell) - </t>
    </r>
    <r>
      <rPr>
        <b/>
        <sz val="8"/>
        <rFont val="Arial"/>
        <family val="2"/>
      </rPr>
      <t xml:space="preserve">FGW
</t>
    </r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</si>
  <si>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Selb</t>
    </r>
    <r>
      <rPr>
        <sz val="8"/>
        <rFont val="Arial"/>
        <family val="2"/>
      </rPr>
      <t xml:space="preserve">/Eisstadion - FGW, </t>
    </r>
    <r>
      <rPr>
        <b/>
        <sz val="8"/>
        <rFont val="Arial"/>
        <family val="2"/>
      </rPr>
      <t>Variante:</t>
    </r>
    <r>
      <rPr>
        <sz val="8"/>
        <rFont val="Arial"/>
        <family val="2"/>
      </rPr>
      <t xml:space="preserve"> Wunsiedler Weiher - Hoher Stein - Leupoldshammer- FGW
</t>
    </r>
  </si>
  <si>
    <t>Zuwege zum Fränkischen Gebirgsweg von Selb</t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</si>
  <si>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Selb</t>
    </r>
    <r>
      <rPr>
        <sz val="8"/>
        <rFont val="Arial"/>
        <family val="2"/>
      </rPr>
      <t xml:space="preserve">/Eisstadion - Wunsiedler Weiher - w Buchenbühl - Wellerthal - FGW
</t>
    </r>
  </si>
  <si>
    <r>
      <rPr>
        <i/>
        <sz val="8"/>
        <rFont val="Arial"/>
        <family val="2"/>
      </rPr>
      <t>Thierstein (110):</t>
    </r>
    <r>
      <rPr>
        <b/>
        <sz val="8"/>
        <rFont val="Arial"/>
        <family val="2"/>
      </rPr>
      <t xml:space="preserve">
Thierstein</t>
    </r>
    <r>
      <rPr>
        <sz val="8"/>
        <rFont val="Arial"/>
        <family val="2"/>
      </rPr>
      <t xml:space="preserve"> - Ziegelhütte - Leupoldshammer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</si>
  <si>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Schwarzenbach/Saale (406):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Schwarzenbach</t>
    </r>
    <r>
      <rPr>
        <sz val="8"/>
        <rFont val="Arial"/>
        <family val="2"/>
      </rPr>
      <t xml:space="preserve"> - Martinlamitz - Hauknock - </t>
    </r>
    <r>
      <rPr>
        <b/>
        <sz val="8"/>
        <rFont val="Arial"/>
        <family val="2"/>
      </rPr>
      <t xml:space="preserve">Großer Kornberg (Ringweg)
</t>
    </r>
  </si>
  <si>
    <r>
      <rPr>
        <i/>
        <sz val="8"/>
        <rFont val="Arial"/>
        <family val="2"/>
      </rPr>
      <t>Niederlamitz (508):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Großer Kornberg (Ringweg)</t>
    </r>
    <r>
      <rPr>
        <sz val="8"/>
        <rFont val="Arial"/>
        <family val="2"/>
      </rPr>
      <t xml:space="preserve"> -</t>
    </r>
    <r>
      <rPr>
        <b/>
        <sz val="8"/>
        <rFont val="Arial"/>
        <family val="2"/>
      </rPr>
      <t xml:space="preserve"> Großer Kornberg Gipfel)</t>
    </r>
  </si>
  <si>
    <r>
      <rPr>
        <i/>
        <sz val="8"/>
        <rFont val="Arial"/>
        <family val="2"/>
      </rPr>
      <t>Nemmersdorf (307):</t>
    </r>
    <r>
      <rPr>
        <b/>
        <sz val="8"/>
        <rFont val="Arial"/>
        <family val="2"/>
      </rPr>
      <t xml:space="preserve">
Nemmersdorf </t>
    </r>
    <r>
      <rPr>
        <sz val="8"/>
        <rFont val="Arial"/>
        <family val="2"/>
      </rPr>
      <t xml:space="preserve">- Konradswiese - Reuth - </t>
    </r>
    <r>
      <rPr>
        <b/>
        <sz val="8"/>
        <rFont val="Arial"/>
        <family val="2"/>
      </rPr>
      <t>FGW</t>
    </r>
  </si>
  <si>
    <t>Förster-Herrmann-Natur- und Erlebnisweg</t>
  </si>
  <si>
    <r>
      <t xml:space="preserve">Tröstau (510):
</t>
    </r>
    <r>
      <rPr>
        <b/>
        <sz val="8"/>
        <rFont val="Arial"/>
        <family val="2"/>
      </rPr>
      <t xml:space="preserve">Parkplatz B303 oder Parkplatz Bad 
</t>
    </r>
    <r>
      <rPr>
        <sz val="8"/>
        <rFont val="Arial"/>
        <family val="2"/>
      </rPr>
      <t xml:space="preserve">Rundwanderweg:  Bad - Glasbach - Tröstauer Forst-West </t>
    </r>
  </si>
  <si>
    <r>
      <rPr>
        <i/>
        <sz val="8"/>
        <rFont val="Arial"/>
        <family val="2"/>
      </rPr>
      <t>Vordorf (511):</t>
    </r>
    <r>
      <rPr>
        <b/>
        <sz val="8"/>
        <rFont val="Arial"/>
        <family val="2"/>
      </rPr>
      <t xml:space="preserve">
Vordorf</t>
    </r>
    <r>
      <rPr>
        <sz val="8"/>
        <rFont val="Arial"/>
        <family val="2"/>
      </rPr>
      <t xml:space="preserve"> - Vordorfermühle - Seehaus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</si>
  <si>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>Marktleuthen (507):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Marktleuthener Haus</t>
    </r>
    <r>
      <rPr>
        <sz val="8"/>
        <rFont val="Arial"/>
        <family val="2"/>
      </rPr>
      <t xml:space="preserve"> - Querung St 2176 - Wiesenstr. - Forststr. - Sophienberg - Breitenlohe - entlang Eisenbahntrasse - </t>
    </r>
    <r>
      <rPr>
        <b/>
        <sz val="8"/>
        <rFont val="Arial"/>
        <family val="2"/>
      </rPr>
      <t xml:space="preserve">Ausgangspunkt </t>
    </r>
    <r>
      <rPr>
        <sz val="8"/>
        <rFont val="Arial"/>
        <family val="2"/>
      </rPr>
      <t xml:space="preserve">(mit Alternativroute über Eisenbahnvidaukt)
</t>
    </r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</si>
  <si>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Porzellanbrunnen</t>
    </r>
    <r>
      <rPr>
        <sz val="8"/>
        <rFont val="Arial"/>
        <family val="2"/>
      </rPr>
      <t xml:space="preserve"> (Ecke Bucherbacher/Hutschenreuther Str.)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- Buchbacher Str. - Höhe 673,9 - WA Lauserholz - sw Höhe 689 - so Gööringsreuth - Buchbacher Str.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</si>
  <si>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Selb (107)
</t>
    </r>
    <r>
      <rPr>
        <b/>
        <sz val="8"/>
        <rFont val="Arial"/>
        <family val="2"/>
      </rPr>
      <t>Waldeingang beim Eisstadion</t>
    </r>
    <r>
      <rPr>
        <sz val="8"/>
        <rFont val="Arial"/>
        <family val="2"/>
      </rPr>
      <t xml:space="preserve"> - Teiche s Klepperbühl - Siebensternplatz - Hammergut - o Höhe 566 - Höhe 557,1 - Wunsiedler Weiher- Schrögelsberg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</si>
  <si>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Marktredwitz (2)03:
</t>
    </r>
    <r>
      <rPr>
        <b/>
        <sz val="8"/>
        <rFont val="Arial"/>
        <family val="2"/>
      </rPr>
      <t xml:space="preserve">Forsthaus </t>
    </r>
    <r>
      <rPr>
        <sz val="8"/>
        <rFont val="Arial"/>
        <family val="2"/>
      </rPr>
      <t xml:space="preserve">- ehem. Kurheim Unna - Höhe 592 - WA Brand / Dachsbau - Höhe 640 - WA Bürschling / Siebenbrunn - Höhe 673,6 - Höhe 672 - Höe 637,5 - Querung Putzenreutherbach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</si>
  <si>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Marktredwitz (203):
</t>
    </r>
    <r>
      <rPr>
        <b/>
        <sz val="8"/>
        <rFont val="Arial"/>
        <family val="2"/>
      </rPr>
      <t>Brand (Kösseinebrücke)</t>
    </r>
    <r>
      <rPr>
        <sz val="8"/>
        <rFont val="Arial"/>
        <family val="2"/>
      </rPr>
      <t>- An der Kösseine - Kolpingstr. - Kirchsteig -  - WA Kleeschlag - Haingrün - Höhe 639 - Glashütte - Schießstand - Goethe-/Garten-/Fridauer Str.-</t>
    </r>
    <r>
      <rPr>
        <b/>
        <sz val="8"/>
        <rFont val="Arial"/>
        <family val="2"/>
      </rPr>
      <t xml:space="preserve"> Ausgangspunkt
</t>
    </r>
  </si>
  <si>
    <r>
      <rPr>
        <i/>
        <sz val="8"/>
        <rFont val="Arial"/>
        <family val="2"/>
      </rPr>
      <t xml:space="preserve">Thiersheim (109):
</t>
    </r>
    <r>
      <rPr>
        <b/>
        <sz val="8"/>
        <rFont val="Arial"/>
        <family val="2"/>
      </rPr>
      <t xml:space="preserve">Autohof bei A93 - </t>
    </r>
    <r>
      <rPr>
        <sz val="8"/>
        <rFont val="Arial"/>
        <family val="2"/>
      </rPr>
      <t xml:space="preserve"> Wampen - Höhe 608 - Wartbert - n Höhe 606 - Höhe 605 -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</si>
  <si>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Schirnding (104):</t>
    </r>
    <r>
      <rPr>
        <sz val="8"/>
        <rFont val="Arial"/>
        <family val="2"/>
      </rPr>
      <t xml:space="preserve">                                                                                               </t>
    </r>
    <r>
      <rPr>
        <b/>
        <sz val="8"/>
        <rFont val="Arial"/>
        <family val="2"/>
      </rPr>
      <t>Schirnding (Rathaus)</t>
    </r>
    <r>
      <rPr>
        <sz val="8"/>
        <rFont val="Arial"/>
        <family val="2"/>
      </rPr>
      <t xml:space="preserve"> – Bahnhof – Oschwitz – WUN 18 – Raithenbach – Menzloh – B 303 – Fischerweg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</si>
  <si>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Schirnding (104):</t>
    </r>
    <r>
      <rPr>
        <sz val="8"/>
        <rFont val="Arial"/>
        <family val="2"/>
      </rPr>
      <t xml:space="preserve">                                                                                              </t>
    </r>
    <r>
      <rPr>
        <b/>
        <sz val="8"/>
        <rFont val="Arial"/>
        <family val="2"/>
      </rPr>
      <t xml:space="preserve">Schirnding (Rathaus) </t>
    </r>
    <r>
      <rPr>
        <sz val="8"/>
        <rFont val="Arial"/>
        <family val="2"/>
      </rPr>
      <t xml:space="preserve">– Egerstraße-Reichelpark – Am Bergwerk – Waldgebiet Kohlhau – Oberer Rennweg (Fußballplatz) – Bauvereinstraße – Bahnhofstraße - </t>
    </r>
    <r>
      <rPr>
        <b/>
        <sz val="8"/>
        <rFont val="Arial"/>
        <family val="2"/>
      </rPr>
      <t xml:space="preserve">Ausgangspunkt 
</t>
    </r>
  </si>
  <si>
    <t>nochmals nach München melden, Umlegungenj berücksichtigen, noch in NSP übernehmen</t>
  </si>
  <si>
    <t>in der Neuaufnahme</t>
  </si>
  <si>
    <t>Fichtelberg</t>
  </si>
  <si>
    <r>
      <rPr>
        <i/>
        <sz val="8"/>
        <rFont val="Arial"/>
        <family val="2"/>
      </rPr>
      <t xml:space="preserve">Speichersdorf (310):
</t>
    </r>
    <r>
      <rPr>
        <b/>
        <sz val="8"/>
        <rFont val="Arial"/>
        <family val="2"/>
      </rPr>
      <t xml:space="preserve">Tauritzmühle </t>
    </r>
    <r>
      <rPr>
        <sz val="8"/>
        <rFont val="Arial"/>
        <family val="2"/>
      </rPr>
      <t xml:space="preserve">- Ri N bis Waldrand WA Grenzholz - Ri NW - Ri SW - Querung Tauritzbach und BT 42 - Ri S - Weihergebiet - BT 42 - </t>
    </r>
    <r>
      <rPr>
        <b/>
        <sz val="8"/>
        <rFont val="Arial"/>
        <family val="2"/>
      </rPr>
      <t xml:space="preserve">Ausgangspunkt
</t>
    </r>
  </si>
  <si>
    <t>018993_V_Korr-2022_Tauritzmühle</t>
  </si>
  <si>
    <t>Korrektur vom 28.02.2022 (LDBV gemeldet)</t>
  </si>
  <si>
    <r>
      <rPr>
        <i/>
        <sz val="8"/>
        <rFont val="Arial"/>
        <family val="2"/>
      </rPr>
      <t>Bad Alexandersbad (501):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Schlossterrassen</t>
    </r>
    <r>
      <rPr>
        <sz val="8"/>
        <rFont val="Arial"/>
        <family val="2"/>
      </rPr>
      <t xml:space="preserve"> - Luisenquelle - Ri B303 - Sichersreuth - Höhe 580 - Luisenquelle - Ausgangspunkt"
</t>
    </r>
  </si>
  <si>
    <r>
      <t xml:space="preserve">Nagel (204):
</t>
    </r>
    <r>
      <rPr>
        <b/>
        <sz val="8"/>
        <rFont val="Arial"/>
        <family val="2"/>
      </rPr>
      <t>Parkplatz Grenzhaus</t>
    </r>
    <r>
      <rPr>
        <sz val="8"/>
        <rFont val="Arial"/>
        <family val="2"/>
      </rPr>
      <t xml:space="preserve"> - Querung TIR10 - Gregnitzberg - Oberölbühl - Höhe 626 - Lochbühl - Jägersruh - Nordufer Nageler See - Wurmloh - Hohenbrand - Reichenbach - Höhe 665 - </t>
    </r>
    <r>
      <rPr>
        <b/>
        <sz val="8"/>
        <rFont val="Arial"/>
        <family val="2"/>
      </rPr>
      <t xml:space="preserve">Ausganspunkt. 
</t>
    </r>
    <r>
      <rPr>
        <sz val="8"/>
        <rFont val="Arial"/>
        <family val="2"/>
      </rPr>
      <t xml:space="preserve">(Der Landschaftserlebnispfad bietet mehrere Einstiegmöglichkeiten.)
</t>
    </r>
  </si>
  <si>
    <r>
      <t xml:space="preserve">Nagel (204):
</t>
    </r>
    <r>
      <rPr>
        <b/>
        <sz val="8"/>
        <rFont val="Arial"/>
        <family val="2"/>
      </rPr>
      <t>Mühlbühl</t>
    </r>
    <r>
      <rPr>
        <sz val="8"/>
        <rFont val="Arial"/>
        <family val="2"/>
      </rPr>
      <t xml:space="preserve"> - Wurmloh - Wurmlohpass - Hohenbrand - Höhe 679,6 - Reichenbach - </t>
    </r>
    <r>
      <rPr>
        <b/>
        <sz val="8"/>
        <rFont val="Arial"/>
        <family val="2"/>
      </rPr>
      <t xml:space="preserve">Ausganspunkt. 
</t>
    </r>
    <r>
      <rPr>
        <sz val="8"/>
        <rFont val="Arial"/>
        <family val="2"/>
      </rPr>
      <t>(Der Landschaftserlebnispfad bietet mehrere Einstiegmöglichkeiten.)</t>
    </r>
  </si>
  <si>
    <t xml:space="preserve">Wunsiedel (513):
Wanderweg 72a (LDBV-ID 19128) - Burgstein -  Einmündung in Höhenweg (LDBV-ID 2050)
</t>
  </si>
  <si>
    <r>
      <t xml:space="preserve">Nagel (204):
</t>
    </r>
    <r>
      <rPr>
        <b/>
        <sz val="8"/>
        <rFont val="Arial"/>
        <family val="2"/>
      </rPr>
      <t>Parkplatz Grenzhaus</t>
    </r>
    <r>
      <rPr>
        <sz val="8"/>
        <rFont val="Arial"/>
        <family val="2"/>
      </rPr>
      <t xml:space="preserve"> - Querung TIR10 - Gregnitzberg - Ri N nach Nagel - entlang Westufer Nageler See - Mühlbühl - Untermühlbühl - </t>
    </r>
    <r>
      <rPr>
        <b/>
        <sz val="8"/>
        <rFont val="Arial"/>
        <family val="2"/>
      </rPr>
      <t xml:space="preserve">Ausganspunkt. 
</t>
    </r>
    <r>
      <rPr>
        <sz val="8"/>
        <rFont val="Arial"/>
        <family val="2"/>
      </rPr>
      <t xml:space="preserve">(Der Landschaftserlebnispfad bietet mehrere Einstiegmöglichkeiten.)
</t>
    </r>
  </si>
  <si>
    <r>
      <t xml:space="preserve">Nagel (204):
</t>
    </r>
    <r>
      <rPr>
        <b/>
        <sz val="8"/>
        <rFont val="Arial"/>
        <family val="2"/>
      </rPr>
      <t>Parkplatz Grenzhaus</t>
    </r>
    <r>
      <rPr>
        <sz val="8"/>
        <rFont val="Arial"/>
        <family val="2"/>
      </rPr>
      <t xml:space="preserve"> - Querung TIR10 - Gregnitzberg - Oberölbühl - Höhe 626 - Lochbühl - Jägersruh - entlang Westufer Nageler See - Ri S durch Nagel - </t>
    </r>
    <r>
      <rPr>
        <b/>
        <sz val="8"/>
        <rFont val="Arial"/>
        <family val="2"/>
      </rPr>
      <t xml:space="preserve">Ausganspunkt. 
</t>
    </r>
    <r>
      <rPr>
        <sz val="8"/>
        <rFont val="Arial"/>
        <family val="2"/>
      </rPr>
      <t xml:space="preserve">(Der Landschaftserlebnispfad bietet mehrere Einstiegmöglichkeiten.)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</si>
  <si>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>Labyrinth (oberer Ausgang)</t>
    </r>
    <r>
      <rPr>
        <sz val="8"/>
        <rFont val="Arial"/>
        <family val="2"/>
      </rPr>
      <t xml:space="preserve"> - Kaiserfelsen  -  </t>
    </r>
    <r>
      <rPr>
        <b/>
        <sz val="8"/>
        <rFont val="Arial"/>
        <family val="2"/>
      </rPr>
      <t>Einmündung in FGV-WegNr 72c (</t>
    </r>
    <r>
      <rPr>
        <sz val="8"/>
        <rFont val="Arial"/>
        <family val="2"/>
      </rPr>
      <t xml:space="preserve">LGV-ID 19024)
</t>
    </r>
  </si>
  <si>
    <r>
      <rPr>
        <i/>
        <sz val="8"/>
        <rFont val="Arial"/>
        <family val="2"/>
      </rPr>
      <t xml:space="preserve">Wunsiedel (513):
</t>
    </r>
    <r>
      <rPr>
        <b/>
        <sz val="8"/>
        <rFont val="Arial"/>
        <family val="2"/>
      </rPr>
      <t>Burgsteinfelsen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Haberstein</t>
    </r>
  </si>
  <si>
    <r>
      <rPr>
        <i/>
        <sz val="8"/>
        <rFont val="Arial"/>
        <family val="2"/>
      </rPr>
      <t>Weißenstadt (512):</t>
    </r>
    <r>
      <rPr>
        <b/>
        <sz val="8"/>
        <rFont val="Arial"/>
        <family val="2"/>
      </rPr>
      <t xml:space="preserve">
Weißenstadt </t>
    </r>
    <r>
      <rPr>
        <sz val="8"/>
        <rFont val="Arial"/>
        <family val="2"/>
      </rPr>
      <t xml:space="preserve">(Schwimmbad) - </t>
    </r>
    <r>
      <rPr>
        <b/>
        <sz val="8"/>
        <rFont val="Arial"/>
        <family val="2"/>
      </rPr>
      <t xml:space="preserve">FGW, Variante: </t>
    </r>
    <r>
      <rPr>
        <sz val="8"/>
        <rFont val="Arial"/>
        <family val="2"/>
      </rPr>
      <t xml:space="preserve">über Schullandheim - Richtung WUN 3 - </t>
    </r>
    <r>
      <rPr>
        <b/>
        <sz val="8"/>
        <rFont val="Arial"/>
        <family val="2"/>
      </rPr>
      <t xml:space="preserve">FGW
</t>
    </r>
  </si>
  <si>
    <t>Zuwege zum Fränkischen Gebirgsweg von Weißenstadt</t>
  </si>
  <si>
    <r>
      <rPr>
        <i/>
        <sz val="8"/>
        <rFont val="Arial"/>
        <family val="2"/>
      </rPr>
      <t>Weißenstadt (512):</t>
    </r>
    <r>
      <rPr>
        <b/>
        <sz val="8"/>
        <rFont val="Arial"/>
        <family val="2"/>
      </rPr>
      <t xml:space="preserve">
Weißenstadt </t>
    </r>
    <r>
      <rPr>
        <sz val="8"/>
        <rFont val="Arial"/>
        <family val="2"/>
      </rPr>
      <t xml:space="preserve">(Schwimmbad) - </t>
    </r>
    <r>
      <rPr>
        <b/>
        <sz val="8"/>
        <rFont val="Arial"/>
        <family val="2"/>
      </rPr>
      <t>Einmündung Höhe 770</t>
    </r>
  </si>
  <si>
    <r>
      <rPr>
        <i/>
        <sz val="8"/>
        <rFont val="Arial"/>
        <family val="2"/>
      </rPr>
      <t>Münchberg (403):</t>
    </r>
    <r>
      <rPr>
        <b/>
        <sz val="8"/>
        <rFont val="Arial"/>
        <family val="2"/>
      </rPr>
      <t xml:space="preserve">
Einmündung Höhe 770</t>
    </r>
    <r>
      <rPr>
        <sz val="8"/>
        <rFont val="Arial"/>
        <family val="2"/>
      </rPr>
      <t xml:space="preserve"> - Großer Waldstein  - </t>
    </r>
    <r>
      <rPr>
        <b/>
        <sz val="8"/>
        <rFont val="Arial"/>
        <family val="2"/>
      </rPr>
      <t>FGW</t>
    </r>
  </si>
  <si>
    <r>
      <rPr>
        <i/>
        <sz val="8"/>
        <rFont val="Arial"/>
        <family val="2"/>
      </rPr>
      <t xml:space="preserve">Bad Berneck (302):
</t>
    </r>
    <r>
      <rPr>
        <b/>
        <sz val="8"/>
        <rFont val="Arial"/>
        <family val="2"/>
      </rPr>
      <t xml:space="preserve">Escherlich </t>
    </r>
    <r>
      <rPr>
        <sz val="8"/>
        <rFont val="Arial"/>
        <family val="2"/>
      </rPr>
      <t xml:space="preserve">- B303 - Schmelz - Föllmarsberg - Föllmar - w Steinbühl - Querung Schmelzbach - höhe 621,4 - Steinbühl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</si>
  <si>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Kulmbach (506):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Am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Rehberg</t>
    </r>
    <r>
      <rPr>
        <sz val="8"/>
        <rFont val="Arial"/>
        <family val="2"/>
      </rPr>
      <t xml:space="preserve"> (Parkplatz) - Sendemast - Aussichtsturm - Höhe 503,5 - Kesseleite - Kesselweg - Meiser Straße - Gustav-ADolf-Str. -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</si>
  <si>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>Zell (408):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Waldstein</t>
    </r>
    <r>
      <rPr>
        <sz val="8"/>
        <rFont val="Arial"/>
        <family val="2"/>
      </rPr>
      <t xml:space="preserve"> -  Saalequelle - Zell - Grossenau -</t>
    </r>
    <r>
      <rPr>
        <b/>
        <sz val="8"/>
        <rFont val="Arial"/>
        <family val="2"/>
      </rPr>
      <t xml:space="preserve"> Mödlenreuth (B 2)</t>
    </r>
    <r>
      <rPr>
        <sz val="8"/>
        <rFont val="Arial"/>
        <family val="2"/>
      </rPr>
      <t xml:space="preserve"> </t>
    </r>
  </si>
  <si>
    <t xml:space="preserve">Fränkischer Gebirgsweg (Waldstein) - Frankenweg (Fels bei Schübelhammer), FGV-WegNr 550, Markierungsabschnitte 1 - 2, Übernahme/Übergabe Frankenwaldverein in Marienweiher 
</t>
  </si>
  <si>
    <t>Weißensteinverein</t>
  </si>
  <si>
    <r>
      <rPr>
        <i/>
        <sz val="8"/>
        <rFont val="Arial"/>
        <family val="2"/>
      </rPr>
      <t>Weißensteinverein Stammbach (410):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Mödlenreuth (B 2) </t>
    </r>
    <r>
      <rPr>
        <sz val="8"/>
        <rFont val="Arial"/>
        <family val="2"/>
      </rPr>
      <t xml:space="preserve"> - Bucheckeinzel - Tennersreuth - Fleisnitzmühle - Stammbach - Weißenstein - Gundlitz - Herrschrot - n Cottenau - w Filshof - Steinbach - </t>
    </r>
    <r>
      <rPr>
        <b/>
        <sz val="8"/>
        <rFont val="Arial"/>
        <family val="2"/>
      </rPr>
      <t>Marienweiher (Übergabe an FWV)</t>
    </r>
  </si>
  <si>
    <r>
      <rPr>
        <i/>
        <sz val="8"/>
        <rFont val="Arial"/>
        <family val="2"/>
      </rPr>
      <t>Weidenberg (312):</t>
    </r>
    <r>
      <rPr>
        <b/>
        <sz val="8"/>
        <rFont val="Arial"/>
        <family val="2"/>
      </rPr>
      <t xml:space="preserve">
Weidenberg (Scherzenmühle)</t>
    </r>
    <r>
      <rPr>
        <sz val="8"/>
        <rFont val="Arial"/>
        <family val="2"/>
      </rPr>
      <t xml:space="preserve"> - Reitersgasse - entlang Scherzenbach - Richtung Hutbühl/Waizenreuth - Aurangen - Reitersgasse - </t>
    </r>
    <r>
      <rPr>
        <b/>
        <sz val="8"/>
        <rFont val="Arial"/>
        <family val="2"/>
      </rPr>
      <t xml:space="preserve">Ausgangspunkt
</t>
    </r>
  </si>
  <si>
    <t xml:space="preserve">
Gesamtlänge Weg (FGV) korrigiert (Johannes Rosa, 24.10.20203)</t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</si>
  <si>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Eisstadion</t>
    </r>
    <r>
      <rPr>
        <sz val="8"/>
        <rFont val="Arial"/>
        <family val="2"/>
      </rPr>
      <t xml:space="preserve"> - Höhe 585 - s Schrögelsberg - Lausenbach - Wunsiedler Weiher - </t>
    </r>
    <r>
      <rPr>
        <b/>
        <sz val="8"/>
        <rFont val="Arial"/>
        <family val="2"/>
      </rPr>
      <t xml:space="preserve">Eisstadion
</t>
    </r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</si>
  <si>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Eisstadion</t>
    </r>
    <r>
      <rPr>
        <sz val="8"/>
        <rFont val="Arial"/>
        <family val="2"/>
      </rPr>
      <t xml:space="preserve"> - Siebensternplatz - s Schrögelsberg - Höhe 585 - </t>
    </r>
    <r>
      <rPr>
        <b/>
        <sz val="8"/>
        <rFont val="Arial"/>
        <family val="2"/>
      </rPr>
      <t xml:space="preserve">Eisstadion
</t>
    </r>
  </si>
  <si>
    <t>rollstuhl-geeignet</t>
  </si>
  <si>
    <r>
      <rPr>
        <i/>
        <sz val="8"/>
        <rFont val="Arial"/>
        <family val="2"/>
      </rPr>
      <t>Selb (107):</t>
    </r>
    <r>
      <rPr>
        <b/>
        <sz val="8"/>
        <rFont val="Arial"/>
        <family val="2"/>
      </rPr>
      <t xml:space="preserve">
Eisstadion - Siebensternplatz</t>
    </r>
  </si>
  <si>
    <r>
      <t xml:space="preserve">Thiersheim (109):
</t>
    </r>
    <r>
      <rPr>
        <b/>
        <sz val="8"/>
        <rFont val="Arial"/>
        <family val="2"/>
      </rPr>
      <t>Thiersheim</t>
    </r>
    <r>
      <rPr>
        <sz val="8"/>
        <rFont val="Arial"/>
        <family val="2"/>
      </rPr>
      <t xml:space="preserve"> (Marktplatz) - Böhmmühle - entlang Thiersbach - Mittelmühle - </t>
    </r>
    <r>
      <rPr>
        <b/>
        <sz val="8"/>
        <rFont val="Arial"/>
        <family val="2"/>
      </rPr>
      <t xml:space="preserve">Karlmühle
</t>
    </r>
  </si>
  <si>
    <t>Thiersheim - Arzberg,  FGV-WegNr 100,  Markierungsabschnitte 1 - 2</t>
  </si>
  <si>
    <r>
      <t xml:space="preserve">Arzberg (101):
</t>
    </r>
    <r>
      <rPr>
        <b/>
        <sz val="8"/>
        <rFont val="Arial"/>
        <family val="2"/>
      </rPr>
      <t>Karlmühle</t>
    </r>
    <r>
      <rPr>
        <sz val="8"/>
        <rFont val="Arial"/>
        <family val="2"/>
      </rPr>
      <t xml:space="preserve"> - Sandmühle - Flittermühle - Untere Rohrschmiedsmühle -  </t>
    </r>
    <r>
      <rPr>
        <b/>
        <sz val="8"/>
        <rFont val="Arial"/>
        <family val="2"/>
      </rPr>
      <t>Wiesenmühle</t>
    </r>
    <r>
      <rPr>
        <i/>
        <sz val="8"/>
        <rFont val="Arial"/>
        <family val="2"/>
      </rPr>
      <t xml:space="preserve">
</t>
    </r>
  </si>
  <si>
    <r>
      <rPr>
        <i/>
        <sz val="8"/>
        <rFont val="Arial"/>
        <family val="2"/>
      </rPr>
      <t>Weidenberg (312):</t>
    </r>
    <r>
      <rPr>
        <b/>
        <sz val="8"/>
        <rFont val="Arial"/>
        <family val="2"/>
      </rPr>
      <t xml:space="preserve">
Weidenberg (Scherzenmühle)</t>
    </r>
    <r>
      <rPr>
        <sz val="8"/>
        <rFont val="Arial"/>
        <family val="2"/>
      </rPr>
      <t xml:space="preserve"> - Am Buchert - Rathausplatz - Waizenreuther Str. - Aurangen - </t>
    </r>
    <r>
      <rPr>
        <b/>
        <sz val="8"/>
        <rFont val="Arial"/>
        <family val="2"/>
      </rPr>
      <t xml:space="preserve">Ausgangspunkt
</t>
    </r>
  </si>
  <si>
    <t>Wolfsgarten-weg</t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</si>
  <si>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Wülfersreuth (100 m ö Parkplatz am Ortsrand bei TP 702,7)  </t>
    </r>
    <r>
      <rPr>
        <sz val="8"/>
        <rFont val="Arial"/>
        <family val="2"/>
      </rPr>
      <t xml:space="preserve">- n Höhe 711 -  w Höhe 707 - n B303 - s Höhe 711 - </t>
    </r>
    <r>
      <rPr>
        <b/>
        <sz val="8"/>
        <rFont val="Arial"/>
        <family val="2"/>
      </rPr>
      <t xml:space="preserve">Ausgangspunkt
</t>
    </r>
  </si>
  <si>
    <t xml:space="preserve">Wolfsgartenweg,  Rundwanderweg der Gemeinde Bischofsgrün </t>
  </si>
  <si>
    <r>
      <t xml:space="preserve">Warmensteinach (311):
</t>
    </r>
    <r>
      <rPr>
        <b/>
        <sz val="8"/>
        <rFont val="Arial"/>
        <family val="2"/>
      </rPr>
      <t>FGV-WegNr 56 - Ringweg Warmensteinach</t>
    </r>
    <r>
      <rPr>
        <sz val="8"/>
        <rFont val="Arial"/>
        <family val="2"/>
      </rPr>
      <t xml:space="preserve"> (FGV-WegNr 202)
</t>
    </r>
  </si>
  <si>
    <t>Jägersteig Warmensteinach</t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</si>
  <si>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>Rehau (Bahnhof)</t>
    </r>
    <r>
      <rPr>
        <sz val="8"/>
        <rFont val="Arial"/>
        <family val="2"/>
      </rPr>
      <t xml:space="preserve">  - Garten-/Ludwig-/Schützen-/Faßmannreuther Str. - Unterquerung A93 - WA Teichholz, Hölle, Rgolerstreuth - Faßmannsreuth - s Sigmundsgrün - Abstecher Raitschin/Ziegelhütte - Höhe 608 (Waldhaus Eichberg) - w Löwitz - Seelohe - Waldhaus-/Unlitzstr. - weiter auf Hinweg  - </t>
    </r>
    <r>
      <rPr>
        <b/>
        <sz val="8"/>
        <rFont val="Arial"/>
        <family val="2"/>
      </rPr>
      <t xml:space="preserve">Ausgangspunkt
</t>
    </r>
  </si>
  <si>
    <t>T02 als "Leiche" nochmals in DB</t>
  </si>
  <si>
    <r>
      <rPr>
        <i/>
        <sz val="8"/>
        <rFont val="Arial"/>
        <family val="2"/>
      </rPr>
      <t xml:space="preserve">Rehau (405):
</t>
    </r>
    <r>
      <rPr>
        <b/>
        <sz val="8"/>
        <rFont val="Arial"/>
        <family val="2"/>
      </rPr>
      <t>Rehau (Bahnhof)</t>
    </r>
    <r>
      <rPr>
        <sz val="8"/>
        <rFont val="Arial"/>
        <family val="2"/>
      </rPr>
      <t xml:space="preserve">  - Garten-/Ludwig-/Ascher Str. - entlang Eisenbahn/Perlenbach - Höhe 545 - ö Röllmühle -</t>
    </r>
    <r>
      <rPr>
        <b/>
        <sz val="8"/>
        <rFont val="Arial"/>
        <family val="2"/>
      </rPr>
      <t xml:space="preserve"> Brücke über  Bocksbach
</t>
    </r>
  </si>
  <si>
    <t>Rehau - Vorsuchhütte, FGV-WegNr 102 
Markierungsabschnitte 1 - 2
Arnikaprojekt LPV Hof: "Mit der Arnika auf den Kornbergt", erstellt September 2016</t>
  </si>
  <si>
    <r>
      <rPr>
        <i/>
        <sz val="8"/>
        <rFont val="Arial"/>
        <family val="2"/>
      </rPr>
      <t xml:space="preserve">Schönwald (105):
</t>
    </r>
    <r>
      <rPr>
        <b/>
        <sz val="8"/>
        <rFont val="Arial"/>
        <family val="2"/>
      </rPr>
      <t>Brücke über Bocksbach</t>
    </r>
    <r>
      <rPr>
        <sz val="8"/>
        <rFont val="Arial"/>
        <family val="2"/>
      </rPr>
      <t xml:space="preserve"> - Kleppermühle - Göringsreuth - </t>
    </r>
    <r>
      <rPr>
        <b/>
        <sz val="8"/>
        <rFont val="Arial"/>
        <family val="2"/>
      </rPr>
      <t>Vorsuchhütte</t>
    </r>
  </si>
  <si>
    <t>281</t>
  </si>
  <si>
    <t>5</t>
  </si>
  <si>
    <r>
      <rPr>
        <b/>
        <sz val="8"/>
        <rFont val="Arial"/>
        <family val="2"/>
      </rPr>
      <t xml:space="preserve">Wegespinne Höhe 615 (w Höflas) - </t>
    </r>
    <r>
      <rPr>
        <sz val="8"/>
        <rFont val="Arial"/>
        <family val="2"/>
      </rPr>
      <t xml:space="preserve">BT 10 - ö Eichenbühl - Windrad - Marktschorgast - sö Höhe 535 - </t>
    </r>
    <r>
      <rPr>
        <b/>
        <sz val="8"/>
        <rFont val="Arial"/>
        <family val="2"/>
      </rPr>
      <t xml:space="preserve">Abzweig n Singerweiher
</t>
    </r>
  </si>
  <si>
    <t>Stichweg: Löschung beauftragt, DB &amp; Tabelle bereits OK</t>
  </si>
  <si>
    <t>4</t>
  </si>
  <si>
    <r>
      <rPr>
        <i/>
        <sz val="8"/>
        <rFont val="Arial"/>
        <family val="2"/>
      </rPr>
      <t xml:space="preserve">Weißensteinverin (410):
</t>
    </r>
    <r>
      <rPr>
        <b/>
        <sz val="8"/>
        <rFont val="Arial"/>
        <family val="2"/>
      </rPr>
      <t xml:space="preserve">Abzweig n Singerweiher - </t>
    </r>
    <r>
      <rPr>
        <sz val="8"/>
        <rFont val="Arial"/>
        <family val="2"/>
      </rPr>
      <t xml:space="preserve">Weißenstein - w Höhe 615/Oberbug - w Bärenbühl - </t>
    </r>
    <r>
      <rPr>
        <b/>
        <sz val="8"/>
        <rFont val="Arial"/>
        <family val="2"/>
      </rPr>
      <t>Wegespinne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Höhe 615 (w Höflas)</t>
    </r>
    <r>
      <rPr>
        <i/>
        <sz val="8"/>
        <rFont val="Arial"/>
        <family val="2"/>
      </rPr>
      <t xml:space="preserve">
</t>
    </r>
    <r>
      <rPr>
        <b/>
        <sz val="8"/>
        <rFont val="Arial"/>
        <family val="2"/>
      </rPr>
      <t/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</si>
  <si>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Parkplatz an HO 18 (w Reinersreuth) </t>
    </r>
    <r>
      <rPr>
        <sz val="8"/>
        <rFont val="Arial"/>
        <family val="2"/>
      </rPr>
      <t xml:space="preserve">- Weidenbrunnen / Höhe 764 - w Bergkopf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</si>
  <si>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Sparneck (407:
</t>
    </r>
    <r>
      <rPr>
        <b/>
        <sz val="8"/>
        <rFont val="Arial"/>
        <family val="2"/>
      </rPr>
      <t xml:space="preserve">Sparneck (Mühlteichplatz) </t>
    </r>
    <r>
      <rPr>
        <sz val="8"/>
        <rFont val="Arial"/>
        <family val="2"/>
      </rPr>
      <t xml:space="preserve">- Münchbergerstr. - Talstr. - Pfarrbachweg - Nelken-/Saalmühlstr. - Saalmühle - Höhe 542,2 - Eiben b. Weißdorf - Weißdorf - Bug - entlang Sächsische Saale - Oppenroth - Querung B 289 - Höhe 524 - Bärlas - Benk - s Benker Berg - Höhe 548 - Benker Weg - Einzel-/Weißenstädter Str.  - </t>
    </r>
    <r>
      <rPr>
        <b/>
        <sz val="8"/>
        <rFont val="Arial"/>
        <family val="2"/>
      </rPr>
      <t xml:space="preserve">Ausgangspunkt
</t>
    </r>
  </si>
  <si>
    <r>
      <rPr>
        <i/>
        <sz val="8"/>
        <rFont val="Arial"/>
        <family val="2"/>
      </rPr>
      <t xml:space="preserve">Sparneck (407):
</t>
    </r>
    <r>
      <rPr>
        <b/>
        <sz val="8"/>
        <rFont val="Arial"/>
        <family val="2"/>
      </rPr>
      <t xml:space="preserve">Parkplatz an HO 18 (bei Höhe 761,7) </t>
    </r>
    <r>
      <rPr>
        <sz val="8"/>
        <rFont val="Arial"/>
        <family val="2"/>
      </rPr>
      <t xml:space="preserve">- HO 18 - Höhe 743 - Querung Lehstenbach - Schlöppnerbrunnen - Höhe 764 / Weidenbrunnen - </t>
    </r>
    <r>
      <rPr>
        <b/>
        <sz val="8"/>
        <rFont val="Arial"/>
        <family val="2"/>
      </rPr>
      <t xml:space="preserve">Ausgangspunkt
</t>
    </r>
  </si>
  <si>
    <r>
      <t xml:space="preserve">Höchstädt (112):
</t>
    </r>
    <r>
      <rPr>
        <b/>
        <sz val="8"/>
        <rFont val="Arial"/>
        <family val="2"/>
      </rPr>
      <t>Hauptstr.</t>
    </r>
    <r>
      <rPr>
        <sz val="8"/>
        <rFont val="Arial"/>
        <family val="2"/>
      </rPr>
      <t xml:space="preserve"> (Gaststätte Einhorm) - ö Schloßberg - n Hofmühle - Tännig -Rübersgrün - n Brunnenbühl - Schloßplatz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</si>
  <si>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Rundwanderweg 1 der Gemeinde Höchstädt</t>
  </si>
  <si>
    <t xml:space="preserve">Neuaufnahme 05/2020
</t>
  </si>
  <si>
    <r>
      <t xml:space="preserve">Höchstädt (112):
</t>
    </r>
    <r>
      <rPr>
        <b/>
        <sz val="8"/>
        <rFont val="Arial"/>
        <family val="2"/>
      </rPr>
      <t>Hauptstr.</t>
    </r>
    <r>
      <rPr>
        <sz val="8"/>
        <rFont val="Arial"/>
        <family val="2"/>
      </rPr>
      <t xml:space="preserve"> (Gaststätte Einhorm)- Schloßplatz - Bahnhofstr. - Reitsteig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</si>
  <si>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Rundwanderweg 2 der Gemeinde Höchstädt</t>
  </si>
  <si>
    <t>Neuaufnahme 05/2020</t>
  </si>
  <si>
    <r>
      <t xml:space="preserve">Höchstädt (112):
</t>
    </r>
    <r>
      <rPr>
        <b/>
        <sz val="8"/>
        <rFont val="Arial"/>
        <family val="2"/>
      </rPr>
      <t>Hauptstr.</t>
    </r>
    <r>
      <rPr>
        <sz val="8"/>
        <rFont val="Arial"/>
        <family val="2"/>
      </rPr>
      <t xml:space="preserve"> (Gaststätte Einhorn) - Schloßplatz - Querung Biberbach - Braunersgrün - entlang A93 - Schloßplatz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</si>
  <si>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Rundwanderweg 3 der Gemeinde Höchstädt</t>
  </si>
  <si>
    <t>RW 1
Schwarzen-hammer</t>
  </si>
  <si>
    <r>
      <t xml:space="preserve">Marktleuthen (507):
</t>
    </r>
    <r>
      <rPr>
        <b/>
        <sz val="8"/>
        <rFont val="Arial"/>
        <family val="2"/>
      </rPr>
      <t xml:space="preserve">Schwarzenhammer (Egerstraße/Schloßstraße) </t>
    </r>
    <r>
      <rPr>
        <sz val="8"/>
        <rFont val="Arial"/>
        <family val="2"/>
      </rPr>
      <t xml:space="preserve">- Schulweg - parallel zur Eger - Hammerrangen - im Kaiserhammer Forst West zum Rondell (Wegspinne) - WA Vogelherd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</si>
  <si>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Neuaufnahme 10/2020
(Günter, 15.10.2020)</t>
  </si>
  <si>
    <t>RW 2
Schwarzen-hammer</t>
  </si>
  <si>
    <r>
      <t xml:space="preserve">Marktleuthen (507):
</t>
    </r>
    <r>
      <rPr>
        <b/>
        <sz val="8"/>
        <rFont val="Arial"/>
        <family val="2"/>
      </rPr>
      <t xml:space="preserve">Schwarzenhammer (Egerstraße/Schloßstraße) </t>
    </r>
    <r>
      <rPr>
        <sz val="8"/>
        <rFont val="Arial"/>
        <family val="2"/>
      </rPr>
      <t xml:space="preserve">- Schulweg - WA Vogelherd - Rondell (Wegspinne) - WA Pandur - Querung Leutnbach - entlang Südhang Tannenberg - Abstecher zum Schlößlein - Scharzenhammer - auf Rad-/Fußweg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</si>
  <si>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 xml:space="preserve">
Neuaufnahme 10/2020
(Günter, 15.10.2020)</t>
  </si>
  <si>
    <t>RW 3
Schwarzen-hammer</t>
  </si>
  <si>
    <r>
      <t xml:space="preserve">Marktleuthen (507):
</t>
    </r>
    <r>
      <rPr>
        <b/>
        <sz val="8"/>
        <rFont val="Arial"/>
        <family val="2"/>
      </rPr>
      <t xml:space="preserve">Schwarzenhammer (Egerstraße/Schloßstraße) </t>
    </r>
    <r>
      <rPr>
        <sz val="8"/>
        <rFont val="Arial"/>
        <family val="2"/>
      </rPr>
      <t xml:space="preserve">- Rad-/Fußweg - Mühlbergweg - Kaiserhammer - Rad-/Fußweg 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</si>
  <si>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km laut LDBV eingetragen (Johannes, 3.1.2021)
Wegverlauf eingetgragen
(Günter, 06.01.2021</t>
  </si>
  <si>
    <t>RW 4
Schwarzen-hammer</t>
  </si>
  <si>
    <r>
      <t xml:space="preserve">Marktleuthen (507):
</t>
    </r>
    <r>
      <rPr>
        <b/>
        <sz val="8"/>
        <rFont val="Arial"/>
        <family val="2"/>
      </rPr>
      <t>Kaiserhammer</t>
    </r>
    <r>
      <rPr>
        <sz val="8"/>
        <rFont val="Arial"/>
        <family val="2"/>
      </rPr>
      <t xml:space="preserve"> (Egerstraße) - Mühlgraben - nö Höhe 563 - Schloßstraße - </t>
    </r>
    <r>
      <rPr>
        <b/>
        <sz val="8"/>
        <rFont val="Arial"/>
        <family val="2"/>
      </rPr>
      <t>Ausgangspunkt</t>
    </r>
  </si>
  <si>
    <t>Rundwanderweg 4 (Schwarzenhammer) der Gemeinde Thierstein, Markierung: Marktleuthen</t>
  </si>
  <si>
    <t>Wegverlauf eingetgragen
(Günter, 05.01.2021</t>
  </si>
  <si>
    <t>NEIN bis 2030</t>
  </si>
  <si>
    <r>
      <t xml:space="preserve">Weißenstadt (512):
</t>
    </r>
    <r>
      <rPr>
        <b/>
        <sz val="8"/>
        <rFont val="Arial"/>
        <family val="2"/>
      </rPr>
      <t>Parkplatz</t>
    </r>
    <r>
      <rPr>
        <sz val="8"/>
        <rFont val="Arial"/>
        <family val="2"/>
      </rPr>
      <t xml:space="preserve"> (Badstraße) - Bürgermeistger-Pöhlmann-Str. - Querung Sparnecker Str. - Frohnlohe - Fichtenhammer - s Lehsten - s Oberer Sandberg - Einmündung in Hinweg 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</si>
  <si>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Rundwanderweg 2 der Gemeinde Weißenstadt</t>
  </si>
  <si>
    <r>
      <t xml:space="preserve">Neuaufnahme 06/2020
(Günter, 15.10.2020) / km laut LDBV eingetragen (Johannes, 3.1.2021)
Wegverlauf eingetragen
(Günter, 05.01.2021
</t>
    </r>
    <r>
      <rPr>
        <b/>
        <sz val="7"/>
        <color rgb="FFFF0000"/>
        <rFont val="Arial"/>
        <family val="2"/>
      </rPr>
      <t>Stichweg einfach gerechnet !</t>
    </r>
  </si>
  <si>
    <r>
      <t xml:space="preserve">Weißenstadt (512):
</t>
    </r>
    <r>
      <rPr>
        <b/>
        <sz val="8"/>
        <rFont val="Arial"/>
        <family val="2"/>
      </rPr>
      <t>Parkplatz</t>
    </r>
    <r>
      <rPr>
        <sz val="8"/>
        <rFont val="Arial"/>
        <family val="2"/>
      </rPr>
      <t xml:space="preserve"> (Segelgelände) -  Schönlind - Weißenhaid - Voitsumra - Neuenhammer - Weihermühle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</si>
  <si>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Rundwanderweg 4 der Gemeinde Weißenstadt</t>
  </si>
  <si>
    <r>
      <t>Neuaufnahme 06/2020
(Günter, 15.10.2020) / km laut LDBV eingetragen (Johannes, 3.1.2021)
Wegverlauf eingetragen
(Günter, 05.01.2021</t>
    </r>
    <r>
      <rPr>
        <b/>
        <sz val="7"/>
        <color rgb="FFFF0000"/>
        <rFont val="Arial"/>
        <family val="2"/>
      </rPr>
      <t xml:space="preserve">
Stichweg einfach gerechnet !</t>
    </r>
  </si>
  <si>
    <r>
      <t xml:space="preserve">Weißenstadt (512):
</t>
    </r>
    <r>
      <rPr>
        <b/>
        <sz val="8"/>
        <rFont val="Arial"/>
        <family val="2"/>
      </rPr>
      <t>Parkplatz</t>
    </r>
    <r>
      <rPr>
        <sz val="8"/>
        <rFont val="Arial"/>
        <family val="2"/>
      </rPr>
      <t xml:space="preserve"> (Segelgelände) - Bummeltränke - ö Wohngebiet Lederer - Rudolfstein - Rudolfsattel - Höhe 720 - ö Schönlind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</si>
  <si>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>Neuaufnahme 06/2020
(Günter, 15.10.2020)</t>
  </si>
  <si>
    <r>
      <t xml:space="preserve">Weißenstadt (512):
</t>
    </r>
    <r>
      <rPr>
        <b/>
        <sz val="8"/>
        <rFont val="Arial"/>
        <family val="2"/>
      </rPr>
      <t>Parkplatz</t>
    </r>
    <r>
      <rPr>
        <sz val="8"/>
        <rFont val="Arial"/>
        <family val="2"/>
      </rPr>
      <t xml:space="preserve"> (Gaststätte Stadtbad) - Schullandheim Weißenstadt-Spandau - Höhe 810 - Waldstein - Höhe 770  - WA Kroatenlohe - o Rupppertsgrün - Querung Wulgera - Wulgeraweiher - </t>
    </r>
    <r>
      <rPr>
        <b/>
        <sz val="8"/>
        <rFont val="Arial"/>
        <family val="2"/>
      </rPr>
      <t>Ausgangspunkt</t>
    </r>
    <r>
      <rPr>
        <i/>
        <sz val="8"/>
        <rFont val="Arial"/>
        <family val="2"/>
      </rPr>
      <t xml:space="preserve">
</t>
    </r>
  </si>
  <si>
    <t xml:space="preserve">Neuaufnahme 06/2020
</t>
  </si>
  <si>
    <r>
      <rPr>
        <i/>
        <sz val="8"/>
        <rFont val="Arial"/>
        <family val="2"/>
      </rPr>
      <t xml:space="preserve">Hohenberg (111): </t>
    </r>
    <r>
      <rPr>
        <sz val="8"/>
        <rFont val="Arial"/>
        <family val="2"/>
      </rPr>
      <t xml:space="preserve">                                                                                            </t>
    </r>
    <r>
      <rPr>
        <b/>
        <sz val="8"/>
        <rFont val="Arial"/>
        <family val="2"/>
      </rPr>
      <t>Hohenberg (Burgplatz)</t>
    </r>
    <r>
      <rPr>
        <sz val="8"/>
        <rFont val="Arial"/>
        <family val="2"/>
      </rPr>
      <t xml:space="preserve"> – Kirchstaße - Schlusteig - Brandweg - Höhe 494 - WA Silberloh - über den Heiligenberg - Höhe 533 - </t>
    </r>
    <r>
      <rPr>
        <b/>
        <sz val="8"/>
        <rFont val="Arial"/>
        <family val="2"/>
      </rPr>
      <t xml:space="preserve">Ausgangspunkt
</t>
    </r>
  </si>
  <si>
    <t>Rundwanderweg Nr. 6 der  Gemeinde Hohenberg</t>
  </si>
  <si>
    <t>N-2021-01</t>
  </si>
  <si>
    <t>Neuaufnahme, gemeldet 06.06.2021, ID 25732 gemeldet als N-2021-01 ,
erledigt (Jan 2022)</t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</si>
  <si>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Bischofsgrün (Seilbahn Talstation)</t>
    </r>
    <r>
      <rPr>
        <sz val="8"/>
        <rFont val="Arial"/>
        <family val="2"/>
      </rPr>
      <t xml:space="preserve"> - Weißer Main - Karches - Weißmainfelsen - Weißmainquelle - Ochsenkopf - Pumperhieb - Wanderparkplatz Vogelherd - Hügelfels - Sprungschanze -Ausgangspunkt
</t>
    </r>
  </si>
  <si>
    <t>000002_N_Korr-2021_Weißmain-Ochsenkopf-Steig, Aufnahme abgeschlosssen (Günter)</t>
  </si>
  <si>
    <t>Markgrafen-runde</t>
  </si>
  <si>
    <r>
      <rPr>
        <i/>
        <sz val="8"/>
        <rFont val="Arial"/>
        <family val="2"/>
      </rPr>
      <t>Bischofsgrün (303)</t>
    </r>
    <r>
      <rPr>
        <sz val="8"/>
        <rFont val="Arial"/>
        <family val="2"/>
      </rPr>
      <t xml:space="preserve">:
</t>
    </r>
    <r>
      <rPr>
        <b/>
        <sz val="8"/>
        <rFont val="Arial"/>
        <family val="2"/>
      </rPr>
      <t>Wülfersreuth (Wanderparkplatz Kellerhaus)</t>
    </r>
    <r>
      <rPr>
        <sz val="8"/>
        <rFont val="Arial"/>
        <family val="2"/>
      </rPr>
      <t xml:space="preserve"> - Wolfsgarten - Güßhügel - Markgrafenweg - "Gefreeser Str." - Schweinsbach - Wülfersreuth unteres Dorf - Lohe- Bärnreuther Straße - Eichig -Dorfmitte - Neuhaus - Ausgangspunkt
</t>
    </r>
  </si>
  <si>
    <t>Neuaufnahme, 2023_V303_N_KORR_Markgrafenrunde, Aufnahme abgeschlossen (Michael)</t>
  </si>
  <si>
    <t>Erfahrungs-pfad Lebensraum</t>
  </si>
  <si>
    <t>Stand:</t>
  </si>
  <si>
    <t>Stand: 15.04.2014</t>
  </si>
  <si>
    <t>Hinweis: Wegenetz ist bis auf minimale Nachkorrekturen komplett vermessen</t>
  </si>
  <si>
    <t>Gesamtes Wegenetz</t>
  </si>
  <si>
    <t>Wegenetz nach Landkreisen</t>
  </si>
  <si>
    <t>(vor Wegereform)</t>
  </si>
  <si>
    <t>Hauptwanderwege</t>
  </si>
  <si>
    <t>Wegart</t>
  </si>
  <si>
    <t>Lkr. BT</t>
  </si>
  <si>
    <t>Lkr. HO</t>
  </si>
  <si>
    <t>Lkr. KU</t>
  </si>
  <si>
    <t>Lkr. TIR</t>
  </si>
  <si>
    <t>Lkr. WUN</t>
  </si>
  <si>
    <t>Andere</t>
  </si>
  <si>
    <t>Summen</t>
  </si>
  <si>
    <t>davon:</t>
  </si>
  <si>
    <t>Haupt-/Weit-/Fernwanderwege</t>
  </si>
  <si>
    <t>Hauptwanderwegenetz</t>
  </si>
  <si>
    <t>Verb.-/Anschlusswege</t>
  </si>
  <si>
    <t>&gt;&gt; inkl. Haupt-/Weit-/Fern-/Ringwege</t>
  </si>
  <si>
    <t xml:space="preserve">        davon Zuwege Fränkischer Gebirgsweg</t>
  </si>
  <si>
    <t>&gt;&gt; inkl. Qualitätswege</t>
  </si>
  <si>
    <t>Ringwege</t>
  </si>
  <si>
    <t>&gt;&gt; inkl. Verb.-/ Anschlusswege</t>
  </si>
  <si>
    <t>"vakant" - Wege ohne OV-Betreuung</t>
  </si>
  <si>
    <t>Örtliche Wege (Rundwanderwege)</t>
  </si>
  <si>
    <t>Summe Anteile Landkreise</t>
  </si>
  <si>
    <t>Örtliche Wanderwege</t>
  </si>
  <si>
    <t>Rundwanderwege</t>
  </si>
  <si>
    <t>Lehrpfade</t>
  </si>
  <si>
    <t>Themenwege</t>
  </si>
  <si>
    <t>Qualitätswanderwege</t>
  </si>
  <si>
    <t>Qualitätsweg Fränkischer Gebirgsweg</t>
  </si>
  <si>
    <t>Qualitätsweg Fränkisches Steinreich</t>
  </si>
  <si>
    <t>Weitere Qualitätswege</t>
  </si>
  <si>
    <t>*Ringwege</t>
  </si>
  <si>
    <t>*Rundwanderwege</t>
  </si>
  <si>
    <t>Zuschussberechtigt:</t>
  </si>
  <si>
    <t>Anteile der Gebiete / Ortsgruppen am Wegenetz</t>
  </si>
  <si>
    <t>Gebiete</t>
  </si>
  <si>
    <t>Ortsvereine</t>
  </si>
  <si>
    <t xml:space="preserve"> HWW</t>
  </si>
  <si>
    <t>RWW</t>
  </si>
  <si>
    <t>gesamt</t>
  </si>
  <si>
    <t>plus "Konnersreuth"</t>
  </si>
  <si>
    <t>Asch</t>
  </si>
  <si>
    <t>Schwarzenhammer</t>
  </si>
  <si>
    <t>Brand/Opf.</t>
  </si>
  <si>
    <t>Nürnberg/Fürth</t>
  </si>
  <si>
    <t>Oberwarmensteinach</t>
  </si>
  <si>
    <t>Hallerstein</t>
  </si>
  <si>
    <t>Plauen</t>
  </si>
  <si>
    <t>Schwarzenbach/Saale</t>
  </si>
  <si>
    <t>Berlin</t>
  </si>
  <si>
    <t>HV</t>
  </si>
  <si>
    <t>Wege ohne OV-Betreuung</t>
  </si>
  <si>
    <t>Datenbank-
Bearbeitungsstand NACH Reform</t>
  </si>
  <si>
    <r>
      <rPr>
        <i/>
        <sz val="8"/>
        <rFont val="Arial"/>
        <family val="2"/>
      </rPr>
      <t>Kulmbach (506):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Limmersdorf</t>
    </r>
    <r>
      <rPr>
        <sz val="8"/>
        <rFont val="Arial"/>
        <family val="2"/>
      </rPr>
      <t xml:space="preserve"> - Weinreichsgrab (Limmersdorfer Forst) -</t>
    </r>
    <r>
      <rPr>
        <b/>
        <sz val="8"/>
        <rFont val="Arial"/>
        <family val="2"/>
      </rPr>
      <t xml:space="preserve"> Waldhütte - Teufelslochgraben - Teufelsloch - Einmündung in Forstweg 
</t>
    </r>
  </si>
  <si>
    <t>Limmersdorf - Limmersdorfer Forst - Teufelsloch, FGV-WegNr. 108, ein Markierugnsabschnitt</t>
  </si>
  <si>
    <t>Neu-/Wiederaufnahme 07/2017, 
abgegeben an FWV  12/2021</t>
  </si>
  <si>
    <r>
      <t xml:space="preserve">00000
LVG – ID
</t>
    </r>
    <r>
      <rPr>
        <b/>
        <sz val="8"/>
        <color indexed="10"/>
        <rFont val="Arial"/>
        <family val="2"/>
      </rPr>
      <t>(Wege-nummer)</t>
    </r>
  </si>
  <si>
    <t>LVG-Wegebezeichnung</t>
  </si>
  <si>
    <t>FGV-WegNr</t>
  </si>
  <si>
    <t>FGV-
Wegbe-zeichnung</t>
  </si>
  <si>
    <t>Bearbeitungshinweise</t>
  </si>
  <si>
    <t>Lt. HWW aufgelöst</t>
  </si>
  <si>
    <t>erl.</t>
  </si>
  <si>
    <t>Fichtelgebirgsverein</t>
  </si>
  <si>
    <t>Wanderweg (Zell-Grossenau)</t>
  </si>
  <si>
    <t>Verbindungsweg</t>
  </si>
  <si>
    <t>AUFGELÖST</t>
  </si>
  <si>
    <t>2011_02</t>
  </si>
  <si>
    <t>Wanderweg (Weissenstadt-Röslau)</t>
  </si>
  <si>
    <t>Fichtelgebirgsverein/HV</t>
  </si>
  <si>
    <t>Wanderweg 59 (Egerquelle - Waldstein)</t>
  </si>
  <si>
    <t>Auflösung im Rahmen Wegereform, Kreipe</t>
  </si>
  <si>
    <t>Mail, Mittermaier</t>
  </si>
  <si>
    <t>2015_02</t>
  </si>
  <si>
    <t>Fichtelgebirgsverein/OG Sparneck</t>
  </si>
  <si>
    <t>Rundwanderweg schwarz auf lindgrün 5b</t>
  </si>
  <si>
    <t>2011_01</t>
  </si>
  <si>
    <t>Wanderweg 34 (Wunsiedel-Röslau)</t>
  </si>
  <si>
    <t>2015_01</t>
  </si>
  <si>
    <t>002678/Gmd Tröstau / Lehrpfad 2</t>
  </si>
  <si>
    <t>ohne</t>
  </si>
  <si>
    <t>in Absprache mit Peter Lang, Günter Welzel</t>
  </si>
  <si>
    <t>002679/Gmd Tröstau / Lehrpfad 3</t>
  </si>
  <si>
    <t xml:space="preserve">ohne </t>
  </si>
  <si>
    <t>Gemeinde Tröstau</t>
  </si>
  <si>
    <t>Rundwanderweg rot 4a</t>
  </si>
  <si>
    <t>2010_02</t>
  </si>
  <si>
    <t>Gemeinde Nagel</t>
  </si>
  <si>
    <t>Rundwanderweg schwarz auf weiß 8</t>
  </si>
  <si>
    <t>Wanderweg 50 (Marktschorgast-Stein)</t>
  </si>
  <si>
    <t>aufgelöst gem. Ergebnisprotokoll v. 214.11.2015</t>
  </si>
  <si>
    <t>2016_01</t>
  </si>
  <si>
    <t>Rundwanderweg rot 6</t>
  </si>
  <si>
    <t>Wanderweg 77 (Marktredwitz-Bernstein)</t>
  </si>
  <si>
    <t>AUFGELÖST, in Absprache mit Decker (Hottaß)</t>
  </si>
  <si>
    <t>Wanderweg 74 (Wunsiedel-Quellenweg)</t>
  </si>
  <si>
    <t>003395_Fichtelgebirgsverein _Wanderweg 120 _Pullenreuth</t>
  </si>
  <si>
    <t>Auflösung ab MAK-Haus - Ruhberg
in Absprache mit Decker (Hottaß)</t>
  </si>
  <si>
    <t>2010_01</t>
  </si>
  <si>
    <t>Wanderweg 126 (Marktredwitz-Einmündung Steinweg)</t>
  </si>
  <si>
    <t>AUFGELÖST (nach Rücksprache mit Decker)</t>
  </si>
  <si>
    <t>Wanderweg 70a (Schwarzenreuth-Wackelstein-Unterschurbach)</t>
  </si>
  <si>
    <t>aufgelöst nach Rücksprache mit HWW</t>
  </si>
  <si>
    <t>2012_01</t>
  </si>
  <si>
    <t>Wanderweg 70 (Neusorg-Kösseine)</t>
  </si>
  <si>
    <t>Neusorg, Ebnath</t>
  </si>
  <si>
    <t>Wanderweg 99 (Neusorg-Steinwaldweg)</t>
  </si>
  <si>
    <t>Rundwanderweg rot 7</t>
  </si>
  <si>
    <t>Rundwanderweg rot 1</t>
  </si>
  <si>
    <t>Rundwanderweg rot 2</t>
  </si>
  <si>
    <t>Rundwanderweg rot 4</t>
  </si>
  <si>
    <t>Rundwanderweg rot 5</t>
  </si>
  <si>
    <t>Gemeinde Brand</t>
  </si>
  <si>
    <t>Rundwanderweg rot 3</t>
  </si>
  <si>
    <t>Neusorg RWW 1, neuer Verlauf, jetzt 8675</t>
  </si>
  <si>
    <t>aus RWW 5 wird RWW 1 neu</t>
  </si>
  <si>
    <t>Neusorg RWW 4</t>
  </si>
  <si>
    <t>RWW 4</t>
  </si>
  <si>
    <t>Fichtelgebirgsverein/OV Schwarzenhammer</t>
  </si>
  <si>
    <t>Rundwanderweg schwarz auf weiß 1</t>
  </si>
  <si>
    <t>Schwarzen-hammer</t>
  </si>
  <si>
    <t>aufgelöst wg. Auflösung Ortsgruppe</t>
  </si>
  <si>
    <t>tel. Mittermaier</t>
  </si>
  <si>
    <t>Rundwanderweg schwarz auf weiß 2</t>
  </si>
  <si>
    <t>Stadt Waldsassen</t>
  </si>
  <si>
    <t>Rundwanderweg rot K</t>
  </si>
  <si>
    <t>Naturfreunde Arzberg</t>
  </si>
  <si>
    <t>Auflösung auf Bitte der Naturfreunde Arzberg</t>
  </si>
  <si>
    <t>2013_01</t>
  </si>
  <si>
    <t>Rundwanderweg rot G</t>
  </si>
  <si>
    <t>Wanderweg blau auf weiß S1120 (Wanderweg 68-Einmündung Quellenweg</t>
  </si>
  <si>
    <t>Asch-Selb</t>
  </si>
  <si>
    <t>wird vom FGV nicht markiert, verläuft auf Trasse des Ostweges (ID  3304)</t>
  </si>
  <si>
    <t>Fichtelgebirgsverein/OV Schirnding</t>
  </si>
  <si>
    <t>aufgelöst auf Mitteilung Michael Weger</t>
  </si>
  <si>
    <t>TG Mittermeier</t>
  </si>
  <si>
    <t>Rundwanderweg schwarz auf weiß 3</t>
  </si>
  <si>
    <t>Fichtelgebirgsverein/OV Thiersheim</t>
  </si>
  <si>
    <t>Rundwanderweg blau auf weiß 2a</t>
  </si>
  <si>
    <t>aufgelöst nach Rücksprache mit Gerhard Schmidt</t>
  </si>
  <si>
    <t>Mail Mittermeier</t>
  </si>
  <si>
    <t>2013_02</t>
  </si>
  <si>
    <t>Fichtelgebirgsverein/OV Selb</t>
  </si>
  <si>
    <t>Waldlehrpfad Hammerwald</t>
  </si>
  <si>
    <t>wg. Neugestaltung der RWW Selb</t>
  </si>
  <si>
    <t>Auflösungen ab Januar 2016 siehe auch FGV-Datenbank (Arbeitstitel "FGV-Wegenetz_AKTUELL")</t>
  </si>
  <si>
    <t>Nach nochmaliger Überprüfung gelöscht / nicht wieder aufgenommen</t>
  </si>
  <si>
    <t>24712</t>
  </si>
  <si>
    <r>
      <rPr>
        <strike/>
        <sz val="8"/>
        <rFont val="Arial"/>
        <family val="2"/>
      </rPr>
      <t>Wiederaufnahme RWW 6a (002257 alt)</t>
    </r>
    <r>
      <rPr>
        <sz val="8"/>
        <rFont val="Arial"/>
        <family val="2"/>
      </rPr>
      <t xml:space="preserve"> Nach Rücksprache mit Sparneck: gelöscht (07.03.2019)</t>
    </r>
  </si>
  <si>
    <t>OV Kulmbach</t>
  </si>
  <si>
    <t>RWW 506-10, Edelmannring, Mz034</t>
  </si>
  <si>
    <t>Weg wird komplett vom Frankenwaldverein übernommen (TG mit Wegewart und HWW)</t>
  </si>
  <si>
    <t>007232_F108_G5_V506_HWF_VAW</t>
  </si>
  <si>
    <t>Weg wird komplett vom Frankenwaldverein übernommen (TG mit HWW)</t>
  </si>
  <si>
    <r>
      <t xml:space="preserve">Wegbeschaffenheit
</t>
    </r>
    <r>
      <rPr>
        <b/>
        <sz val="8"/>
        <rFont val="Arial"/>
        <family val="2"/>
      </rPr>
      <t>(in km)</t>
    </r>
  </si>
  <si>
    <r>
      <t xml:space="preserve">Wegtypen
</t>
    </r>
    <r>
      <rPr>
        <b/>
        <sz val="8"/>
        <rFont val="Arial"/>
        <family val="2"/>
      </rPr>
      <t>(in km)</t>
    </r>
  </si>
  <si>
    <t>Wege-ID /Teile</t>
  </si>
  <si>
    <t>Off-Grid</t>
  </si>
  <si>
    <t>SUMME aus u.a. Abschnitten</t>
  </si>
  <si>
    <t>_01</t>
  </si>
  <si>
    <t>&lt; 100</t>
  </si>
  <si>
    <t>_02</t>
  </si>
  <si>
    <t>_03</t>
  </si>
  <si>
    <t>_04</t>
  </si>
  <si>
    <t>_05</t>
  </si>
  <si>
    <t>_06</t>
  </si>
  <si>
    <t>FGV-Wege</t>
  </si>
  <si>
    <t xml:space="preserve">FGV-Nummerierung </t>
  </si>
  <si>
    <t>Kategorie</t>
  </si>
  <si>
    <t>Eintrag in Wege-übersicht</t>
  </si>
  <si>
    <t>1 - 15</t>
  </si>
  <si>
    <t>20 - 133</t>
  </si>
  <si>
    <t>Verbindungs- und Anschlusswege</t>
  </si>
  <si>
    <t xml:space="preserve">200 - </t>
  </si>
  <si>
    <t>Qualitäts-weg</t>
  </si>
  <si>
    <t xml:space="preserve">501 - </t>
  </si>
  <si>
    <t>Zuwege Fränkischer Gebirgsweg</t>
  </si>
  <si>
    <t>600 -</t>
  </si>
  <si>
    <t>Teilweise vom FGV betreute Wege</t>
  </si>
  <si>
    <r>
      <rPr>
        <b/>
        <sz val="10"/>
        <rFont val="Arial"/>
        <family val="2"/>
      </rPr>
      <t>Vereinskenne</t>
    </r>
    <r>
      <rPr>
        <sz val="10"/>
        <rFont val="Arial"/>
        <family val="2"/>
      </rPr>
      <t>r (dreistellige Zahl)</t>
    </r>
    <r>
      <rPr>
        <b/>
        <sz val="10"/>
        <rFont val="Arial"/>
        <family val="2"/>
      </rPr>
      <t>_xx</t>
    </r>
    <r>
      <rPr>
        <sz val="10"/>
        <rFont val="Arial"/>
        <family val="2"/>
      </rPr>
      <t xml:space="preserve"> (Nummer Rundwanderwege / Lehrpfade, zweistellig) </t>
    </r>
  </si>
  <si>
    <t>Rund-wanderweg / Lehrpfad</t>
  </si>
  <si>
    <t xml:space="preserve">Gebiet 1 </t>
  </si>
  <si>
    <t>101-xx</t>
  </si>
  <si>
    <t>102-xx</t>
  </si>
  <si>
    <t>103-xx</t>
  </si>
  <si>
    <t>104-xx</t>
  </si>
  <si>
    <t>105-xx</t>
  </si>
  <si>
    <t>106-xx</t>
  </si>
  <si>
    <t>107-xx</t>
  </si>
  <si>
    <t>108-xx</t>
  </si>
  <si>
    <t>109-xx</t>
  </si>
  <si>
    <t>110-xx</t>
  </si>
  <si>
    <t>111-xx</t>
  </si>
  <si>
    <t>112-xx</t>
  </si>
  <si>
    <t>Gebiet 2</t>
  </si>
  <si>
    <t>201-xx</t>
  </si>
  <si>
    <t>202-xx</t>
  </si>
  <si>
    <t>203-xx</t>
  </si>
  <si>
    <t>204-xx</t>
  </si>
  <si>
    <t>205-xx</t>
  </si>
  <si>
    <t>206-xx</t>
  </si>
  <si>
    <t>Brand/Opfl</t>
  </si>
  <si>
    <t>207-xx</t>
  </si>
  <si>
    <t>208-xx</t>
  </si>
  <si>
    <t>209-xx</t>
  </si>
  <si>
    <t>Gebiet 3</t>
  </si>
  <si>
    <t>301-xx</t>
  </si>
  <si>
    <t>302-xx</t>
  </si>
  <si>
    <t>303-xx</t>
  </si>
  <si>
    <t>304-xx</t>
  </si>
  <si>
    <t>305-xx</t>
  </si>
  <si>
    <t>306-xx</t>
  </si>
  <si>
    <t>307-xx</t>
  </si>
  <si>
    <t>308-xx</t>
  </si>
  <si>
    <t>309-xx</t>
  </si>
  <si>
    <t>310-xx</t>
  </si>
  <si>
    <t>311-xx</t>
  </si>
  <si>
    <t>312-xx</t>
  </si>
  <si>
    <t>Gebiet 4</t>
  </si>
  <si>
    <t>401-xx</t>
  </si>
  <si>
    <t>402-xx</t>
  </si>
  <si>
    <t>403-xx</t>
  </si>
  <si>
    <t>404-xx</t>
  </si>
  <si>
    <t>405-xx</t>
  </si>
  <si>
    <t>406-xx</t>
  </si>
  <si>
    <t>407-xx</t>
  </si>
  <si>
    <t>408-xx</t>
  </si>
  <si>
    <t>409-xx</t>
  </si>
  <si>
    <t>410-xx</t>
  </si>
  <si>
    <t>Gebiet 5</t>
  </si>
  <si>
    <t>501-xx</t>
  </si>
  <si>
    <t>502-xx</t>
  </si>
  <si>
    <t>503-xx</t>
  </si>
  <si>
    <t>504-xx</t>
  </si>
  <si>
    <t>505-xx</t>
  </si>
  <si>
    <t>506-xx</t>
  </si>
  <si>
    <t>507-xx</t>
  </si>
  <si>
    <t>508-xx</t>
  </si>
  <si>
    <t>509-xx</t>
  </si>
  <si>
    <t>510-xx</t>
  </si>
  <si>
    <t>511-xx</t>
  </si>
  <si>
    <t>512-xx</t>
  </si>
  <si>
    <t>513-xx</t>
  </si>
  <si>
    <r>
      <t xml:space="preserve">Gebiet 0 </t>
    </r>
    <r>
      <rPr>
        <sz val="10"/>
        <rFont val="Arial"/>
        <family val="2"/>
      </rPr>
      <t>(keinem der 5 Gebiete zuzuordnen)</t>
    </r>
  </si>
  <si>
    <t>001-xx</t>
  </si>
  <si>
    <t>HV (FGV-Hauptverein)</t>
  </si>
  <si>
    <t>002-xx</t>
  </si>
  <si>
    <t>OWV (Oberpfälzer Waldverein)</t>
  </si>
  <si>
    <t>003-xx</t>
  </si>
  <si>
    <t>Vakanz</t>
  </si>
  <si>
    <t>Definitionen:</t>
  </si>
  <si>
    <r>
      <rPr>
        <b/>
        <sz val="10"/>
        <rFont val="Arial"/>
        <family val="2"/>
      </rPr>
      <t xml:space="preserve">Verbindungsweg:
- </t>
    </r>
    <r>
      <rPr>
        <sz val="10"/>
        <rFont val="Arial"/>
        <family val="2"/>
      </rPr>
      <t>verbindet Fern-/Weit-/Hauptwanderwege miteinander
- verbindet zwei Ortschaften miteinander
- verbindet eine Ortschaft mit einem Landschaftspunkt (Berg, Quelle etc)</t>
    </r>
  </si>
  <si>
    <r>
      <rPr>
        <b/>
        <sz val="10"/>
        <rFont val="Arial"/>
        <family val="2"/>
      </rPr>
      <t>Anschlussweg:</t>
    </r>
    <r>
      <rPr>
        <sz val="10"/>
        <rFont val="Arial"/>
        <family val="2"/>
      </rPr>
      <t xml:space="preserve"> 
- verbindet eine Ortschaft mit einem Fern-/Weit-/Hauptwanderweg</t>
    </r>
  </si>
  <si>
    <t>AT = Aussichtsturm</t>
  </si>
  <si>
    <t>WA = Waldabteilung</t>
  </si>
  <si>
    <t>n = nördlich</t>
  </si>
  <si>
    <t xml:space="preserve">ö = östlich </t>
  </si>
  <si>
    <t>s = südlich</t>
  </si>
  <si>
    <t>w = westlich</t>
  </si>
  <si>
    <t>Ri = Richtung</t>
  </si>
  <si>
    <t xml:space="preserve">N = Nord / Norden  </t>
  </si>
  <si>
    <t>S = Süd / Süden</t>
  </si>
  <si>
    <t>O = Ost / Osten</t>
  </si>
  <si>
    <t>W = West / Westen</t>
  </si>
  <si>
    <t>LVG-Exceltabelle:</t>
  </si>
  <si>
    <t>Einträge in Spalte Region:</t>
  </si>
  <si>
    <t>Fichtelgebirgsverein/OG Ortsname</t>
  </si>
  <si>
    <t>bei Rundwanderwegen, die von einer FGV-Ortsgruppe betreut werden</t>
  </si>
  <si>
    <t>Wegname/Fichtelgebirgsverein/HV</t>
  </si>
  <si>
    <t>Hauptwanderwege, die von einer oder mehreren Ortsgruppen betreut werden</t>
  </si>
  <si>
    <r>
      <t xml:space="preserve">LVG – ID
</t>
    </r>
    <r>
      <rPr>
        <sz val="6"/>
        <color indexed="10"/>
        <rFont val="Arial"/>
        <family val="2"/>
      </rPr>
      <t>(Wege-nummer)</t>
    </r>
  </si>
  <si>
    <t>Münchberg - Rauher Kulm,  FGV-WegNr 5, Markierungsabschnitte 1 - 7</t>
  </si>
  <si>
    <t>Ostweg, Dreiländereck -Waldsassen, Wegverlauf siehe FGV-WegNr 6, Markierungsabschnitte 1 - 5</t>
  </si>
  <si>
    <t>Kösseinegipfel - Steinwald - Kondrau,  FGV-WegNr 7, Markierungsabschnitte 1 - 5</t>
  </si>
  <si>
    <t>Münchberg - Saalequelle - Egerquelle - Weißmainquelle - Fichtelnaabquelle - Marktredwitz,  FGV-WegNr 8, Markierungsabschnitte 1 - 5</t>
  </si>
  <si>
    <t>Europäischer Fernwanderweg Nr. 3 (E3), Atlantik - Ardennen - Erzgebirge/Krusnè hory-  Karpaten - Schwarzes Meer, Teilstsück Fichgtelgebirge, Wegverlauf siehe FGV-WegNr 13, Markierungsabschnitte 1 - 13</t>
  </si>
  <si>
    <t>Europäischer Fernwanderweg Nr. 6 (E6), Ostsee - Wachau - Adria, Teilstsück Fichgtelgebirge, Wegverlauf siehe FGV-WegNr 14, Markierungsabschnitte 1 - 7</t>
  </si>
  <si>
    <t>W, blau auf weiß</t>
  </si>
  <si>
    <t>Rehau - Hallerstein,   FGV-WegNr 22, Markierungsabschnitte 1 - 2</t>
  </si>
  <si>
    <t>Oberkotzau - Großer Kornberg,  FGV-WegNr.24, ein Markierungsabschnitt</t>
  </si>
  <si>
    <t>Schönwald - Neuhausen,  FGV-WegNr 27, ein Markierungsabschnitt</t>
  </si>
  <si>
    <t>Selb - Nordweg, FGV-WegNr. 30, ein Markierungsabschnitt</t>
  </si>
  <si>
    <t>Selbbachweg - Egerweg, Wegeverlauf FGV-WegNr 30a, ein Markierungsabschnitt</t>
  </si>
  <si>
    <t>Hirschstein - Lamitzbrunnen,   FGV-WegNr 31, ein Markierungsabschnitt</t>
  </si>
  <si>
    <t>Marktleuthen - Kornberg, FGV-WegNr. 32, ein Markierungsabschnitt</t>
  </si>
  <si>
    <t>Zell - Waldstein,   FGV-WegNr 34a, ein Markierungsabschnitt</t>
  </si>
  <si>
    <t>Röslau - Großer Waldstein,   FGV-WegNr 35, Markierungsabschnitte 1 - 2</t>
  </si>
  <si>
    <t>Schönlind - Rudolfstein, FGV-WegNr. 36a,  ein Markierungsabschnitt</t>
  </si>
  <si>
    <t>Gefrees - Großer Waldstein,  FGV-WegNr. 37,  ein Markierungsabschnitt</t>
  </si>
  <si>
    <t>Sparneck - Großer Waldstein, FGV-WegNr. 38,  ein Markierungsabschnitt</t>
  </si>
  <si>
    <t>Weißenstein bei Stammbach - Saalequelle, FGV-WegNr 39, ein Markierungsabschnitt</t>
  </si>
  <si>
    <t>Weißenstadt - Hallerstein,  FGV-WegNr. 41,   Markierungsabschnitte 1 - 2</t>
  </si>
  <si>
    <t>Röslau - Kirchenlamitz,  FGV-WegNr. 43,  Markierungsabschnitte 1 - 2</t>
  </si>
  <si>
    <t>Gefrees - Einmündung in FGV-WegNr. 64,  FGV-WegNr. 44,  ein Markierungsabschnitt</t>
  </si>
  <si>
    <t>Gefrees - Egerquelle,  FGV-WegNr. 47,  ein Markierungsabschnitt</t>
  </si>
  <si>
    <t>Marktschorgast - Schweinsbach,  FGV-WegNr. 49,  Markierungsabschnitte 1 - 2</t>
  </si>
  <si>
    <t>Fichtelberg - Fleckl (Einmündung FGV-WegNr 54), ein Markierungsabschnitt</t>
  </si>
  <si>
    <t>Vogelherd (ab WegNr 60) - Seehaus,  FGV-WegNr  61, Markierungsabschnitte 1 -4</t>
  </si>
  <si>
    <t>Ahornberg - Fichtelberg, Wegverlauf siehe FGV-WegNr 62, ein Markierungsabschnitt</t>
  </si>
  <si>
    <t>Silberhaus - Warmensteinach,  FGV-WegNr. 63, Markierungsabschnitte 1 - 2</t>
  </si>
  <si>
    <t xml:space="preserve">Höhenklinik - Höhenweg, Wegverlauf siehe FGV-WegNr 66, ein Markierungsabschnitte </t>
  </si>
  <si>
    <t>Tröstau - Kösseine,  FGV-WegNr  71,  ein Markierungsabschnitt</t>
  </si>
  <si>
    <t>Rodenzenreuth - Kleinwendern, Wegeverlauf sehe FGV-WegNr 73, ein Markierungsabschnitt</t>
  </si>
  <si>
    <t>FGV-WegNr 74 - Oberthölau,  FGV-WegNr  72a,  ein Markierungsabschnitt</t>
  </si>
  <si>
    <t>Marktredwitz - Kösseine, Wegverlauf siehe FGV-WegNr 75, ein Markierungsabschnitt</t>
  </si>
  <si>
    <t>Mitterteich - Marktleuthen,  FGV-WegNr 78, Markierungsabschnitte 1 - 3</t>
  </si>
  <si>
    <t>Verbindung Saar-Schlesienweg (Selb) - Saar-Schlesienweg (Thierstein),   FGV-WegNr 79, Markierungsabschnitte 1 - 2</t>
  </si>
  <si>
    <t>Wartberg - Hohenberg,  FGV-WegNr  81a, Markierungsabschnitte 1 - 3</t>
  </si>
  <si>
    <t>Arzberg - Wartberg,  FGV-WegNr 82, Markierungsabschnitte 1 - 2</t>
  </si>
  <si>
    <t>Brand b. Marktredwitz - St2176 (parkplatz Lindenberg), WegNr 85, ein Markierungsabschnitt</t>
  </si>
  <si>
    <t>Selb - Egerweg/Hendelhammer, FGV-WegNr. 89, ein Abshnitt</t>
  </si>
  <si>
    <t>Karches - Höhenweg;   FGV-WegNr. 92, ein Markierungsabschnitt</t>
  </si>
  <si>
    <t>Neusorg - Armesberg, WegNr 96, ein Markierungsabschnitt</t>
  </si>
  <si>
    <t>Bad Berneck - Prinz-Rupprecht-Turm - Einmündung Nordweg,  FGV-WegNr. 98, ein Markierungsabschnitte</t>
  </si>
  <si>
    <t>Südweg (FGV-WegNr 4, LVG-ID 002971)  -"Jägersteig", - Ringweg Warmensteinach (FGV-WegNr 202, LVG-ID 003470), FGV-WegNr 101, ein Markierungsabschnitt</t>
  </si>
  <si>
    <t>N_2017_02</t>
  </si>
  <si>
    <t>Themenweg "Mit der Arnika zum Kornberg"
(Rehau - Vorsuchhütte)</t>
  </si>
  <si>
    <t>Querverbindung zwischen Rotmain-Wanderweg, Main-Wanderweg und Nordweg</t>
  </si>
  <si>
    <t>Pullenreuth -Marktredwitzer Haus, Wegverlauf siehe FGV-WegNr 120, ein Markierungsab schnitt
ab MAK-Haus aufgelöst</t>
  </si>
  <si>
    <t>Marktredwitz - Saubadfelsen,  FGV WegNr 121, 2 Markierungsabschnitte</t>
  </si>
  <si>
    <t>Neusorg - Pullenreuth,  FGV-WegNr  127  ein Markierungsabschnitt</t>
  </si>
  <si>
    <t>Weißenstadt - Finkenmühle, FGV-WegNr. 132, ein Markierungsabschnitt</t>
  </si>
  <si>
    <t>Übernahme vom FWV in Münchberg / Übergabe an FSV am Wechselstein,  FGV-WegNr 500, Markierungsabschnitte 01 - 28</t>
  </si>
  <si>
    <t>Bischofsgrün - Schneeberggipfel, "Backöfeleweg", FGV-WegNr.66a,  ein Markierungsabschnitt</t>
  </si>
  <si>
    <t>101_01</t>
  </si>
  <si>
    <t>101_02</t>
  </si>
  <si>
    <t>101_03</t>
  </si>
  <si>
    <t>101_04</t>
  </si>
  <si>
    <t>101_05</t>
  </si>
  <si>
    <t>101_06</t>
  </si>
  <si>
    <t>104_01</t>
  </si>
  <si>
    <t>104_03</t>
  </si>
  <si>
    <t>105_01</t>
  </si>
  <si>
    <t>105_02</t>
  </si>
  <si>
    <t>105_03</t>
  </si>
  <si>
    <t>105_04</t>
  </si>
  <si>
    <t>105_05</t>
  </si>
  <si>
    <t>105_06</t>
  </si>
  <si>
    <t>105_07</t>
  </si>
  <si>
    <t>105_08</t>
  </si>
  <si>
    <t>105_09</t>
  </si>
  <si>
    <t>107_01</t>
  </si>
  <si>
    <t>107_02</t>
  </si>
  <si>
    <t>107_03</t>
  </si>
  <si>
    <t>107_04</t>
  </si>
  <si>
    <t>107_05</t>
  </si>
  <si>
    <t>107_06</t>
  </si>
  <si>
    <t>107_07</t>
  </si>
  <si>
    <t>107_08</t>
  </si>
  <si>
    <t>107_09</t>
  </si>
  <si>
    <t>107_11</t>
  </si>
  <si>
    <t>107_12</t>
  </si>
  <si>
    <t>107_13</t>
  </si>
  <si>
    <t>108_01</t>
  </si>
  <si>
    <t>108_02</t>
  </si>
  <si>
    <t>109_01</t>
  </si>
  <si>
    <t>109_02</t>
  </si>
  <si>
    <t>109_03</t>
  </si>
  <si>
    <t>109_04</t>
  </si>
  <si>
    <t>109_05</t>
  </si>
  <si>
    <t>110_01</t>
  </si>
  <si>
    <t>110_02</t>
  </si>
  <si>
    <t>110_03</t>
  </si>
  <si>
    <t>111_01</t>
  </si>
  <si>
    <t>111_02</t>
  </si>
  <si>
    <t>111_03</t>
  </si>
  <si>
    <t>111_04</t>
  </si>
  <si>
    <t>111_05</t>
  </si>
  <si>
    <t>111_07</t>
  </si>
  <si>
    <t>201_01</t>
  </si>
  <si>
    <t>201_02</t>
  </si>
  <si>
    <t>201_03</t>
  </si>
  <si>
    <t>203_01</t>
  </si>
  <si>
    <t>203_02</t>
  </si>
  <si>
    <t>203_03</t>
  </si>
  <si>
    <t>203_04</t>
  </si>
  <si>
    <t>203_05</t>
  </si>
  <si>
    <t>203_06</t>
  </si>
  <si>
    <t>203_07</t>
  </si>
  <si>
    <t>204_01</t>
  </si>
  <si>
    <t>204_02</t>
  </si>
  <si>
    <t>204_03</t>
  </si>
  <si>
    <t>204_04</t>
  </si>
  <si>
    <t>205_01</t>
  </si>
  <si>
    <t>205_02</t>
  </si>
  <si>
    <t>205_03</t>
  </si>
  <si>
    <t>206_06</t>
  </si>
  <si>
    <t>206_07</t>
  </si>
  <si>
    <t>206_10</t>
  </si>
  <si>
    <t>209_01</t>
  </si>
  <si>
    <t>209_02</t>
  </si>
  <si>
    <t>209_03</t>
  </si>
  <si>
    <t>302_01</t>
  </si>
  <si>
    <t>302_02</t>
  </si>
  <si>
    <t>302_03</t>
  </si>
  <si>
    <t>302_04</t>
  </si>
  <si>
    <t>303_01</t>
  </si>
  <si>
    <t>303_02</t>
  </si>
  <si>
    <t>303_03</t>
  </si>
  <si>
    <t>303_11</t>
  </si>
  <si>
    <t>303_12</t>
  </si>
  <si>
    <t>304_01</t>
  </si>
  <si>
    <t>304_02</t>
  </si>
  <si>
    <t>306_01</t>
  </si>
  <si>
    <t>306_02</t>
  </si>
  <si>
    <t>306_03</t>
  </si>
  <si>
    <t>306_04</t>
  </si>
  <si>
    <t>306_05</t>
  </si>
  <si>
    <t>306_06</t>
  </si>
  <si>
    <t>306_07</t>
  </si>
  <si>
    <t>307_01</t>
  </si>
  <si>
    <t>307_02</t>
  </si>
  <si>
    <t>307_03</t>
  </si>
  <si>
    <t>307_04</t>
  </si>
  <si>
    <t>307_05</t>
  </si>
  <si>
    <t>307_06</t>
  </si>
  <si>
    <t>310_01</t>
  </si>
  <si>
    <t>310_02</t>
  </si>
  <si>
    <t>310_03</t>
  </si>
  <si>
    <t>310_04</t>
  </si>
  <si>
    <t>310_05</t>
  </si>
  <si>
    <t>310_06</t>
  </si>
  <si>
    <t>Rundwanderweg Nr. 6 der Gemeinde Speichersdrof (ehem. Immenreuth)</t>
  </si>
  <si>
    <t>310_07</t>
  </si>
  <si>
    <t>310_08</t>
  </si>
  <si>
    <t>310_10</t>
  </si>
  <si>
    <t>311_01</t>
  </si>
  <si>
    <t>311_02</t>
  </si>
  <si>
    <t>311_03</t>
  </si>
  <si>
    <t>311_04</t>
  </si>
  <si>
    <t>311_05</t>
  </si>
  <si>
    <t>311_06</t>
  </si>
  <si>
    <t>311_07</t>
  </si>
  <si>
    <t>311_08</t>
  </si>
  <si>
    <t>311_09</t>
  </si>
  <si>
    <t>311_10</t>
  </si>
  <si>
    <t>311_11</t>
  </si>
  <si>
    <t>312_01</t>
  </si>
  <si>
    <t>312_02</t>
  </si>
  <si>
    <t>312_03</t>
  </si>
  <si>
    <t>312_04</t>
  </si>
  <si>
    <t>312_11</t>
  </si>
  <si>
    <t>312_12</t>
  </si>
  <si>
    <t>312_13</t>
  </si>
  <si>
    <t>312_14</t>
  </si>
  <si>
    <t>312_15</t>
  </si>
  <si>
    <t>312_16</t>
  </si>
  <si>
    <t>404_01</t>
  </si>
  <si>
    <t>405_01</t>
  </si>
  <si>
    <t>405_02</t>
  </si>
  <si>
    <t>405_03</t>
  </si>
  <si>
    <t>405_04</t>
  </si>
  <si>
    <t>N_2017_01</t>
  </si>
  <si>
    <t>Arnikazeichen</t>
  </si>
  <si>
    <t>405_05</t>
  </si>
  <si>
    <t>Themenweg "Mit der Arnika in den Rehauer Forst" / Rundwanderweg Nr. 5 der Gemeinde Rehau</t>
  </si>
  <si>
    <t>406_01</t>
  </si>
  <si>
    <t>406_02</t>
  </si>
  <si>
    <t>406_03</t>
  </si>
  <si>
    <t>406_04</t>
  </si>
  <si>
    <t>407_01</t>
  </si>
  <si>
    <t>407_02</t>
  </si>
  <si>
    <t>407_03</t>
  </si>
  <si>
    <t>407_04</t>
  </si>
  <si>
    <t>407_05</t>
  </si>
  <si>
    <t>5b, schwarz auf lindgrün</t>
  </si>
  <si>
    <t>407_06</t>
  </si>
  <si>
    <t>6a, schwarz auf lindgrün</t>
  </si>
  <si>
    <t>Rundwanderweg Nr. 6a der Gemeinde Sparneck (Abkürzung für Rundwanderweg 6)</t>
  </si>
  <si>
    <t>501_01</t>
  </si>
  <si>
    <t>501_02</t>
  </si>
  <si>
    <t>501_03</t>
  </si>
  <si>
    <t>501_04</t>
  </si>
  <si>
    <t>501_05</t>
  </si>
  <si>
    <t>501_06</t>
  </si>
  <si>
    <t>501_07</t>
  </si>
  <si>
    <t>504_01</t>
  </si>
  <si>
    <t>504_02</t>
  </si>
  <si>
    <t>504_03</t>
  </si>
  <si>
    <t>505_01</t>
  </si>
  <si>
    <t>505_02</t>
  </si>
  <si>
    <t>505_03</t>
  </si>
  <si>
    <t>505_12</t>
  </si>
  <si>
    <t>506_01</t>
  </si>
  <si>
    <t>506_10</t>
  </si>
  <si>
    <t>Edelmannring, Rundwanderweg der Gemeinde Kulmbach, Betreuung durch FGV und FWV, Gesamtlänge: 22,939 km</t>
  </si>
  <si>
    <t>507_01</t>
  </si>
  <si>
    <t>507_02</t>
  </si>
  <si>
    <t>507_03</t>
  </si>
  <si>
    <t>507_04</t>
  </si>
  <si>
    <t>507_05</t>
  </si>
  <si>
    <t>507_06</t>
  </si>
  <si>
    <t>507_07</t>
  </si>
  <si>
    <t>507_08</t>
  </si>
  <si>
    <t>509_01</t>
  </si>
  <si>
    <t>509_02</t>
  </si>
  <si>
    <t>509_03</t>
  </si>
  <si>
    <t>509_04</t>
  </si>
  <si>
    <t>510_01</t>
  </si>
  <si>
    <t>510_06</t>
  </si>
  <si>
    <t>510_07</t>
  </si>
  <si>
    <t>510_08</t>
  </si>
  <si>
    <t>510_09</t>
  </si>
  <si>
    <t>510_10</t>
  </si>
  <si>
    <t>511_01</t>
  </si>
  <si>
    <t>511_02</t>
  </si>
  <si>
    <t>511_03</t>
  </si>
  <si>
    <t>511_04</t>
  </si>
  <si>
    <t>511_05</t>
  </si>
  <si>
    <t>Notiz</t>
  </si>
  <si>
    <t>Rundwanderweg</t>
  </si>
  <si>
    <t>003027/Gmd Tröstau / Rundwanderweg grün S1318</t>
  </si>
  <si>
    <t>Weg wurde durch LVG aus der Datenbank gelöscht !! Existiert dieser Weg noch, wenn ja unter welcher Bezeichnung / Markierung ?</t>
  </si>
  <si>
    <t>TG mit Herrn Jaschko, 02.02.09</t>
  </si>
  <si>
    <t>Symbollisten "S...."</t>
  </si>
  <si>
    <t>Hinweise zur Datenbankbearbeitung</t>
  </si>
  <si>
    <t>TG mit Herrn Eckl, Vors. OG Marktleuthen: alle 8 Rundwanderwege bleiben bestehen, Markierung: weiß auf grün</t>
  </si>
  <si>
    <t>Einbinden von Grafiken:</t>
  </si>
  <si>
    <t>Über Zwischenablage einfügen, Größe anpassen, in Eigenschaften: von Größe und Zellposition abhängig, 
Mit ALT markieren und an gewünschte Position schieben (rastet ein).</t>
  </si>
  <si>
    <t>Sortieren:</t>
  </si>
  <si>
    <t>Vor Sortieren "Daten haben Überschriften" anhaken, damit die oberste Zeile nicht mitsortiert wird.</t>
  </si>
  <si>
    <r>
      <t xml:space="preserve">TG mit Herrn Jaschko, 02.02.09
- beim Löschen eines Weges unter Bemerkungen nichts eintragen !!
- intern-einträge könnnen jederzeit erweiter werden. Das was aktuell eingetragen ist, wird in Datenbank übernommen
TG mit Herrn Mittermaier (07./08.01.2010):
- </t>
    </r>
    <r>
      <rPr>
        <b/>
        <sz val="10"/>
        <rFont val="Arial"/>
        <family val="2"/>
      </rPr>
      <t>Bei Änderungen mit Kennern</t>
    </r>
    <r>
      <rPr>
        <sz val="10"/>
        <rFont val="Arial"/>
        <family val="2"/>
      </rPr>
      <t xml:space="preserve"> zum Kenner (im Feld NAME) nach Unterstrich die Wege-ID mit angeben (vorausgehende Nullen weglassen), mehrere ID's durch Strichpunkt (?) trennen, Beispiel:
V_11739 oder L_11739;1994 etc. und unter "Bearbeiten" wie gehabt verfahren !!
- </t>
    </r>
    <r>
      <rPr>
        <b/>
        <sz val="10"/>
        <rFont val="Arial"/>
        <family val="2"/>
      </rPr>
      <t>Für Eintrag von Verantwortlichkeit:</t>
    </r>
    <r>
      <rPr>
        <sz val="10"/>
        <rFont val="Arial"/>
        <family val="2"/>
      </rPr>
      <t xml:space="preserve"> Text mit ID's
- </t>
    </r>
    <r>
      <rPr>
        <b/>
        <sz val="10"/>
        <rFont val="Arial"/>
        <family val="2"/>
      </rPr>
      <t>Änderungen in Eigenname / Region / Name der Region</t>
    </r>
    <r>
      <rPr>
        <sz val="10"/>
        <rFont val="Arial"/>
        <family val="2"/>
      </rPr>
      <t xml:space="preserve"> über die mitgelieferte Exceltabelle, die Zeilen mit Änderungen entsprechend markieren
- </t>
    </r>
    <r>
      <rPr>
        <b/>
        <sz val="10"/>
        <rFont val="Arial"/>
        <family val="2"/>
      </rPr>
      <t>Bezeichnung Rundwanderwege:</t>
    </r>
    <r>
      <rPr>
        <sz val="10"/>
        <rFont val="Arial"/>
        <family val="2"/>
      </rPr>
      <t xml:space="preserve"> zuerst Farben, dann Zahl, Beispiel "Rundwanderweg schwarz auf weiß 7"
TG mit Herrn Jaschko (21.01.10)
Vorgehensweise wie mit Herrn Mittermeier besprochen (07./08.01) trifft zu, Bei Änderungen mit Kennern (s.o.) kann auch nach der ID ein Unterstrich gesetzt werden (wg. Übersichtlichkeit beim Überehmen der Änderungen in ein Projekt mit mehreren V / L's zu einem Weg</t>
    </r>
  </si>
  <si>
    <r>
      <rPr>
        <i/>
        <sz val="8"/>
        <rFont val="Arial"/>
        <family val="2"/>
      </rPr>
      <t>Brand i.d. Opf (206)</t>
    </r>
    <r>
      <rPr>
        <sz val="8"/>
        <rFont val="Arial"/>
        <family val="2"/>
      </rPr>
      <t xml:space="preserve">:
Weg in vier "Stickl": Markierungszeichen "Herz", Abschnitte in vier Farben
STICKL A – MITTLWEECH – LÄNGE 1,4 KM
STICKL B – GÜPFLBLICK – LÄNGE 2,0 KM
STICKL C – AN DA NOO – LÄNGE 2,8 KM
STICKL D – DURCH‘S DOAF – LÄNGE 0,8 KM
</t>
    </r>
  </si>
  <si>
    <t>Rundwanderweg 11 der Gemeinde Brand i.d.Opf "Erfahrungspfad Lebensraum"</t>
  </si>
  <si>
    <t>in der Aufnahme, Korrekturdaten fehlen noch</t>
  </si>
  <si>
    <t>002004_Korr-2023_Humboldtweg</t>
  </si>
  <si>
    <t>Joditz - durchs Fichelgebirge - Bayreuth - Sanspareil,  FGV-WegNr. 600, wird nur teilweise vom FGV markiert, Markierungsabschnitte 1 - 19</t>
  </si>
  <si>
    <t>Jakobusweg Fichtelgebirge (Marktschorgast-Weißenstadt-Kirchenpingarten-Creußen)</t>
  </si>
  <si>
    <t>001-01</t>
  </si>
  <si>
    <t>FGV-Hauptverein</t>
  </si>
  <si>
    <t>Jakobusweg</t>
  </si>
  <si>
    <r>
      <rPr>
        <i/>
        <sz val="8"/>
        <color rgb="FF333333"/>
        <rFont val="Arial"/>
        <family val="2"/>
      </rPr>
      <t>FGV-Hauptverein (001)</t>
    </r>
    <r>
      <rPr>
        <sz val="8"/>
        <color rgb="FF333333"/>
        <rFont val="Arial"/>
        <family val="2"/>
      </rPr>
      <t xml:space="preserve"> 
Jakobusweg Fichtelgebirge (Marktschorgast-Weißenstadt-Kirchenpingarten-Creußen)
</t>
    </r>
  </si>
  <si>
    <t>Verantwortlich FGV-Hauptverein, keine Aufteilung auf Ortsvereine</t>
  </si>
  <si>
    <t>151a</t>
  </si>
  <si>
    <t>Abschnitte noch bemaßen  &gt;&gt;&gt; vermeintliche Gesamtlänge</t>
  </si>
  <si>
    <t>Wegenetz - betreut:</t>
  </si>
  <si>
    <t>Wegenetz - förderfähig:</t>
  </si>
  <si>
    <t>Glaswanderweg (Weidenberg - Bischofsgrün), FGV-WegNr 133, vier Markierungsabschnitte
&gt;&gt; neu bemaßen !!</t>
  </si>
  <si>
    <t>Qualitätsweg kurz</t>
  </si>
  <si>
    <t>Handlungs-bedarf</t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</si>
  <si>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Hauptstrecke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</si>
  <si>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Stich
</t>
    </r>
  </si>
  <si>
    <r>
      <rPr>
        <i/>
        <sz val="8"/>
        <rFont val="Arial"/>
        <family val="2"/>
      </rPr>
      <t xml:space="preserve">Bischofsgrün (303):
</t>
    </r>
    <r>
      <rPr>
        <b/>
        <sz val="8"/>
        <rFont val="Arial"/>
        <family val="2"/>
      </rPr>
      <t xml:space="preserve">Schleife
</t>
    </r>
  </si>
  <si>
    <r>
      <rPr>
        <i/>
        <sz val="8"/>
        <rFont val="Arial"/>
        <family val="2"/>
      </rPr>
      <t xml:space="preserve">Fichtelberg (304):
</t>
    </r>
    <r>
      <rPr>
        <b/>
        <sz val="8"/>
        <rFont val="Arial"/>
        <family val="2"/>
      </rPr>
      <t xml:space="preserve">Hauptstrecke
</t>
    </r>
  </si>
  <si>
    <r>
      <rPr>
        <i/>
        <sz val="8"/>
        <rFont val="Arial"/>
        <family val="2"/>
      </rPr>
      <t xml:space="preserve">Fichtelberg (304):
</t>
    </r>
    <r>
      <rPr>
        <b/>
        <sz val="8"/>
        <rFont val="Arial"/>
        <family val="2"/>
      </rPr>
      <t xml:space="preserve">Stich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</si>
  <si>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Hauptstrecke
</t>
    </r>
  </si>
  <si>
    <r>
      <rPr>
        <i/>
        <sz val="8"/>
        <rFont val="Arial"/>
        <family val="2"/>
      </rPr>
      <t xml:space="preserve">Warmensteinach (311):
</t>
    </r>
    <r>
      <rPr>
        <b/>
        <sz val="8"/>
        <rFont val="Arial"/>
        <family val="2"/>
      </rPr>
      <t xml:space="preserve">Schleife
</t>
    </r>
  </si>
  <si>
    <t>N-2023_Hupferweg</t>
  </si>
  <si>
    <t>Motivweg</t>
  </si>
  <si>
    <t>Pfarrer-Hupfer-Weg</t>
  </si>
  <si>
    <t>201-11</t>
  </si>
  <si>
    <t>Rundwanderweg 11 der Gemeinde Brand i.d. Opf "Pfarrer-Hupfer-Weg"</t>
  </si>
  <si>
    <t>Neuaufnahme N-2023_Hupferweg, LDBV-ID nach Rpückmeldung LDBV ändern und formel für Kilometerberechnung
(Günter)</t>
  </si>
  <si>
    <r>
      <t xml:space="preserve">Ebnath (201):
</t>
    </r>
    <r>
      <rPr>
        <b/>
        <sz val="8"/>
        <rFont val="Arial"/>
        <family val="2"/>
      </rPr>
      <t>Ebnath (Parkplatz am Markt)</t>
    </r>
    <r>
      <rPr>
        <sz val="8"/>
        <rFont val="Arial"/>
        <family val="2"/>
      </rPr>
      <t xml:space="preserve"> - Zur haltestelle - Rad-/Fußweg - Kalavarienbergweg - n Schwarzenreuth - Wackelstein - w Steinbruch - Kösseine - parallel Höhenweg - parallel FGW - </t>
    </r>
    <r>
      <rPr>
        <b/>
        <sz val="8"/>
        <rFont val="Arial"/>
        <family val="2"/>
      </rPr>
      <t xml:space="preserve">Ausgangspunkt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</si>
</sst>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"/>
    <numFmt numFmtId="165" formatCode="000"/>
    <numFmt numFmtId="166" formatCode="0.0"/>
    <numFmt numFmtId="167" formatCode="#,##0.000_ ;\-#,##0.000\ "/>
    <numFmt numFmtId="168" formatCode="0.00_ ;[Red]\-0.00\ "/>
  </numFmts>
  <fonts count="60" x14ac:knownFonts="1"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color indexed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6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trike/>
      <sz val="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6"/>
      <color rgb="FFFF0000"/>
      <name val="Arial"/>
      <family val="2"/>
    </font>
    <font>
      <b/>
      <strike/>
      <sz val="8"/>
      <color rgb="FFFF0000"/>
      <name val="Arial"/>
      <family val="2"/>
    </font>
    <font>
      <b/>
      <sz val="7"/>
      <color rgb="FFFF000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00B050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8"/>
      <color indexed="8"/>
      <name val="Arial"/>
      <family val="2"/>
    </font>
    <font>
      <b/>
      <sz val="9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name val="Arial"/>
      <family val="2"/>
    </font>
    <font>
      <b/>
      <strike/>
      <sz val="9"/>
      <color rgb="FFFF0000"/>
      <name val="Arial"/>
      <family val="2"/>
    </font>
    <font>
      <sz val="12"/>
      <color rgb="FFFF0000"/>
      <name val="Arial"/>
      <family val="2"/>
    </font>
    <font>
      <b/>
      <sz val="8"/>
      <color rgb="FF00B050"/>
      <name val="Arial"/>
      <family val="2"/>
    </font>
    <font>
      <b/>
      <i/>
      <u/>
      <sz val="8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b/>
      <sz val="11"/>
      <color rgb="FFFF0000"/>
      <name val="Arial"/>
      <family val="2"/>
    </font>
    <font>
      <b/>
      <sz val="22"/>
      <name val="Arial"/>
      <family val="2"/>
    </font>
    <font>
      <b/>
      <sz val="7"/>
      <color rgb="FF00B050"/>
      <name val="Arial"/>
      <family val="2"/>
    </font>
    <font>
      <b/>
      <sz val="10"/>
      <color rgb="FF00B050"/>
      <name val="Arial"/>
      <family val="2"/>
    </font>
    <font>
      <sz val="48"/>
      <name val="Arial"/>
      <family val="2"/>
    </font>
    <font>
      <i/>
      <sz val="11"/>
      <name val="Arial"/>
      <family val="2"/>
    </font>
    <font>
      <b/>
      <i/>
      <strike/>
      <sz val="8"/>
      <color rgb="FFFF0000"/>
      <name val="Arial"/>
      <family val="2"/>
    </font>
    <font>
      <b/>
      <i/>
      <sz val="7"/>
      <name val="Arial"/>
      <family val="2"/>
    </font>
    <font>
      <b/>
      <strike/>
      <sz val="8"/>
      <name val="Arial"/>
      <family val="2"/>
    </font>
    <font>
      <sz val="8"/>
      <color rgb="FF00B050"/>
      <name val="Arial"/>
      <family val="2"/>
    </font>
    <font>
      <sz val="8"/>
      <color indexed="10"/>
      <name val="Arial"/>
      <family val="2"/>
    </font>
    <font>
      <i/>
      <sz val="8"/>
      <color rgb="FF333333"/>
      <name val="Arial"/>
      <family val="2"/>
    </font>
    <font>
      <sz val="8"/>
      <color rgb="FF333333"/>
      <name val="Arial"/>
      <family val="2"/>
    </font>
    <font>
      <b/>
      <sz val="11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6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FF0000"/>
        <bgColor indexed="41"/>
      </patternFill>
    </fill>
    <fill>
      <patternFill patternType="solid">
        <fgColor rgb="FFFFFF00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0" tint="-0.499984740745262"/>
        <bgColor indexed="4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41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slantDashDot">
        <color indexed="64"/>
      </right>
      <top/>
      <bottom style="medium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/>
      <bottom style="slantDashDot">
        <color indexed="64"/>
      </bottom>
      <diagonal/>
    </border>
    <border>
      <left style="double">
        <color theme="9" tint="-0.249977111117893"/>
      </left>
      <right style="thin">
        <color indexed="64"/>
      </right>
      <top style="double">
        <color theme="9" tint="-0.249977111117893"/>
      </top>
      <bottom style="double">
        <color theme="9" tint="-0.249977111117893"/>
      </bottom>
      <diagonal/>
    </border>
    <border>
      <left/>
      <right/>
      <top style="double">
        <color theme="9" tint="-0.249977111117893"/>
      </top>
      <bottom style="double">
        <color theme="9" tint="-0.249977111117893"/>
      </bottom>
      <diagonal/>
    </border>
    <border>
      <left style="medium">
        <color indexed="64"/>
      </left>
      <right style="thin">
        <color indexed="64"/>
      </right>
      <top style="double">
        <color theme="9" tint="-0.249977111117893"/>
      </top>
      <bottom style="double">
        <color theme="9" tint="-0.249977111117893"/>
      </bottom>
      <diagonal/>
    </border>
    <border>
      <left style="thin">
        <color indexed="64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</cellStyleXfs>
  <cellXfs count="76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2" fontId="10" fillId="0" borderId="0" xfId="0" applyNumberFormat="1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0" xfId="0" applyFont="1" applyFill="1" applyAlignment="1">
      <alignment vertical="top" wrapText="1"/>
    </xf>
    <xf numFmtId="0" fontId="1" fillId="4" borderId="0" xfId="0" applyFont="1" applyFill="1" applyAlignment="1">
      <alignment wrapText="1"/>
    </xf>
    <xf numFmtId="0" fontId="2" fillId="3" borderId="5" xfId="0" applyFont="1" applyFill="1" applyBorder="1" applyAlignment="1">
      <alignment horizontal="center" vertical="center" wrapText="1"/>
    </xf>
    <xf numFmtId="2" fontId="10" fillId="3" borderId="0" xfId="0" applyNumberFormat="1" applyFont="1" applyFill="1" applyAlignment="1">
      <alignment horizontal="center" wrapText="1"/>
    </xf>
    <xf numFmtId="0" fontId="10" fillId="0" borderId="0" xfId="0" applyFont="1"/>
    <xf numFmtId="0" fontId="1" fillId="4" borderId="0" xfId="0" applyFont="1" applyFill="1" applyAlignment="1">
      <alignment vertical="top" wrapText="1"/>
    </xf>
    <xf numFmtId="49" fontId="1" fillId="3" borderId="1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" fillId="6" borderId="0" xfId="0" applyFont="1" applyFill="1" applyAlignment="1">
      <alignment vertical="center" wrapText="1"/>
    </xf>
    <xf numFmtId="0" fontId="10" fillId="6" borderId="0" xfId="0" applyFont="1" applyFill="1" applyAlignment="1">
      <alignment horizontal="left" vertical="center" wrapText="1"/>
    </xf>
    <xf numFmtId="0" fontId="0" fillId="6" borderId="0" xfId="0" applyFill="1" applyAlignment="1">
      <alignment vertical="center" wrapText="1"/>
    </xf>
    <xf numFmtId="0" fontId="10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0" fontId="23" fillId="0" borderId="0" xfId="0" applyFont="1"/>
    <xf numFmtId="0" fontId="0" fillId="3" borderId="0" xfId="0" applyFill="1"/>
    <xf numFmtId="0" fontId="14" fillId="3" borderId="0" xfId="0" applyFont="1" applyFill="1"/>
    <xf numFmtId="0" fontId="24" fillId="0" borderId="0" xfId="0" applyFont="1"/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0" fillId="3" borderId="0" xfId="0" applyFill="1" applyAlignment="1">
      <alignment wrapText="1"/>
    </xf>
    <xf numFmtId="0" fontId="4" fillId="0" borderId="1" xfId="0" applyFont="1" applyBorder="1" applyAlignment="1">
      <alignment vertical="top" wrapText="1"/>
    </xf>
    <xf numFmtId="49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0" fillId="0" borderId="0" xfId="0" applyFont="1" applyAlignment="1">
      <alignment vertical="top" wrapText="1" shrinkToFit="1"/>
    </xf>
    <xf numFmtId="0" fontId="0" fillId="0" borderId="0" xfId="0" applyAlignment="1">
      <alignment vertical="top" wrapText="1" shrinkToFit="1"/>
    </xf>
    <xf numFmtId="0" fontId="1" fillId="7" borderId="0" xfId="0" applyFont="1" applyFill="1" applyAlignment="1">
      <alignment wrapText="1"/>
    </xf>
    <xf numFmtId="0" fontId="1" fillId="8" borderId="3" xfId="0" applyFont="1" applyFill="1" applyBorder="1" applyAlignment="1">
      <alignment wrapText="1"/>
    </xf>
    <xf numFmtId="0" fontId="26" fillId="0" borderId="0" xfId="0" applyFont="1"/>
    <xf numFmtId="0" fontId="1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left" vertical="center" wrapText="1"/>
    </xf>
    <xf numFmtId="0" fontId="22" fillId="0" borderId="0" xfId="0" applyFont="1" applyAlignment="1">
      <alignment vertical="top" wrapText="1"/>
    </xf>
    <xf numFmtId="0" fontId="22" fillId="0" borderId="0" xfId="0" applyFont="1" applyAlignment="1">
      <alignment wrapText="1"/>
    </xf>
    <xf numFmtId="0" fontId="1" fillId="0" borderId="3" xfId="0" applyFont="1" applyBorder="1" applyAlignment="1">
      <alignment horizontal="center" wrapText="1"/>
    </xf>
    <xf numFmtId="165" fontId="30" fillId="0" borderId="0" xfId="0" quotePrefix="1" applyNumberFormat="1" applyFont="1"/>
    <xf numFmtId="165" fontId="31" fillId="0" borderId="0" xfId="0" quotePrefix="1" applyNumberFormat="1" applyFont="1"/>
    <xf numFmtId="0" fontId="10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wrapText="1"/>
    </xf>
    <xf numFmtId="0" fontId="0" fillId="6" borderId="0" xfId="0" applyFill="1"/>
    <xf numFmtId="0" fontId="0" fillId="8" borderId="0" xfId="0" applyFill="1"/>
    <xf numFmtId="0" fontId="10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10" fillId="8" borderId="0" xfId="0" applyFont="1" applyFill="1"/>
    <xf numFmtId="0" fontId="10" fillId="8" borderId="0" xfId="0" applyFont="1" applyFill="1" applyAlignment="1">
      <alignment horizontal="center" wrapText="1"/>
    </xf>
    <xf numFmtId="0" fontId="18" fillId="0" borderId="0" xfId="0" applyFont="1"/>
    <xf numFmtId="0" fontId="14" fillId="8" borderId="0" xfId="0" applyFont="1" applyFill="1"/>
    <xf numFmtId="0" fontId="17" fillId="6" borderId="0" xfId="0" applyFont="1" applyFill="1"/>
    <xf numFmtId="49" fontId="2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vertical="top" wrapText="1"/>
    </xf>
    <xf numFmtId="166" fontId="10" fillId="8" borderId="0" xfId="0" applyNumberFormat="1" applyFont="1" applyFill="1"/>
    <xf numFmtId="166" fontId="0" fillId="6" borderId="0" xfId="0" applyNumberFormat="1" applyFill="1"/>
    <xf numFmtId="166" fontId="0" fillId="0" borderId="0" xfId="0" applyNumberFormat="1"/>
    <xf numFmtId="164" fontId="1" fillId="0" borderId="3" xfId="1" applyNumberFormat="1" applyFon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164" fontId="0" fillId="6" borderId="0" xfId="0" applyNumberFormat="1" applyFill="1"/>
    <xf numFmtId="164" fontId="10" fillId="8" borderId="0" xfId="0" applyNumberFormat="1" applyFont="1" applyFill="1"/>
    <xf numFmtId="164" fontId="0" fillId="0" borderId="0" xfId="0" applyNumberFormat="1"/>
    <xf numFmtId="0" fontId="1" fillId="0" borderId="3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wrapText="1"/>
    </xf>
    <xf numFmtId="0" fontId="8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vertical="center" textRotation="180" wrapText="1"/>
    </xf>
    <xf numFmtId="49" fontId="22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top" wrapText="1"/>
    </xf>
    <xf numFmtId="2" fontId="22" fillId="0" borderId="0" xfId="0" applyNumberFormat="1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2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22" fillId="0" borderId="0" xfId="0" applyFont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vertical="top"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horizontal="center" vertical="center" wrapText="1"/>
    </xf>
    <xf numFmtId="49" fontId="2" fillId="7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top" wrapText="1"/>
    </xf>
    <xf numFmtId="0" fontId="27" fillId="0" borderId="3" xfId="0" applyFont="1" applyBorder="1" applyAlignment="1">
      <alignment vertical="top" wrapText="1"/>
    </xf>
    <xf numFmtId="2" fontId="2" fillId="0" borderId="3" xfId="0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2" fontId="22" fillId="0" borderId="3" xfId="0" applyNumberFormat="1" applyFont="1" applyBorder="1" applyAlignment="1">
      <alignment horizontal="center" vertical="center" wrapText="1"/>
    </xf>
    <xf numFmtId="2" fontId="29" fillId="0" borderId="3" xfId="0" applyNumberFormat="1" applyFont="1" applyBorder="1" applyAlignment="1">
      <alignment horizontal="left" vertical="center" wrapText="1"/>
    </xf>
    <xf numFmtId="2" fontId="1" fillId="0" borderId="3" xfId="0" applyNumberFormat="1" applyFont="1" applyBorder="1" applyAlignment="1">
      <alignment vertical="center" wrapText="1"/>
    </xf>
    <xf numFmtId="0" fontId="16" fillId="0" borderId="3" xfId="0" applyFont="1" applyBorder="1" applyAlignment="1">
      <alignment horizontal="center" vertical="top" wrapText="1"/>
    </xf>
    <xf numFmtId="164" fontId="23" fillId="0" borderId="0" xfId="0" applyNumberFormat="1" applyFont="1"/>
    <xf numFmtId="166" fontId="23" fillId="0" borderId="0" xfId="0" applyNumberFormat="1" applyFont="1"/>
    <xf numFmtId="166" fontId="10" fillId="0" borderId="0" xfId="0" applyNumberFormat="1" applyFont="1"/>
    <xf numFmtId="0" fontId="13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wrapText="1"/>
    </xf>
    <xf numFmtId="0" fontId="4" fillId="0" borderId="0" xfId="0" applyFont="1" applyAlignment="1">
      <alignment vertical="top" wrapText="1"/>
    </xf>
    <xf numFmtId="4" fontId="18" fillId="0" borderId="0" xfId="0" applyNumberFormat="1" applyFont="1"/>
    <xf numFmtId="4" fontId="10" fillId="0" borderId="0" xfId="0" applyNumberFormat="1" applyFont="1"/>
    <xf numFmtId="4" fontId="14" fillId="8" borderId="0" xfId="0" applyNumberFormat="1" applyFont="1" applyFill="1"/>
    <xf numFmtId="4" fontId="19" fillId="6" borderId="0" xfId="0" applyNumberFormat="1" applyFont="1" applyFill="1"/>
    <xf numFmtId="4" fontId="10" fillId="6" borderId="0" xfId="0" applyNumberFormat="1" applyFont="1" applyFill="1"/>
    <xf numFmtId="4" fontId="0" fillId="0" borderId="0" xfId="0" applyNumberFormat="1"/>
    <xf numFmtId="4" fontId="14" fillId="6" borderId="0" xfId="0" applyNumberFormat="1" applyFont="1" applyFill="1"/>
    <xf numFmtId="0" fontId="32" fillId="0" borderId="0" xfId="0" applyFont="1"/>
    <xf numFmtId="164" fontId="32" fillId="0" borderId="0" xfId="0" applyNumberFormat="1" applyFont="1"/>
    <xf numFmtId="0" fontId="10" fillId="8" borderId="0" xfId="0" applyFont="1" applyFill="1" applyAlignment="1">
      <alignment wrapText="1"/>
    </xf>
    <xf numFmtId="0" fontId="10" fillId="8" borderId="0" xfId="0" applyFont="1" applyFill="1" applyAlignment="1">
      <alignment horizontal="center" vertical="top"/>
    </xf>
    <xf numFmtId="0" fontId="10" fillId="8" borderId="0" xfId="0" applyFont="1" applyFill="1" applyAlignment="1">
      <alignment vertical="center"/>
    </xf>
    <xf numFmtId="166" fontId="10" fillId="8" borderId="0" xfId="0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33" fillId="0" borderId="0" xfId="0" applyFont="1"/>
    <xf numFmtId="0" fontId="19" fillId="0" borderId="16" xfId="0" applyFont="1" applyBorder="1"/>
    <xf numFmtId="166" fontId="19" fillId="0" borderId="16" xfId="0" applyNumberFormat="1" applyFont="1" applyBorder="1" applyAlignment="1">
      <alignment horizontal="center"/>
    </xf>
    <xf numFmtId="0" fontId="19" fillId="0" borderId="0" xfId="0" applyFont="1"/>
    <xf numFmtId="0" fontId="34" fillId="0" borderId="16" xfId="0" applyFont="1" applyBorder="1"/>
    <xf numFmtId="166" fontId="34" fillId="0" borderId="16" xfId="0" applyNumberFormat="1" applyFont="1" applyBorder="1" applyAlignment="1">
      <alignment horizontal="center"/>
    </xf>
    <xf numFmtId="0" fontId="34" fillId="0" borderId="0" xfId="0" applyFont="1"/>
    <xf numFmtId="0" fontId="35" fillId="0" borderId="16" xfId="0" applyFont="1" applyBorder="1"/>
    <xf numFmtId="0" fontId="10" fillId="0" borderId="16" xfId="0" applyFont="1" applyBorder="1"/>
    <xf numFmtId="166" fontId="10" fillId="0" borderId="16" xfId="0" applyNumberFormat="1" applyFont="1" applyBorder="1" applyAlignment="1">
      <alignment horizontal="center"/>
    </xf>
    <xf numFmtId="0" fontId="1" fillId="0" borderId="9" xfId="0" applyFont="1" applyBorder="1" applyAlignment="1">
      <alignment vertical="top" wrapText="1"/>
    </xf>
    <xf numFmtId="0" fontId="14" fillId="2" borderId="3" xfId="0" applyFont="1" applyFill="1" applyBorder="1" applyAlignment="1">
      <alignment horizontal="center"/>
    </xf>
    <xf numFmtId="0" fontId="19" fillId="0" borderId="3" xfId="0" applyFont="1" applyBorder="1"/>
    <xf numFmtId="166" fontId="19" fillId="0" borderId="3" xfId="0" applyNumberFormat="1" applyFont="1" applyBorder="1" applyAlignment="1">
      <alignment horizontal="center"/>
    </xf>
    <xf numFmtId="0" fontId="36" fillId="0" borderId="3" xfId="0" applyFont="1" applyBorder="1"/>
    <xf numFmtId="166" fontId="36" fillId="0" borderId="3" xfId="0" applyNumberFormat="1" applyFont="1" applyBorder="1" applyAlignment="1">
      <alignment horizontal="center"/>
    </xf>
    <xf numFmtId="0" fontId="37" fillId="0" borderId="3" xfId="0" applyFont="1" applyBorder="1"/>
    <xf numFmtId="166" fontId="14" fillId="9" borderId="3" xfId="0" applyNumberFormat="1" applyFont="1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3" fillId="9" borderId="3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left"/>
    </xf>
    <xf numFmtId="49" fontId="1" fillId="0" borderId="3" xfId="0" applyNumberFormat="1" applyFont="1" applyBorder="1" applyAlignment="1">
      <alignment horizontal="center" vertical="top" wrapText="1"/>
    </xf>
    <xf numFmtId="49" fontId="13" fillId="0" borderId="3" xfId="0" applyNumberFormat="1" applyFont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center" vertical="top" wrapText="1"/>
    </xf>
    <xf numFmtId="2" fontId="13" fillId="3" borderId="3" xfId="0" applyNumberFormat="1" applyFont="1" applyFill="1" applyBorder="1" applyAlignment="1">
      <alignment horizontal="left" vertical="center" wrapText="1"/>
    </xf>
    <xf numFmtId="0" fontId="1" fillId="10" borderId="0" xfId="0" applyFont="1" applyFill="1" applyAlignment="1">
      <alignment wrapText="1"/>
    </xf>
    <xf numFmtId="0" fontId="1" fillId="7" borderId="0" xfId="0" applyFont="1" applyFill="1" applyAlignment="1">
      <alignment vertical="top" wrapText="1"/>
    </xf>
    <xf numFmtId="0" fontId="10" fillId="7" borderId="0" xfId="0" applyFont="1" applyFill="1" applyAlignment="1">
      <alignment horizontal="center" vertical="center" wrapText="1"/>
    </xf>
    <xf numFmtId="0" fontId="10" fillId="7" borderId="0" xfId="0" applyFont="1" applyFill="1" applyAlignment="1">
      <alignment vertical="center" wrapText="1"/>
    </xf>
    <xf numFmtId="2" fontId="13" fillId="3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166" fontId="2" fillId="8" borderId="3" xfId="0" applyNumberFormat="1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top" wrapText="1"/>
    </xf>
    <xf numFmtId="164" fontId="1" fillId="8" borderId="3" xfId="1" applyNumberFormat="1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left" vertical="top" wrapText="1" indent="1"/>
    </xf>
    <xf numFmtId="0" fontId="1" fillId="8" borderId="3" xfId="0" applyFont="1" applyFill="1" applyBorder="1" applyAlignment="1">
      <alignment horizont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vertical="top" wrapText="1"/>
    </xf>
    <xf numFmtId="0" fontId="1" fillId="11" borderId="0" xfId="0" applyFont="1" applyFill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3" fillId="0" borderId="1" xfId="0" applyFont="1" applyBorder="1" applyAlignment="1">
      <alignment horizontal="left" vertical="center" wrapText="1"/>
    </xf>
    <xf numFmtId="0" fontId="2" fillId="7" borderId="3" xfId="0" applyFont="1" applyFill="1" applyBorder="1" applyAlignment="1">
      <alignment horizontal="center" vertical="top" wrapText="1"/>
    </xf>
    <xf numFmtId="0" fontId="10" fillId="7" borderId="0" xfId="0" applyFont="1" applyFill="1"/>
    <xf numFmtId="0" fontId="2" fillId="7" borderId="2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1" xfId="0" applyFont="1" applyBorder="1" applyAlignment="1">
      <alignment wrapText="1"/>
    </xf>
    <xf numFmtId="0" fontId="1" fillId="11" borderId="0" xfId="0" applyFont="1" applyFill="1" applyAlignment="1">
      <alignment horizontal="center" vertical="center" wrapText="1"/>
    </xf>
    <xf numFmtId="2" fontId="21" fillId="11" borderId="0" xfId="0" applyNumberFormat="1" applyFont="1" applyFill="1" applyAlignment="1">
      <alignment horizontal="center" vertical="top" wrapText="1"/>
    </xf>
    <xf numFmtId="49" fontId="1" fillId="11" borderId="0" xfId="0" applyNumberFormat="1" applyFont="1" applyFill="1" applyAlignment="1">
      <alignment horizontal="center" vertical="center" wrapText="1"/>
    </xf>
    <xf numFmtId="0" fontId="22" fillId="11" borderId="0" xfId="0" applyFont="1" applyFill="1" applyAlignment="1">
      <alignment vertical="top" wrapText="1"/>
    </xf>
    <xf numFmtId="49" fontId="1" fillId="11" borderId="0" xfId="0" applyNumberFormat="1" applyFont="1" applyFill="1" applyAlignment="1">
      <alignment vertical="top" wrapText="1"/>
    </xf>
    <xf numFmtId="0" fontId="10" fillId="20" borderId="4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20" borderId="7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20" borderId="9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10" fillId="20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20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1" fontId="10" fillId="8" borderId="1" xfId="0" applyNumberFormat="1" applyFont="1" applyFill="1" applyBorder="1" applyAlignment="1">
      <alignment horizontal="center" vertical="center" wrapText="1"/>
    </xf>
    <xf numFmtId="1" fontId="10" fillId="20" borderId="1" xfId="0" applyNumberFormat="1" applyFont="1" applyFill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1" fontId="10" fillId="4" borderId="6" xfId="0" applyNumberFormat="1" applyFont="1" applyFill="1" applyBorder="1" applyAlignment="1">
      <alignment horizontal="center" vertical="center" wrapText="1"/>
    </xf>
    <xf numFmtId="0" fontId="10" fillId="18" borderId="6" xfId="0" applyFont="1" applyFill="1" applyBorder="1" applyAlignment="1">
      <alignment horizontal="center" vertical="center" wrapText="1"/>
    </xf>
    <xf numFmtId="49" fontId="2" fillId="0" borderId="20" xfId="0" applyNumberFormat="1" applyFont="1" applyBorder="1" applyAlignment="1">
      <alignment horizontal="center" vertical="center" wrapText="1"/>
    </xf>
    <xf numFmtId="49" fontId="2" fillId="21" borderId="20" xfId="0" applyNumberFormat="1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center" vertical="center" wrapText="1"/>
    </xf>
    <xf numFmtId="49" fontId="2" fillId="7" borderId="22" xfId="0" applyNumberFormat="1" applyFont="1" applyFill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49" fontId="2" fillId="21" borderId="31" xfId="0" applyNumberFormat="1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2" fillId="23" borderId="32" xfId="0" applyFont="1" applyFill="1" applyBorder="1" applyAlignment="1">
      <alignment horizontal="center" vertical="center" wrapText="1"/>
    </xf>
    <xf numFmtId="1" fontId="10" fillId="22" borderId="0" xfId="0" applyNumberFormat="1" applyFont="1" applyFill="1" applyAlignment="1">
      <alignment horizontal="center" vertical="center" wrapText="1"/>
    </xf>
    <xf numFmtId="0" fontId="10" fillId="24" borderId="0" xfId="0" applyFont="1" applyFill="1" applyAlignment="1">
      <alignment horizontal="center" vertical="center" wrapText="1"/>
    </xf>
    <xf numFmtId="0" fontId="10" fillId="22" borderId="0" xfId="0" applyFont="1" applyFill="1" applyAlignment="1">
      <alignment horizontal="center" wrapText="1"/>
    </xf>
    <xf numFmtId="0" fontId="26" fillId="22" borderId="0" xfId="0" applyFont="1" applyFill="1" applyAlignment="1">
      <alignment horizontal="center" vertical="center" wrapText="1"/>
    </xf>
    <xf numFmtId="0" fontId="2" fillId="22" borderId="0" xfId="0" applyFont="1" applyFill="1" applyAlignment="1">
      <alignment horizontal="center" vertical="center" wrapText="1"/>
    </xf>
    <xf numFmtId="49" fontId="2" fillId="22" borderId="0" xfId="0" applyNumberFormat="1" applyFont="1" applyFill="1" applyAlignment="1">
      <alignment horizontal="center" vertical="center" wrapText="1"/>
    </xf>
    <xf numFmtId="0" fontId="2" fillId="22" borderId="0" xfId="0" applyFont="1" applyFill="1" applyAlignment="1">
      <alignment horizontal="center" wrapText="1"/>
    </xf>
    <xf numFmtId="0" fontId="22" fillId="22" borderId="0" xfId="0" applyFont="1" applyFill="1" applyAlignment="1">
      <alignment vertical="center" wrapText="1"/>
    </xf>
    <xf numFmtId="49" fontId="22" fillId="22" borderId="0" xfId="0" applyNumberFormat="1" applyFont="1" applyFill="1" applyAlignment="1">
      <alignment horizontal="center" vertical="center" wrapText="1"/>
    </xf>
    <xf numFmtId="0" fontId="22" fillId="22" borderId="0" xfId="0" applyFont="1" applyFill="1" applyAlignment="1">
      <alignment vertical="top" wrapText="1"/>
    </xf>
    <xf numFmtId="0" fontId="25" fillId="22" borderId="0" xfId="0" applyFont="1" applyFill="1" applyAlignment="1">
      <alignment vertical="top" wrapText="1"/>
    </xf>
    <xf numFmtId="0" fontId="1" fillId="22" borderId="0" xfId="0" applyFont="1" applyFill="1" applyAlignment="1">
      <alignment wrapText="1"/>
    </xf>
    <xf numFmtId="0" fontId="10" fillId="21" borderId="21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21" borderId="3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2" fillId="21" borderId="2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1" fontId="2" fillId="17" borderId="3" xfId="0" applyNumberFormat="1" applyFont="1" applyFill="1" applyBorder="1" applyAlignment="1">
      <alignment horizontal="center" vertical="center" wrapText="1"/>
    </xf>
    <xf numFmtId="1" fontId="10" fillId="8" borderId="4" xfId="0" applyNumberFormat="1" applyFont="1" applyFill="1" applyBorder="1" applyAlignment="1">
      <alignment horizontal="center" vertical="center" wrapText="1"/>
    </xf>
    <xf numFmtId="1" fontId="10" fillId="8" borderId="7" xfId="0" applyNumberFormat="1" applyFont="1" applyFill="1" applyBorder="1" applyAlignment="1">
      <alignment horizontal="center" vertical="center" wrapText="1"/>
    </xf>
    <xf numFmtId="1" fontId="10" fillId="8" borderId="9" xfId="0" applyNumberFormat="1" applyFont="1" applyFill="1" applyBorder="1" applyAlignment="1">
      <alignment horizontal="center" vertical="center" wrapText="1"/>
    </xf>
    <xf numFmtId="1" fontId="10" fillId="12" borderId="1" xfId="0" applyNumberFormat="1" applyFont="1" applyFill="1" applyBorder="1" applyAlignment="1">
      <alignment horizontal="center" vertical="center" wrapText="1"/>
    </xf>
    <xf numFmtId="1" fontId="10" fillId="8" borderId="3" xfId="0" applyNumberFormat="1" applyFont="1" applyFill="1" applyBorder="1" applyAlignment="1">
      <alignment horizontal="center" vertical="center" wrapText="1"/>
    </xf>
    <xf numFmtId="1" fontId="10" fillId="8" borderId="0" xfId="0" applyNumberFormat="1" applyFont="1" applyFill="1" applyAlignment="1">
      <alignment horizontal="center" vertical="center" wrapText="1"/>
    </xf>
    <xf numFmtId="2" fontId="2" fillId="21" borderId="21" xfId="0" applyNumberFormat="1" applyFont="1" applyFill="1" applyBorder="1" applyAlignment="1">
      <alignment horizontal="center" vertical="center" wrapText="1"/>
    </xf>
    <xf numFmtId="2" fontId="2" fillId="21" borderId="3" xfId="0" applyNumberFormat="1" applyFont="1" applyFill="1" applyBorder="1" applyAlignment="1">
      <alignment horizontal="center" vertical="center" wrapText="1"/>
    </xf>
    <xf numFmtId="2" fontId="2" fillId="0" borderId="19" xfId="0" applyNumberFormat="1" applyFont="1" applyBorder="1" applyAlignment="1">
      <alignment horizontal="center" vertical="center" wrapText="1"/>
    </xf>
    <xf numFmtId="2" fontId="2" fillId="22" borderId="0" xfId="0" applyNumberFormat="1" applyFont="1" applyFill="1" applyAlignment="1">
      <alignment horizontal="center" wrapText="1"/>
    </xf>
    <xf numFmtId="2" fontId="2" fillId="7" borderId="22" xfId="0" applyNumberFormat="1" applyFont="1" applyFill="1" applyBorder="1" applyAlignment="1">
      <alignment horizontal="center" vertical="center" wrapText="1"/>
    </xf>
    <xf numFmtId="2" fontId="2" fillId="0" borderId="22" xfId="0" applyNumberFormat="1" applyFont="1" applyBorder="1" applyAlignment="1">
      <alignment horizontal="center" vertical="center" wrapText="1"/>
    </xf>
    <xf numFmtId="2" fontId="10" fillId="0" borderId="19" xfId="0" applyNumberFormat="1" applyFont="1" applyBorder="1" applyAlignment="1">
      <alignment horizontal="center" vertical="center" wrapText="1"/>
    </xf>
    <xf numFmtId="2" fontId="2" fillId="22" borderId="0" xfId="0" applyNumberFormat="1" applyFont="1" applyFill="1" applyAlignment="1">
      <alignment horizontal="center" vertical="top" wrapText="1"/>
    </xf>
    <xf numFmtId="2" fontId="10" fillId="21" borderId="21" xfId="0" applyNumberFormat="1" applyFont="1" applyFill="1" applyBorder="1" applyAlignment="1">
      <alignment horizontal="center" vertical="center" wrapText="1"/>
    </xf>
    <xf numFmtId="2" fontId="10" fillId="0" borderId="3" xfId="0" applyNumberFormat="1" applyFont="1" applyBorder="1" applyAlignment="1">
      <alignment horizontal="center" vertical="center" wrapText="1"/>
    </xf>
    <xf numFmtId="2" fontId="10" fillId="21" borderId="3" xfId="0" applyNumberFormat="1" applyFont="1" applyFill="1" applyBorder="1" applyAlignment="1">
      <alignment horizontal="center" vertical="center" wrapText="1"/>
    </xf>
    <xf numFmtId="2" fontId="10" fillId="7" borderId="22" xfId="0" applyNumberFormat="1" applyFont="1" applyFill="1" applyBorder="1" applyAlignment="1">
      <alignment horizontal="center" vertical="center" wrapText="1"/>
    </xf>
    <xf numFmtId="2" fontId="10" fillId="0" borderId="22" xfId="0" applyNumberFormat="1" applyFont="1" applyBorder="1" applyAlignment="1">
      <alignment horizontal="center" vertical="center" wrapText="1"/>
    </xf>
    <xf numFmtId="2" fontId="19" fillId="21" borderId="21" xfId="0" applyNumberFormat="1" applyFont="1" applyFill="1" applyBorder="1" applyAlignment="1">
      <alignment horizontal="center" vertical="center" wrapText="1"/>
    </xf>
    <xf numFmtId="2" fontId="19" fillId="0" borderId="3" xfId="0" applyNumberFormat="1" applyFont="1" applyBorder="1" applyAlignment="1">
      <alignment horizontal="center" vertical="center" wrapText="1"/>
    </xf>
    <xf numFmtId="2" fontId="19" fillId="21" borderId="3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Border="1" applyAlignment="1">
      <alignment horizontal="center" vertical="center" wrapText="1"/>
    </xf>
    <xf numFmtId="2" fontId="19" fillId="22" borderId="0" xfId="0" applyNumberFormat="1" applyFont="1" applyFill="1" applyAlignment="1">
      <alignment horizontal="center" wrapText="1"/>
    </xf>
    <xf numFmtId="2" fontId="19" fillId="7" borderId="22" xfId="0" applyNumberFormat="1" applyFont="1" applyFill="1" applyBorder="1" applyAlignment="1">
      <alignment horizontal="center" vertical="center" wrapText="1"/>
    </xf>
    <xf numFmtId="2" fontId="19" fillId="0" borderId="22" xfId="0" applyNumberFormat="1" applyFont="1" applyBorder="1" applyAlignment="1">
      <alignment horizontal="center" vertical="center" wrapText="1"/>
    </xf>
    <xf numFmtId="2" fontId="19" fillId="22" borderId="0" xfId="0" applyNumberFormat="1" applyFont="1" applyFill="1" applyAlignment="1">
      <alignment horizontal="center" vertical="top" wrapText="1"/>
    </xf>
    <xf numFmtId="2" fontId="19" fillId="0" borderId="12" xfId="0" applyNumberFormat="1" applyFont="1" applyBorder="1" applyAlignment="1">
      <alignment horizontal="center" vertical="center" wrapText="1"/>
    </xf>
    <xf numFmtId="2" fontId="19" fillId="22" borderId="0" xfId="0" applyNumberFormat="1" applyFont="1" applyFill="1" applyAlignment="1">
      <alignment horizontal="center" vertical="center" wrapText="1"/>
    </xf>
    <xf numFmtId="2" fontId="45" fillId="7" borderId="22" xfId="0" applyNumberFormat="1" applyFont="1" applyFill="1" applyBorder="1" applyAlignment="1">
      <alignment horizontal="center" vertical="center" wrapText="1"/>
    </xf>
    <xf numFmtId="2" fontId="45" fillId="0" borderId="22" xfId="0" applyNumberFormat="1" applyFont="1" applyBorder="1" applyAlignment="1">
      <alignment horizontal="center" vertical="center" wrapText="1"/>
    </xf>
    <xf numFmtId="2" fontId="10" fillId="7" borderId="27" xfId="0" applyNumberFormat="1" applyFont="1" applyFill="1" applyBorder="1" applyAlignment="1">
      <alignment horizontal="center" vertical="center" wrapText="1"/>
    </xf>
    <xf numFmtId="2" fontId="19" fillId="7" borderId="27" xfId="0" applyNumberFormat="1" applyFont="1" applyFill="1" applyBorder="1" applyAlignment="1">
      <alignment horizontal="center" vertical="center" wrapText="1"/>
    </xf>
    <xf numFmtId="2" fontId="45" fillId="7" borderId="27" xfId="0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horizontal="left" vertical="center" wrapText="1"/>
    </xf>
    <xf numFmtId="0" fontId="0" fillId="7" borderId="0" xfId="0" applyFill="1" applyAlignment="1">
      <alignment vertical="center" wrapText="1"/>
    </xf>
    <xf numFmtId="2" fontId="2" fillId="25" borderId="22" xfId="0" applyNumberFormat="1" applyFont="1" applyFill="1" applyBorder="1" applyAlignment="1">
      <alignment horizontal="center" vertical="center" wrapText="1"/>
    </xf>
    <xf numFmtId="2" fontId="10" fillId="25" borderId="22" xfId="0" applyNumberFormat="1" applyFont="1" applyFill="1" applyBorder="1" applyAlignment="1">
      <alignment horizontal="center" vertical="center" wrapText="1"/>
    </xf>
    <xf numFmtId="2" fontId="19" fillId="25" borderId="22" xfId="0" applyNumberFormat="1" applyFont="1" applyFill="1" applyBorder="1" applyAlignment="1">
      <alignment horizontal="center" vertical="center" wrapText="1"/>
    </xf>
    <xf numFmtId="2" fontId="45" fillId="25" borderId="22" xfId="0" applyNumberFormat="1" applyFont="1" applyFill="1" applyBorder="1" applyAlignment="1">
      <alignment horizontal="center" vertical="center" wrapText="1"/>
    </xf>
    <xf numFmtId="0" fontId="10" fillId="25" borderId="22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center" vertical="center" wrapText="1"/>
    </xf>
    <xf numFmtId="49" fontId="2" fillId="25" borderId="22" xfId="0" applyNumberFormat="1" applyFont="1" applyFill="1" applyBorder="1" applyAlignment="1">
      <alignment horizontal="center" vertical="center" wrapText="1"/>
    </xf>
    <xf numFmtId="0" fontId="13" fillId="25" borderId="35" xfId="0" applyFont="1" applyFill="1" applyBorder="1" applyAlignment="1">
      <alignment horizontal="center" vertical="center" wrapText="1"/>
    </xf>
    <xf numFmtId="0" fontId="2" fillId="25" borderId="36" xfId="0" applyFont="1" applyFill="1" applyBorder="1" applyAlignment="1">
      <alignment horizontal="center" vertical="center" wrapText="1"/>
    </xf>
    <xf numFmtId="168" fontId="2" fillId="25" borderId="36" xfId="2" applyNumberFormat="1" applyFont="1" applyFill="1" applyBorder="1" applyAlignment="1">
      <alignment horizontal="center" vertical="center" wrapText="1"/>
    </xf>
    <xf numFmtId="2" fontId="10" fillId="28" borderId="22" xfId="0" applyNumberFormat="1" applyFont="1" applyFill="1" applyBorder="1" applyAlignment="1">
      <alignment horizontal="center" vertical="center" wrapText="1"/>
    </xf>
    <xf numFmtId="2" fontId="19" fillId="28" borderId="22" xfId="0" applyNumberFormat="1" applyFont="1" applyFill="1" applyBorder="1" applyAlignment="1">
      <alignment horizontal="center" vertical="center" wrapText="1"/>
    </xf>
    <xf numFmtId="2" fontId="45" fillId="28" borderId="2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top" wrapText="1"/>
    </xf>
    <xf numFmtId="2" fontId="12" fillId="0" borderId="1" xfId="0" applyNumberFormat="1" applyFont="1" applyBorder="1" applyAlignment="1">
      <alignment horizontal="left" vertical="center" wrapText="1"/>
    </xf>
    <xf numFmtId="2" fontId="12" fillId="0" borderId="3" xfId="0" applyNumberFormat="1" applyFont="1" applyBorder="1" applyAlignment="1">
      <alignment horizontal="left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0" fontId="2" fillId="23" borderId="37" xfId="0" applyFont="1" applyFill="1" applyBorder="1" applyAlignment="1">
      <alignment horizontal="center" vertical="center" wrapText="1"/>
    </xf>
    <xf numFmtId="49" fontId="2" fillId="21" borderId="38" xfId="0" applyNumberFormat="1" applyFont="1" applyFill="1" applyBorder="1" applyAlignment="1">
      <alignment horizontal="center" vertical="center" wrapText="1"/>
    </xf>
    <xf numFmtId="49" fontId="2" fillId="0" borderId="39" xfId="0" applyNumberFormat="1" applyFont="1" applyBorder="1" applyAlignment="1">
      <alignment horizontal="center" vertical="center" wrapText="1"/>
    </xf>
    <xf numFmtId="49" fontId="2" fillId="21" borderId="39" xfId="0" applyNumberFormat="1" applyFont="1" applyFill="1" applyBorder="1" applyAlignment="1">
      <alignment horizontal="center" vertical="center" wrapText="1"/>
    </xf>
    <xf numFmtId="49" fontId="2" fillId="0" borderId="40" xfId="0" applyNumberFormat="1" applyFont="1" applyBorder="1" applyAlignment="1">
      <alignment horizontal="center" vertical="center" wrapText="1"/>
    </xf>
    <xf numFmtId="49" fontId="2" fillId="7" borderId="41" xfId="0" applyNumberFormat="1" applyFont="1" applyFill="1" applyBorder="1" applyAlignment="1">
      <alignment horizontal="center" vertical="center" wrapText="1"/>
    </xf>
    <xf numFmtId="49" fontId="2" fillId="0" borderId="41" xfId="0" applyNumberFormat="1" applyFont="1" applyBorder="1" applyAlignment="1">
      <alignment horizontal="center" vertical="center" wrapText="1"/>
    </xf>
    <xf numFmtId="49" fontId="2" fillId="25" borderId="41" xfId="0" applyNumberFormat="1" applyFont="1" applyFill="1" applyBorder="1" applyAlignment="1">
      <alignment horizontal="center" vertical="center" wrapText="1"/>
    </xf>
    <xf numFmtId="2" fontId="10" fillId="7" borderId="42" xfId="0" applyNumberFormat="1" applyFont="1" applyFill="1" applyBorder="1" applyAlignment="1">
      <alignment horizontal="center" vertical="center" wrapText="1"/>
    </xf>
    <xf numFmtId="2" fontId="10" fillId="28" borderId="41" xfId="0" applyNumberFormat="1" applyFont="1" applyFill="1" applyBorder="1" applyAlignment="1">
      <alignment horizontal="center" vertical="center" wrapText="1"/>
    </xf>
    <xf numFmtId="0" fontId="1" fillId="6" borderId="46" xfId="0" applyFont="1" applyFill="1" applyBorder="1" applyAlignment="1">
      <alignment horizontal="center" vertical="center" wrapText="1"/>
    </xf>
    <xf numFmtId="2" fontId="21" fillId="6" borderId="46" xfId="0" applyNumberFormat="1" applyFont="1" applyFill="1" applyBorder="1" applyAlignment="1">
      <alignment horizontal="center" vertical="top" wrapText="1"/>
    </xf>
    <xf numFmtId="49" fontId="1" fillId="6" borderId="46" xfId="0" applyNumberFormat="1" applyFont="1" applyFill="1" applyBorder="1" applyAlignment="1">
      <alignment horizontal="center" vertical="center" wrapText="1"/>
    </xf>
    <xf numFmtId="0" fontId="1" fillId="6" borderId="46" xfId="0" applyFont="1" applyFill="1" applyBorder="1" applyAlignment="1">
      <alignment vertical="top" wrapText="1"/>
    </xf>
    <xf numFmtId="0" fontId="22" fillId="6" borderId="46" xfId="0" applyFont="1" applyFill="1" applyBorder="1" applyAlignment="1">
      <alignment vertical="top" wrapText="1"/>
    </xf>
    <xf numFmtId="0" fontId="10" fillId="6" borderId="46" xfId="0" applyFont="1" applyFill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wrapText="1"/>
    </xf>
    <xf numFmtId="2" fontId="19" fillId="0" borderId="21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wrapText="1"/>
    </xf>
    <xf numFmtId="2" fontId="19" fillId="0" borderId="27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top" wrapText="1"/>
    </xf>
    <xf numFmtId="1" fontId="10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45" fillId="0" borderId="27" xfId="0" applyNumberFormat="1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 vertical="top" wrapText="1"/>
    </xf>
    <xf numFmtId="0" fontId="46" fillId="0" borderId="21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top" wrapText="1"/>
    </xf>
    <xf numFmtId="2" fontId="46" fillId="0" borderId="27" xfId="0" applyNumberFormat="1" applyFont="1" applyBorder="1" applyAlignment="1">
      <alignment horizontal="center" vertical="center" wrapText="1"/>
    </xf>
    <xf numFmtId="2" fontId="46" fillId="0" borderId="22" xfId="0" applyNumberFormat="1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2" fontId="18" fillId="0" borderId="34" xfId="0" applyNumberFormat="1" applyFont="1" applyBorder="1" applyAlignment="1">
      <alignment horizontal="left" vertical="center" wrapText="1"/>
    </xf>
    <xf numFmtId="2" fontId="18" fillId="0" borderId="3" xfId="0" applyNumberFormat="1" applyFont="1" applyBorder="1" applyAlignment="1">
      <alignment horizontal="left" vertical="center" wrapText="1"/>
    </xf>
    <xf numFmtId="0" fontId="39" fillId="8" borderId="3" xfId="0" applyFont="1" applyFill="1" applyBorder="1" applyAlignment="1">
      <alignment horizontal="center" vertical="top" wrapText="1"/>
    </xf>
    <xf numFmtId="0" fontId="2" fillId="15" borderId="19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" fillId="16" borderId="3" xfId="0" applyFont="1" applyFill="1" applyBorder="1" applyAlignment="1">
      <alignment horizontal="center" vertical="center" wrapText="1"/>
    </xf>
    <xf numFmtId="1" fontId="10" fillId="6" borderId="3" xfId="0" applyNumberFormat="1" applyFont="1" applyFill="1" applyBorder="1" applyAlignment="1">
      <alignment horizontal="center" vertical="center" wrapText="1"/>
    </xf>
    <xf numFmtId="0" fontId="10" fillId="29" borderId="3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wrapText="1"/>
    </xf>
    <xf numFmtId="2" fontId="10" fillId="6" borderId="22" xfId="0" applyNumberFormat="1" applyFont="1" applyFill="1" applyBorder="1" applyAlignment="1">
      <alignment horizontal="center" vertical="center" wrapText="1"/>
    </xf>
    <xf numFmtId="2" fontId="19" fillId="6" borderId="22" xfId="0" applyNumberFormat="1" applyFont="1" applyFill="1" applyBorder="1" applyAlignment="1">
      <alignment horizontal="center" vertical="center" wrapText="1"/>
    </xf>
    <xf numFmtId="2" fontId="45" fillId="6" borderId="22" xfId="0" applyNumberFormat="1" applyFont="1" applyFill="1" applyBorder="1" applyAlignment="1">
      <alignment horizontal="center" vertical="center" wrapText="1"/>
    </xf>
    <xf numFmtId="164" fontId="2" fillId="6" borderId="47" xfId="0" applyNumberFormat="1" applyFont="1" applyFill="1" applyBorder="1" applyAlignment="1">
      <alignment horizontal="center" vertical="center" wrapText="1"/>
    </xf>
    <xf numFmtId="164" fontId="10" fillId="6" borderId="48" xfId="0" applyNumberFormat="1" applyFont="1" applyFill="1" applyBorder="1" applyAlignment="1">
      <alignment horizontal="center" vertical="center" wrapText="1"/>
    </xf>
    <xf numFmtId="164" fontId="2" fillId="6" borderId="46" xfId="0" applyNumberFormat="1" applyFont="1" applyFill="1" applyBorder="1" applyAlignment="1">
      <alignment horizontal="center" wrapText="1"/>
    </xf>
    <xf numFmtId="164" fontId="2" fillId="21" borderId="43" xfId="0" applyNumberFormat="1" applyFont="1" applyFill="1" applyBorder="1" applyAlignment="1">
      <alignment horizontal="center" vertical="center" wrapText="1"/>
    </xf>
    <xf numFmtId="164" fontId="2" fillId="0" borderId="34" xfId="0" applyNumberFormat="1" applyFont="1" applyBorder="1" applyAlignment="1">
      <alignment horizontal="center" vertical="center" wrapText="1"/>
    </xf>
    <xf numFmtId="164" fontId="10" fillId="28" borderId="44" xfId="0" applyNumberFormat="1" applyFont="1" applyFill="1" applyBorder="1" applyAlignment="1">
      <alignment horizontal="center" vertical="center" wrapText="1"/>
    </xf>
    <xf numFmtId="164" fontId="2" fillId="21" borderId="21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21" borderId="3" xfId="0" applyNumberFormat="1" applyFont="1" applyFill="1" applyBorder="1" applyAlignment="1">
      <alignment horizontal="center" vertical="center" wrapText="1"/>
    </xf>
    <xf numFmtId="164" fontId="10" fillId="0" borderId="19" xfId="0" applyNumberFormat="1" applyFont="1" applyBorder="1" applyAlignment="1">
      <alignment horizontal="center" vertical="center" wrapText="1"/>
    </xf>
    <xf numFmtId="164" fontId="2" fillId="22" borderId="0" xfId="0" applyNumberFormat="1" applyFont="1" applyFill="1" applyAlignment="1">
      <alignment horizontal="center" vertical="top" wrapText="1"/>
    </xf>
    <xf numFmtId="164" fontId="2" fillId="7" borderId="22" xfId="0" applyNumberFormat="1" applyFont="1" applyFill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25" borderId="22" xfId="0" applyNumberFormat="1" applyFont="1" applyFill="1" applyBorder="1" applyAlignment="1">
      <alignment horizontal="center" vertical="center" wrapText="1"/>
    </xf>
    <xf numFmtId="164" fontId="10" fillId="7" borderId="27" xfId="0" applyNumberFormat="1" applyFont="1" applyFill="1" applyBorder="1" applyAlignment="1">
      <alignment horizontal="center" vertical="center" wrapText="1"/>
    </xf>
    <xf numFmtId="164" fontId="10" fillId="28" borderId="22" xfId="0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2" fontId="10" fillId="6" borderId="41" xfId="0" applyNumberFormat="1" applyFont="1" applyFill="1" applyBorder="1" applyAlignment="1">
      <alignment horizontal="center" vertical="center" wrapText="1"/>
    </xf>
    <xf numFmtId="164" fontId="10" fillId="6" borderId="44" xfId="0" applyNumberFormat="1" applyFont="1" applyFill="1" applyBorder="1" applyAlignment="1">
      <alignment horizontal="center" vertical="center" wrapText="1"/>
    </xf>
    <xf numFmtId="164" fontId="10" fillId="6" borderId="22" xfId="0" applyNumberFormat="1" applyFont="1" applyFill="1" applyBorder="1" applyAlignment="1">
      <alignment horizontal="center" vertical="center" wrapText="1"/>
    </xf>
    <xf numFmtId="2" fontId="34" fillId="6" borderId="45" xfId="0" applyNumberFormat="1" applyFont="1" applyFill="1" applyBorder="1" applyAlignment="1">
      <alignment horizontal="left" vertical="center" wrapText="1"/>
    </xf>
    <xf numFmtId="1" fontId="10" fillId="8" borderId="15" xfId="0" applyNumberFormat="1" applyFont="1" applyFill="1" applyBorder="1" applyAlignment="1">
      <alignment horizontal="center" vertical="center" wrapText="1"/>
    </xf>
    <xf numFmtId="0" fontId="10" fillId="20" borderId="15" xfId="0" applyFont="1" applyFill="1" applyBorder="1" applyAlignment="1">
      <alignment horizontal="center" vertical="center" wrapText="1"/>
    </xf>
    <xf numFmtId="0" fontId="10" fillId="7" borderId="1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0" fillId="6" borderId="34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7" fillId="0" borderId="0" xfId="0" applyFont="1" applyFill="1"/>
    <xf numFmtId="0" fontId="0" fillId="0" borderId="0" xfId="0" applyFill="1"/>
    <xf numFmtId="4" fontId="10" fillId="0" borderId="0" xfId="0" applyNumberFormat="1" applyFont="1" applyFill="1"/>
    <xf numFmtId="0" fontId="19" fillId="6" borderId="0" xfId="0" applyFont="1" applyFill="1"/>
    <xf numFmtId="49" fontId="48" fillId="6" borderId="3" xfId="0" applyNumberFormat="1" applyFont="1" applyFill="1" applyBorder="1" applyAlignment="1">
      <alignment horizontal="center" vertical="center" wrapText="1"/>
    </xf>
    <xf numFmtId="0" fontId="42" fillId="8" borderId="3" xfId="0" applyFont="1" applyFill="1" applyBorder="1" applyAlignment="1">
      <alignment horizontal="center" vertical="center" wrapText="1"/>
    </xf>
    <xf numFmtId="2" fontId="13" fillId="8" borderId="3" xfId="0" applyNumberFormat="1" applyFont="1" applyFill="1" applyBorder="1" applyAlignment="1">
      <alignment horizontal="left" vertical="center" wrapText="1"/>
    </xf>
    <xf numFmtId="2" fontId="2" fillId="8" borderId="3" xfId="0" applyNumberFormat="1" applyFont="1" applyFill="1" applyBorder="1" applyAlignment="1">
      <alignment horizontal="center" vertical="center" wrapText="1"/>
    </xf>
    <xf numFmtId="0" fontId="14" fillId="9" borderId="0" xfId="0" applyFont="1" applyFill="1"/>
    <xf numFmtId="0" fontId="0" fillId="9" borderId="0" xfId="0" applyFill="1"/>
    <xf numFmtId="4" fontId="14" fillId="9" borderId="0" xfId="0" applyNumberFormat="1" applyFont="1" applyFill="1"/>
    <xf numFmtId="4" fontId="19" fillId="0" borderId="0" xfId="0" applyNumberFormat="1" applyFont="1" applyFill="1"/>
    <xf numFmtId="0" fontId="51" fillId="6" borderId="0" xfId="0" applyFont="1" applyFill="1"/>
    <xf numFmtId="0" fontId="22" fillId="0" borderId="3" xfId="0" applyFont="1" applyFill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11" fillId="8" borderId="3" xfId="0" applyFont="1" applyFill="1" applyBorder="1" applyAlignment="1">
      <alignment horizontal="center" vertical="center" wrapText="1"/>
    </xf>
    <xf numFmtId="0" fontId="10" fillId="8" borderId="1" xfId="0" applyNumberFormat="1" applyFont="1" applyFill="1" applyBorder="1" applyAlignment="1">
      <alignment horizontal="center" vertical="center" wrapText="1"/>
    </xf>
    <xf numFmtId="0" fontId="10" fillId="20" borderId="1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4" borderId="6" xfId="0" applyNumberFormat="1" applyFont="1" applyFill="1" applyBorder="1" applyAlignment="1">
      <alignment horizontal="center" vertical="center" wrapText="1"/>
    </xf>
    <xf numFmtId="49" fontId="13" fillId="16" borderId="3" xfId="0" applyNumberFormat="1" applyFont="1" applyFill="1" applyBorder="1" applyAlignment="1">
      <alignment horizontal="center" vertical="center" wrapText="1"/>
    </xf>
    <xf numFmtId="49" fontId="13" fillId="6" borderId="3" xfId="0" applyNumberFormat="1" applyFont="1" applyFill="1" applyBorder="1" applyAlignment="1">
      <alignment horizontal="center" vertical="center" wrapText="1"/>
    </xf>
    <xf numFmtId="49" fontId="13" fillId="16" borderId="3" xfId="0" applyNumberFormat="1" applyFont="1" applyFill="1" applyBorder="1" applyAlignment="1">
      <alignment horizontal="center" vertical="center" textRotation="180" wrapText="1"/>
    </xf>
    <xf numFmtId="49" fontId="53" fillId="16" borderId="3" xfId="0" applyNumberFormat="1" applyFont="1" applyFill="1" applyBorder="1" applyAlignment="1">
      <alignment horizontal="center" vertical="center" textRotation="180" wrapText="1"/>
    </xf>
    <xf numFmtId="164" fontId="12" fillId="6" borderId="3" xfId="1" applyNumberFormat="1" applyFont="1" applyFill="1" applyBorder="1" applyAlignment="1">
      <alignment horizontal="center" vertical="center" wrapText="1"/>
    </xf>
    <xf numFmtId="166" fontId="13" fillId="6" borderId="3" xfId="0" applyNumberFormat="1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wrapText="1"/>
    </xf>
    <xf numFmtId="0" fontId="15" fillId="11" borderId="0" xfId="0" applyFont="1" applyFill="1" applyAlignment="1">
      <alignment horizontal="center" vertical="top" wrapText="1"/>
    </xf>
    <xf numFmtId="0" fontId="15" fillId="0" borderId="0" xfId="0" applyFont="1" applyFill="1" applyAlignment="1">
      <alignment horizontal="center" vertical="top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26" fillId="0" borderId="0" xfId="0" applyFont="1" applyFill="1" applyBorder="1" applyAlignment="1">
      <alignment vertical="top" wrapText="1"/>
    </xf>
    <xf numFmtId="2" fontId="26" fillId="0" borderId="0" xfId="0" applyNumberFormat="1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0" fontId="2" fillId="26" borderId="49" xfId="0" applyFont="1" applyFill="1" applyBorder="1" applyAlignment="1">
      <alignment horizontal="center" vertical="center" wrapText="1"/>
    </xf>
    <xf numFmtId="49" fontId="14" fillId="26" borderId="21" xfId="0" applyNumberFormat="1" applyFont="1" applyFill="1" applyBorder="1" applyAlignment="1">
      <alignment horizontal="center" vertical="center" wrapText="1"/>
    </xf>
    <xf numFmtId="0" fontId="25" fillId="26" borderId="21" xfId="0" applyFont="1" applyFill="1" applyBorder="1" applyAlignment="1">
      <alignment horizontal="center" vertical="center" wrapText="1"/>
    </xf>
    <xf numFmtId="0" fontId="14" fillId="26" borderId="2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top" wrapText="1"/>
    </xf>
    <xf numFmtId="0" fontId="54" fillId="0" borderId="3" xfId="0" applyFont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2" fillId="27" borderId="3" xfId="0" applyFont="1" applyFill="1" applyBorder="1" applyAlignment="1">
      <alignment horizontal="center" vertical="top" wrapText="1"/>
    </xf>
    <xf numFmtId="0" fontId="2" fillId="27" borderId="3" xfId="0" applyFont="1" applyFill="1" applyBorder="1" applyAlignment="1">
      <alignment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39" fillId="0" borderId="3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top" wrapText="1" indent="1"/>
    </xf>
    <xf numFmtId="164" fontId="1" fillId="0" borderId="3" xfId="1" applyNumberFormat="1" applyFont="1" applyFill="1" applyBorder="1" applyAlignment="1">
      <alignment horizontal="center" vertical="center" wrapText="1"/>
    </xf>
    <xf numFmtId="166" fontId="2" fillId="0" borderId="3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left" vertical="center" wrapText="1"/>
    </xf>
    <xf numFmtId="17" fontId="42" fillId="0" borderId="3" xfId="0" applyNumberFormat="1" applyFont="1" applyFill="1" applyBorder="1" applyAlignment="1">
      <alignment horizontal="center" vertical="center" wrapText="1"/>
    </xf>
    <xf numFmtId="2" fontId="26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49" fontId="1" fillId="0" borderId="3" xfId="0" applyNumberFormat="1" applyFont="1" applyFill="1" applyBorder="1" applyAlignment="1">
      <alignment vertical="top" wrapText="1"/>
    </xf>
    <xf numFmtId="2" fontId="21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wrapText="1"/>
    </xf>
    <xf numFmtId="0" fontId="2" fillId="0" borderId="3" xfId="0" applyFont="1" applyFill="1" applyBorder="1" applyAlignment="1">
      <alignment horizontal="center" vertical="center" wrapText="1"/>
    </xf>
    <xf numFmtId="49" fontId="25" fillId="0" borderId="3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 indent="1"/>
    </xf>
    <xf numFmtId="2" fontId="22" fillId="0" borderId="3" xfId="0" applyNumberFormat="1" applyFont="1" applyFill="1" applyBorder="1" applyAlignment="1">
      <alignment horizontal="center" vertical="top" wrapText="1"/>
    </xf>
    <xf numFmtId="2" fontId="25" fillId="0" borderId="3" xfId="0" applyNumberFormat="1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left" vertical="top" wrapText="1" indent="1"/>
    </xf>
    <xf numFmtId="0" fontId="25" fillId="0" borderId="3" xfId="0" applyFont="1" applyFill="1" applyBorder="1" applyAlignment="1">
      <alignment vertical="top" wrapText="1"/>
    </xf>
    <xf numFmtId="0" fontId="22" fillId="0" borderId="3" xfId="0" applyFont="1" applyFill="1" applyBorder="1" applyAlignment="1">
      <alignment vertical="top" wrapText="1"/>
    </xf>
    <xf numFmtId="0" fontId="14" fillId="0" borderId="3" xfId="0" applyFont="1" applyFill="1" applyBorder="1" applyAlignment="1">
      <alignment vertical="top" wrapText="1"/>
    </xf>
    <xf numFmtId="0" fontId="22" fillId="0" borderId="3" xfId="0" applyFont="1" applyFill="1" applyBorder="1" applyAlignment="1">
      <alignment wrapText="1"/>
    </xf>
    <xf numFmtId="0" fontId="21" fillId="0" borderId="3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166" fontId="1" fillId="0" borderId="3" xfId="0" applyNumberFormat="1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vertical="top" wrapText="1"/>
    </xf>
    <xf numFmtId="2" fontId="21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166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top" wrapText="1"/>
    </xf>
    <xf numFmtId="0" fontId="47" fillId="0" borderId="3" xfId="0" applyFont="1" applyFill="1" applyBorder="1" applyAlignment="1">
      <alignment horizontal="center" vertical="top" wrapText="1"/>
    </xf>
    <xf numFmtId="0" fontId="21" fillId="0" borderId="3" xfId="0" applyFont="1" applyFill="1" applyBorder="1" applyAlignment="1">
      <alignment wrapText="1"/>
    </xf>
    <xf numFmtId="0" fontId="50" fillId="0" borderId="3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wrapText="1"/>
    </xf>
    <xf numFmtId="0" fontId="26" fillId="0" borderId="3" xfId="0" applyFont="1" applyFill="1" applyBorder="1" applyAlignment="1">
      <alignment horizontal="center" vertical="top" wrapText="1"/>
    </xf>
    <xf numFmtId="2" fontId="41" fillId="0" borderId="3" xfId="0" applyNumberFormat="1" applyFont="1" applyFill="1" applyBorder="1" applyAlignment="1">
      <alignment horizontal="center" vertical="top" wrapText="1"/>
    </xf>
    <xf numFmtId="0" fontId="12" fillId="0" borderId="3" xfId="0" applyFont="1" applyFill="1" applyBorder="1" applyAlignment="1">
      <alignment horizontal="left" vertical="center" wrapText="1"/>
    </xf>
    <xf numFmtId="167" fontId="1" fillId="0" borderId="3" xfId="2" applyNumberFormat="1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wrapText="1"/>
    </xf>
    <xf numFmtId="17" fontId="49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top" wrapText="1"/>
    </xf>
    <xf numFmtId="0" fontId="39" fillId="0" borderId="3" xfId="0" applyNumberFormat="1" applyFont="1" applyFill="1" applyBorder="1" applyAlignment="1">
      <alignment horizontal="center" vertical="top" wrapText="1"/>
    </xf>
    <xf numFmtId="2" fontId="12" fillId="0" borderId="3" xfId="0" applyNumberFormat="1" applyFont="1" applyFill="1" applyBorder="1" applyAlignment="1">
      <alignment horizontal="left" wrapText="1"/>
    </xf>
    <xf numFmtId="49" fontId="1" fillId="0" borderId="3" xfId="0" applyNumberFormat="1" applyFont="1" applyFill="1" applyBorder="1" applyAlignment="1">
      <alignment horizontal="left" vertical="top" wrapText="1" indent="1"/>
    </xf>
    <xf numFmtId="49" fontId="1" fillId="0" borderId="3" xfId="0" applyNumberFormat="1" applyFont="1" applyFill="1" applyBorder="1" applyAlignment="1">
      <alignment horizontal="center" vertical="top" wrapText="1"/>
    </xf>
    <xf numFmtId="49" fontId="1" fillId="0" borderId="3" xfId="0" applyNumberFormat="1" applyFont="1" applyFill="1" applyBorder="1" applyAlignment="1">
      <alignment horizont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1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top" wrapText="1" indent="1"/>
    </xf>
    <xf numFmtId="49" fontId="12" fillId="0" borderId="3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13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right" vertical="top" wrapText="1" indent="1"/>
    </xf>
    <xf numFmtId="164" fontId="4" fillId="0" borderId="3" xfId="1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49" fontId="13" fillId="0" borderId="3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wrapText="1"/>
    </xf>
    <xf numFmtId="0" fontId="18" fillId="0" borderId="3" xfId="0" applyFont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left" vertical="top" wrapText="1" indent="1"/>
    </xf>
    <xf numFmtId="2" fontId="12" fillId="11" borderId="3" xfId="3" applyNumberFormat="1" applyFont="1" applyFill="1" applyBorder="1" applyAlignment="1">
      <alignment horizontal="left" vertical="center" wrapText="1"/>
    </xf>
    <xf numFmtId="0" fontId="1" fillId="0" borderId="3" xfId="3" applyFont="1" applyBorder="1" applyAlignment="1">
      <alignment horizontal="center" vertical="top" wrapText="1"/>
    </xf>
    <xf numFmtId="49" fontId="13" fillId="7" borderId="3" xfId="0" applyNumberFormat="1" applyFont="1" applyFill="1" applyBorder="1" applyAlignment="1">
      <alignment horizontal="center" vertical="center" textRotation="180" wrapText="1"/>
    </xf>
    <xf numFmtId="164" fontId="1" fillId="4" borderId="3" xfId="1" applyNumberFormat="1" applyFont="1" applyFill="1" applyBorder="1" applyAlignment="1">
      <alignment horizontal="center" vertical="center" wrapText="1"/>
    </xf>
    <xf numFmtId="49" fontId="25" fillId="6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" fillId="30" borderId="3" xfId="0" applyFont="1" applyFill="1" applyBorder="1" applyAlignment="1">
      <alignment horizontal="center" vertical="top" wrapText="1"/>
    </xf>
    <xf numFmtId="2" fontId="12" fillId="0" borderId="3" xfId="0" applyNumberFormat="1" applyFont="1" applyFill="1" applyBorder="1" applyAlignment="1">
      <alignment horizontal="center" vertical="center" wrapText="1"/>
    </xf>
    <xf numFmtId="2" fontId="55" fillId="0" borderId="3" xfId="0" applyNumberFormat="1" applyFont="1" applyFill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center" vertical="top" wrapText="1"/>
    </xf>
    <xf numFmtId="2" fontId="55" fillId="0" borderId="3" xfId="0" applyNumberFormat="1" applyFont="1" applyFill="1" applyBorder="1" applyAlignment="1">
      <alignment horizontal="center" vertical="center" wrapText="1"/>
    </xf>
    <xf numFmtId="49" fontId="10" fillId="6" borderId="0" xfId="0" applyNumberFormat="1" applyFont="1" applyFill="1" applyAlignment="1">
      <alignment vertical="center" wrapText="1"/>
    </xf>
    <xf numFmtId="0" fontId="10" fillId="0" borderId="3" xfId="0" applyFont="1" applyBorder="1" applyAlignment="1">
      <alignment horizontal="center" vertical="top" wrapText="1"/>
    </xf>
    <xf numFmtId="0" fontId="1" fillId="7" borderId="3" xfId="0" applyFont="1" applyFill="1" applyBorder="1" applyAlignment="1">
      <alignment horizontal="center" vertical="top" wrapText="1"/>
    </xf>
    <xf numFmtId="0" fontId="1" fillId="7" borderId="3" xfId="0" applyFont="1" applyFill="1" applyBorder="1" applyAlignment="1">
      <alignment horizontal="center" wrapText="1"/>
    </xf>
    <xf numFmtId="0" fontId="39" fillId="7" borderId="3" xfId="0" applyFont="1" applyFill="1" applyBorder="1" applyAlignment="1">
      <alignment horizontal="center" vertical="top" wrapText="1"/>
    </xf>
    <xf numFmtId="0" fontId="11" fillId="7" borderId="3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left" vertical="top" wrapText="1" indent="1"/>
    </xf>
    <xf numFmtId="164" fontId="1" fillId="7" borderId="3" xfId="1" applyNumberFormat="1" applyFont="1" applyFill="1" applyBorder="1" applyAlignment="1">
      <alignment horizontal="center" vertical="center" wrapText="1"/>
    </xf>
    <xf numFmtId="166" fontId="2" fillId="7" borderId="3" xfId="0" applyNumberFormat="1" applyFont="1" applyFill="1" applyBorder="1" applyAlignment="1">
      <alignment horizontal="center" vertical="center" wrapText="1"/>
    </xf>
    <xf numFmtId="2" fontId="12" fillId="7" borderId="3" xfId="0" applyNumberFormat="1" applyFont="1" applyFill="1" applyBorder="1" applyAlignment="1">
      <alignment horizontal="left" vertical="center" wrapText="1"/>
    </xf>
    <xf numFmtId="17" fontId="42" fillId="7" borderId="3" xfId="0" applyNumberFormat="1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wrapText="1"/>
    </xf>
    <xf numFmtId="0" fontId="14" fillId="7" borderId="2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wrapText="1"/>
    </xf>
    <xf numFmtId="0" fontId="39" fillId="3" borderId="3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left" vertical="top" wrapText="1" indent="1"/>
    </xf>
    <xf numFmtId="164" fontId="1" fillId="3" borderId="3" xfId="1" applyNumberFormat="1" applyFont="1" applyFill="1" applyBorder="1" applyAlignment="1">
      <alignment horizontal="center" vertical="center" wrapText="1"/>
    </xf>
    <xf numFmtId="166" fontId="2" fillId="3" borderId="3" xfId="0" applyNumberFormat="1" applyFont="1" applyFill="1" applyBorder="1" applyAlignment="1">
      <alignment horizontal="center" vertical="center" wrapText="1"/>
    </xf>
    <xf numFmtId="2" fontId="12" fillId="3" borderId="3" xfId="0" applyNumberFormat="1" applyFont="1" applyFill="1" applyBorder="1" applyAlignment="1">
      <alignment horizontal="left" vertical="center" wrapText="1"/>
    </xf>
    <xf numFmtId="17" fontId="42" fillId="3" borderId="3" xfId="0" applyNumberFormat="1" applyFont="1" applyFill="1" applyBorder="1" applyAlignment="1">
      <alignment horizontal="center" vertical="center" wrapText="1"/>
    </xf>
    <xf numFmtId="2" fontId="21" fillId="3" borderId="3" xfId="0" applyNumberFormat="1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top" wrapText="1"/>
    </xf>
    <xf numFmtId="49" fontId="2" fillId="2" borderId="3" xfId="0" applyNumberFormat="1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2" fillId="3" borderId="0" xfId="0" applyFont="1" applyFill="1" applyAlignment="1">
      <alignment horizontal="center" vertical="top" wrapText="1"/>
    </xf>
    <xf numFmtId="2" fontId="2" fillId="3" borderId="0" xfId="0" applyNumberFormat="1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56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1" fillId="0" borderId="3" xfId="0" applyFont="1" applyBorder="1"/>
    <xf numFmtId="0" fontId="16" fillId="0" borderId="3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1" fillId="3" borderId="3" xfId="0" applyFont="1" applyFill="1" applyBorder="1" applyAlignment="1">
      <alignment horizontal="left" vertical="top" wrapText="1"/>
    </xf>
    <xf numFmtId="2" fontId="1" fillId="3" borderId="3" xfId="0" applyNumberFormat="1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vertical="top" wrapText="1"/>
    </xf>
    <xf numFmtId="49" fontId="1" fillId="3" borderId="3" xfId="0" applyNumberFormat="1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4" xfId="0" applyFont="1" applyBorder="1" applyAlignment="1">
      <alignment vertical="top" wrapText="1"/>
    </xf>
    <xf numFmtId="17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7" fontId="1" fillId="0" borderId="0" xfId="0" applyNumberFormat="1" applyFont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1"/>
    </xf>
    <xf numFmtId="0" fontId="1" fillId="0" borderId="0" xfId="0" applyFont="1" applyAlignment="1">
      <alignment horizontal="left" vertical="top" wrapText="1"/>
    </xf>
    <xf numFmtId="0" fontId="11" fillId="0" borderId="3" xfId="0" applyFont="1" applyFill="1" applyBorder="1" applyAlignment="1">
      <alignment horizontal="center" vertical="top" wrapText="1"/>
    </xf>
    <xf numFmtId="166" fontId="2" fillId="0" borderId="3" xfId="0" applyNumberFormat="1" applyFont="1" applyFill="1" applyBorder="1" applyAlignment="1">
      <alignment horizontal="center" vertical="top" wrapText="1"/>
    </xf>
    <xf numFmtId="2" fontId="13" fillId="0" borderId="3" xfId="0" applyNumberFormat="1" applyFont="1" applyFill="1" applyBorder="1" applyAlignment="1">
      <alignment horizontal="left" vertical="top" wrapText="1"/>
    </xf>
    <xf numFmtId="17" fontId="42" fillId="0" borderId="3" xfId="0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2" fontId="13" fillId="7" borderId="3" xfId="0" applyNumberFormat="1" applyFont="1" applyFill="1" applyBorder="1" applyAlignment="1">
      <alignment horizontal="left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1" fontId="10" fillId="20" borderId="7" xfId="0" applyNumberFormat="1" applyFont="1" applyFill="1" applyBorder="1" applyAlignment="1">
      <alignment horizontal="center" vertical="center" wrapText="1"/>
    </xf>
    <xf numFmtId="1" fontId="10" fillId="7" borderId="7" xfId="0" applyNumberFormat="1" applyFont="1" applyFill="1" applyBorder="1" applyAlignment="1">
      <alignment horizontal="center" vertical="center" wrapText="1"/>
    </xf>
    <xf numFmtId="1" fontId="10" fillId="4" borderId="17" xfId="0" applyNumberFormat="1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vertical="center" wrapText="1"/>
    </xf>
    <xf numFmtId="1" fontId="10" fillId="31" borderId="4" xfId="0" applyNumberFormat="1" applyFont="1" applyFill="1" applyBorder="1" applyAlignment="1">
      <alignment horizontal="center" vertical="center" wrapText="1"/>
    </xf>
    <xf numFmtId="0" fontId="10" fillId="31" borderId="0" xfId="0" applyFont="1" applyFill="1" applyAlignment="1">
      <alignment horizontal="center" vertical="center" wrapText="1"/>
    </xf>
    <xf numFmtId="2" fontId="19" fillId="31" borderId="3" xfId="0" applyNumberFormat="1" applyFont="1" applyFill="1" applyBorder="1" applyAlignment="1">
      <alignment horizontal="center" vertical="center" wrapText="1"/>
    </xf>
    <xf numFmtId="166" fontId="10" fillId="31" borderId="4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2" fontId="19" fillId="0" borderId="21" xfId="0" applyNumberFormat="1" applyFont="1" applyFill="1" applyBorder="1" applyAlignment="1">
      <alignment horizontal="center" vertical="center" wrapText="1"/>
    </xf>
    <xf numFmtId="2" fontId="19" fillId="0" borderId="3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center" vertical="top" wrapText="1"/>
    </xf>
    <xf numFmtId="2" fontId="19" fillId="0" borderId="22" xfId="0" applyNumberFormat="1" applyFont="1" applyFill="1" applyBorder="1" applyAlignment="1">
      <alignment horizontal="center" vertical="center" wrapText="1"/>
    </xf>
    <xf numFmtId="2" fontId="19" fillId="0" borderId="27" xfId="0" applyNumberFormat="1" applyFont="1" applyFill="1" applyBorder="1" applyAlignment="1">
      <alignment horizontal="center" vertical="center" wrapText="1"/>
    </xf>
    <xf numFmtId="168" fontId="2" fillId="0" borderId="36" xfId="2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center" wrapText="1"/>
    </xf>
    <xf numFmtId="0" fontId="19" fillId="0" borderId="2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top" wrapText="1"/>
    </xf>
    <xf numFmtId="0" fontId="46" fillId="0" borderId="21" xfId="0" applyFont="1" applyFill="1" applyBorder="1" applyAlignment="1">
      <alignment horizontal="center" vertical="center" wrapText="1"/>
    </xf>
    <xf numFmtId="0" fontId="46" fillId="0" borderId="3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top" wrapText="1"/>
    </xf>
    <xf numFmtId="0" fontId="46" fillId="0" borderId="22" xfId="0" applyFont="1" applyFill="1" applyBorder="1" applyAlignment="1">
      <alignment horizontal="center" vertical="center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22" xfId="0" applyNumberFormat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wrapText="1"/>
    </xf>
    <xf numFmtId="0" fontId="10" fillId="0" borderId="22" xfId="0" applyFont="1" applyFill="1" applyBorder="1" applyAlignment="1">
      <alignment horizontal="center" vertical="center" wrapText="1"/>
    </xf>
    <xf numFmtId="2" fontId="10" fillId="0" borderId="27" xfId="0" applyNumberFormat="1" applyFont="1" applyFill="1" applyBorder="1" applyAlignment="1">
      <alignment horizontal="center" vertical="center" wrapText="1"/>
    </xf>
    <xf numFmtId="2" fontId="10" fillId="0" borderId="22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6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1" fontId="10" fillId="0" borderId="9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1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2" fontId="19" fillId="21" borderId="55" xfId="0" applyNumberFormat="1" applyFont="1" applyFill="1" applyBorder="1" applyAlignment="1">
      <alignment horizontal="center" vertical="center" wrapText="1"/>
    </xf>
    <xf numFmtId="2" fontId="19" fillId="0" borderId="14" xfId="0" applyNumberFormat="1" applyFont="1" applyBorder="1" applyAlignment="1">
      <alignment horizontal="center" vertical="center" wrapText="1"/>
    </xf>
    <xf numFmtId="2" fontId="19" fillId="21" borderId="14" xfId="0" applyNumberFormat="1" applyFont="1" applyFill="1" applyBorder="1" applyAlignment="1">
      <alignment horizontal="center" vertical="center" wrapText="1"/>
    </xf>
    <xf numFmtId="2" fontId="19" fillId="0" borderId="50" xfId="0" applyNumberFormat="1" applyFont="1" applyBorder="1" applyAlignment="1">
      <alignment horizontal="center" vertical="center" wrapText="1"/>
    </xf>
    <xf numFmtId="2" fontId="19" fillId="7" borderId="41" xfId="0" applyNumberFormat="1" applyFont="1" applyFill="1" applyBorder="1" applyAlignment="1">
      <alignment horizontal="center" vertical="center" wrapText="1"/>
    </xf>
    <xf numFmtId="2" fontId="19" fillId="0" borderId="41" xfId="0" applyNumberFormat="1" applyFont="1" applyBorder="1" applyAlignment="1">
      <alignment horizontal="center" vertical="center" wrapText="1"/>
    </xf>
    <xf numFmtId="2" fontId="19" fillId="25" borderId="41" xfId="0" applyNumberFormat="1" applyFont="1" applyFill="1" applyBorder="1" applyAlignment="1">
      <alignment horizontal="center" vertical="center" wrapText="1"/>
    </xf>
    <xf numFmtId="2" fontId="19" fillId="7" borderId="42" xfId="0" applyNumberFormat="1" applyFont="1" applyFill="1" applyBorder="1" applyAlignment="1">
      <alignment horizontal="center" vertical="center" wrapText="1"/>
    </xf>
    <xf numFmtId="2" fontId="19" fillId="28" borderId="41" xfId="0" applyNumberFormat="1" applyFont="1" applyFill="1" applyBorder="1" applyAlignment="1">
      <alignment horizontal="center" vertical="center" wrapText="1"/>
    </xf>
    <xf numFmtId="2" fontId="19" fillId="6" borderId="41" xfId="0" applyNumberFormat="1" applyFont="1" applyFill="1" applyBorder="1" applyAlignment="1">
      <alignment horizontal="center" vertical="center" wrapText="1"/>
    </xf>
    <xf numFmtId="168" fontId="2" fillId="25" borderId="56" xfId="2" applyNumberFormat="1" applyFont="1" applyFill="1" applyBorder="1" applyAlignment="1">
      <alignment horizontal="center" vertical="center" wrapText="1"/>
    </xf>
    <xf numFmtId="166" fontId="19" fillId="31" borderId="54" xfId="0" applyNumberFormat="1" applyFont="1" applyFill="1" applyBorder="1" applyAlignment="1">
      <alignment horizontal="center" vertical="center" wrapText="1"/>
    </xf>
    <xf numFmtId="168" fontId="2" fillId="25" borderId="57" xfId="2" applyNumberFormat="1" applyFont="1" applyFill="1" applyBorder="1" applyAlignment="1">
      <alignment horizontal="center" vertical="center" wrapText="1"/>
    </xf>
    <xf numFmtId="2" fontId="19" fillId="0" borderId="51" xfId="0" applyNumberFormat="1" applyFont="1" applyBorder="1" applyAlignment="1">
      <alignment horizontal="center" vertical="center" wrapText="1"/>
    </xf>
    <xf numFmtId="2" fontId="19" fillId="22" borderId="0" xfId="0" applyNumberFormat="1" applyFont="1" applyFill="1" applyBorder="1" applyAlignment="1">
      <alignment horizontal="center" vertical="top" wrapText="1"/>
    </xf>
    <xf numFmtId="168" fontId="2" fillId="25" borderId="22" xfId="2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wrapText="1"/>
    </xf>
    <xf numFmtId="166" fontId="2" fillId="7" borderId="3" xfId="0" applyNumberFormat="1" applyFont="1" applyFill="1" applyBorder="1" applyAlignment="1">
      <alignment horizontal="center" vertical="top" wrapText="1"/>
    </xf>
    <xf numFmtId="0" fontId="22" fillId="7" borderId="0" xfId="0" applyFont="1" applyFill="1" applyAlignment="1">
      <alignment vertical="top" wrapText="1"/>
    </xf>
    <xf numFmtId="2" fontId="19" fillId="7" borderId="21" xfId="0" applyNumberFormat="1" applyFont="1" applyFill="1" applyBorder="1" applyAlignment="1">
      <alignment horizontal="center" vertical="center" wrapText="1"/>
    </xf>
    <xf numFmtId="2" fontId="19" fillId="7" borderId="3" xfId="0" applyNumberFormat="1" applyFont="1" applyFill="1" applyBorder="1" applyAlignment="1">
      <alignment horizontal="center" vertical="center" wrapText="1"/>
    </xf>
    <xf numFmtId="2" fontId="19" fillId="7" borderId="19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Alignment="1">
      <alignment horizontal="center" wrapText="1"/>
    </xf>
    <xf numFmtId="168" fontId="2" fillId="7" borderId="36" xfId="2" applyNumberFormat="1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wrapText="1"/>
    </xf>
    <xf numFmtId="0" fontId="1" fillId="7" borderId="0" xfId="0" applyFont="1" applyFill="1" applyBorder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166" fontId="2" fillId="4" borderId="3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vertical="top" wrapText="1"/>
    </xf>
    <xf numFmtId="0" fontId="10" fillId="0" borderId="0" xfId="0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168" fontId="2" fillId="0" borderId="0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top" wrapText="1"/>
    </xf>
    <xf numFmtId="49" fontId="14" fillId="0" borderId="2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wrapText="1"/>
    </xf>
    <xf numFmtId="0" fontId="58" fillId="0" borderId="0" xfId="0" applyFont="1" applyAlignment="1">
      <alignment horizontal="left" wrapText="1" indent="1"/>
    </xf>
    <xf numFmtId="0" fontId="28" fillId="0" borderId="3" xfId="0" applyFont="1" applyFill="1" applyBorder="1" applyAlignment="1">
      <alignment horizontal="center" vertical="top" wrapText="1"/>
    </xf>
    <xf numFmtId="0" fontId="54" fillId="0" borderId="3" xfId="0" applyFont="1" applyFill="1" applyBorder="1" applyAlignment="1">
      <alignment horizontal="center" vertical="top" wrapText="1"/>
    </xf>
    <xf numFmtId="1" fontId="10" fillId="7" borderId="4" xfId="0" applyNumberFormat="1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1" fillId="0" borderId="36" xfId="0" applyFont="1" applyBorder="1" applyAlignment="1">
      <alignment wrapText="1"/>
    </xf>
    <xf numFmtId="2" fontId="32" fillId="0" borderId="0" xfId="0" applyNumberFormat="1" applyFont="1" applyAlignment="1">
      <alignment horizontal="center" vertical="center"/>
    </xf>
    <xf numFmtId="0" fontId="18" fillId="0" borderId="3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28" fillId="0" borderId="3" xfId="0" applyFont="1" applyFill="1" applyBorder="1" applyAlignment="1">
      <alignment horizontal="center" wrapText="1"/>
    </xf>
    <xf numFmtId="0" fontId="40" fillId="0" borderId="3" xfId="0" applyFont="1" applyFill="1" applyBorder="1" applyAlignment="1">
      <alignment horizontal="center" vertical="top" wrapText="1"/>
    </xf>
    <xf numFmtId="0" fontId="52" fillId="0" borderId="3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left" vertical="top" wrapText="1" indent="1"/>
    </xf>
    <xf numFmtId="164" fontId="21" fillId="0" borderId="3" xfId="1" applyNumberFormat="1" applyFont="1" applyFill="1" applyBorder="1" applyAlignment="1">
      <alignment horizontal="center" vertical="center" wrapText="1"/>
    </xf>
    <xf numFmtId="166" fontId="22" fillId="0" borderId="3" xfId="0" applyNumberFormat="1" applyFont="1" applyFill="1" applyBorder="1" applyAlignment="1">
      <alignment horizontal="center" vertical="center" wrapText="1"/>
    </xf>
    <xf numFmtId="2" fontId="22" fillId="0" borderId="3" xfId="0" applyNumberFormat="1" applyFont="1" applyFill="1" applyBorder="1" applyAlignment="1">
      <alignment horizontal="center" vertical="center" wrapText="1"/>
    </xf>
    <xf numFmtId="2" fontId="29" fillId="0" borderId="3" xfId="0" applyNumberFormat="1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vertical="center" wrapText="1"/>
    </xf>
    <xf numFmtId="164" fontId="1" fillId="0" borderId="3" xfId="1" applyNumberFormat="1" applyFont="1" applyFill="1" applyBorder="1" applyAlignment="1">
      <alignment vertical="center" wrapText="1"/>
    </xf>
    <xf numFmtId="166" fontId="1" fillId="0" borderId="3" xfId="0" applyNumberFormat="1" applyFont="1" applyFill="1" applyBorder="1" applyAlignment="1">
      <alignment wrapText="1"/>
    </xf>
    <xf numFmtId="2" fontId="1" fillId="0" borderId="3" xfId="0" applyNumberFormat="1" applyFont="1" applyFill="1" applyBorder="1" applyAlignment="1">
      <alignment vertical="center" wrapText="1"/>
    </xf>
    <xf numFmtId="0" fontId="42" fillId="0" borderId="3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horizontal="center" vertical="top" wrapText="1"/>
    </xf>
    <xf numFmtId="0" fontId="59" fillId="0" borderId="19" xfId="0" applyFont="1" applyFill="1" applyBorder="1" applyAlignment="1">
      <alignment horizontal="center" vertical="center" wrapText="1"/>
    </xf>
    <xf numFmtId="0" fontId="59" fillId="0" borderId="30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19" fillId="21" borderId="24" xfId="0" applyFont="1" applyFill="1" applyBorder="1" applyAlignment="1">
      <alignment horizontal="center" vertical="center" wrapText="1"/>
    </xf>
    <xf numFmtId="0" fontId="2" fillId="21" borderId="25" xfId="0" applyFont="1" applyFill="1" applyBorder="1" applyAlignment="1">
      <alignment horizontal="center" vertical="center" wrapText="1"/>
    </xf>
    <xf numFmtId="0" fontId="2" fillId="21" borderId="26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9" fillId="7" borderId="27" xfId="0" applyFont="1" applyFill="1" applyBorder="1" applyAlignment="1">
      <alignment horizontal="center" vertical="center" wrapText="1"/>
    </xf>
    <xf numFmtId="0" fontId="19" fillId="7" borderId="28" xfId="0" applyFont="1" applyFill="1" applyBorder="1" applyAlignment="1">
      <alignment horizontal="center" vertical="center" wrapText="1"/>
    </xf>
    <xf numFmtId="0" fontId="19" fillId="7" borderId="29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9" fillId="8" borderId="32" xfId="0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0" fontId="0" fillId="0" borderId="0" xfId="0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center" shrinkToFit="1"/>
    </xf>
  </cellXfs>
  <cellStyles count="4">
    <cellStyle name="Komma" xfId="1" builtinId="3"/>
    <cellStyle name="Standard" xfId="0" builtinId="0"/>
    <cellStyle name="Standard 2" xfId="3" xr:uid="{00000000-0005-0000-0000-000002000000}"/>
    <cellStyle name="Währung" xfId="2" builtinId="4"/>
  </cellStyles>
  <dxfs count="0"/>
  <tableStyles count="0" defaultTableStyle="TableStyleMedium9" defaultPivotStyle="PivotStyleLight16"/>
  <colors>
    <mruColors>
      <color rgb="FFCC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6" Type="http://schemas.openxmlformats.org/officeDocument/2006/relationships/image" Target="../media/image16.emf"/><Relationship Id="rId107" Type="http://schemas.openxmlformats.org/officeDocument/2006/relationships/image" Target="../media/image107.png"/><Relationship Id="rId11" Type="http://schemas.openxmlformats.org/officeDocument/2006/relationships/image" Target="../media/image11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jp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3.emf"/><Relationship Id="rId2" Type="http://schemas.openxmlformats.org/officeDocument/2006/relationships/image" Target="../media/image232.emf"/><Relationship Id="rId1" Type="http://schemas.openxmlformats.org/officeDocument/2006/relationships/image" Target="../media/image231.emf"/><Relationship Id="rId4" Type="http://schemas.openxmlformats.org/officeDocument/2006/relationships/image" Target="../media/image23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6.emf"/><Relationship Id="rId1" Type="http://schemas.openxmlformats.org/officeDocument/2006/relationships/image" Target="../media/image235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3.png"/><Relationship Id="rId117" Type="http://schemas.openxmlformats.org/officeDocument/2006/relationships/image" Target="../media/image116.png"/><Relationship Id="rId21" Type="http://schemas.openxmlformats.org/officeDocument/2006/relationships/image" Target="../media/image128.png"/><Relationship Id="rId42" Type="http://schemas.openxmlformats.org/officeDocument/2006/relationships/image" Target="../media/image124.png"/><Relationship Id="rId47" Type="http://schemas.openxmlformats.org/officeDocument/2006/relationships/image" Target="../media/image44.png"/><Relationship Id="rId63" Type="http://schemas.openxmlformats.org/officeDocument/2006/relationships/image" Target="../media/image68.png"/><Relationship Id="rId68" Type="http://schemas.openxmlformats.org/officeDocument/2006/relationships/image" Target="../media/image76.png"/><Relationship Id="rId84" Type="http://schemas.openxmlformats.org/officeDocument/2006/relationships/image" Target="../media/image119.png"/><Relationship Id="rId89" Type="http://schemas.openxmlformats.org/officeDocument/2006/relationships/image" Target="../media/image90.png"/><Relationship Id="rId112" Type="http://schemas.openxmlformats.org/officeDocument/2006/relationships/image" Target="../media/image132.png"/><Relationship Id="rId133" Type="http://schemas.openxmlformats.org/officeDocument/2006/relationships/image" Target="../media/image212.png"/><Relationship Id="rId138" Type="http://schemas.openxmlformats.org/officeDocument/2006/relationships/image" Target="../media/image140.png"/><Relationship Id="rId154" Type="http://schemas.openxmlformats.org/officeDocument/2006/relationships/image" Target="../media/image154.png"/><Relationship Id="rId16" Type="http://schemas.openxmlformats.org/officeDocument/2006/relationships/image" Target="../media/image174.png"/><Relationship Id="rId107" Type="http://schemas.openxmlformats.org/officeDocument/2006/relationships/image" Target="../media/image67.png"/><Relationship Id="rId11" Type="http://schemas.openxmlformats.org/officeDocument/2006/relationships/image" Target="../media/image169.png"/><Relationship Id="rId32" Type="http://schemas.openxmlformats.org/officeDocument/2006/relationships/image" Target="../media/image123.png"/><Relationship Id="rId37" Type="http://schemas.openxmlformats.org/officeDocument/2006/relationships/image" Target="../media/image193.png"/><Relationship Id="rId53" Type="http://schemas.openxmlformats.org/officeDocument/2006/relationships/image" Target="../media/image199.png"/><Relationship Id="rId58" Type="http://schemas.openxmlformats.org/officeDocument/2006/relationships/image" Target="../media/image201.png"/><Relationship Id="rId74" Type="http://schemas.openxmlformats.org/officeDocument/2006/relationships/image" Target="../media/image89.png"/><Relationship Id="rId79" Type="http://schemas.openxmlformats.org/officeDocument/2006/relationships/image" Target="../media/image130.png"/><Relationship Id="rId102" Type="http://schemas.openxmlformats.org/officeDocument/2006/relationships/image" Target="../media/image136.png"/><Relationship Id="rId123" Type="http://schemas.openxmlformats.org/officeDocument/2006/relationships/image" Target="../media/image211.png"/><Relationship Id="rId128" Type="http://schemas.openxmlformats.org/officeDocument/2006/relationships/image" Target="../media/image108.png"/><Relationship Id="rId144" Type="http://schemas.openxmlformats.org/officeDocument/2006/relationships/image" Target="../media/image146.png"/><Relationship Id="rId149" Type="http://schemas.openxmlformats.org/officeDocument/2006/relationships/image" Target="../media/image149.png"/><Relationship Id="rId5" Type="http://schemas.openxmlformats.org/officeDocument/2006/relationships/image" Target="../media/image163.png"/><Relationship Id="rId90" Type="http://schemas.openxmlformats.org/officeDocument/2006/relationships/image" Target="../media/image91.png"/><Relationship Id="rId95" Type="http://schemas.openxmlformats.org/officeDocument/2006/relationships/image" Target="../media/image74.png"/><Relationship Id="rId22" Type="http://schemas.openxmlformats.org/officeDocument/2006/relationships/image" Target="../media/image179.png"/><Relationship Id="rId27" Type="http://schemas.openxmlformats.org/officeDocument/2006/relationships/image" Target="../media/image184.png"/><Relationship Id="rId43" Type="http://schemas.openxmlformats.org/officeDocument/2006/relationships/image" Target="../media/image125.png"/><Relationship Id="rId48" Type="http://schemas.openxmlformats.org/officeDocument/2006/relationships/image" Target="../media/image126.png"/><Relationship Id="rId64" Type="http://schemas.openxmlformats.org/officeDocument/2006/relationships/image" Target="../media/image69.png"/><Relationship Id="rId69" Type="http://schemas.openxmlformats.org/officeDocument/2006/relationships/image" Target="../media/image59.png"/><Relationship Id="rId113" Type="http://schemas.openxmlformats.org/officeDocument/2006/relationships/image" Target="../media/image112.png"/><Relationship Id="rId118" Type="http://schemas.openxmlformats.org/officeDocument/2006/relationships/image" Target="../media/image103.png"/><Relationship Id="rId134" Type="http://schemas.openxmlformats.org/officeDocument/2006/relationships/image" Target="../media/image213.png"/><Relationship Id="rId139" Type="http://schemas.openxmlformats.org/officeDocument/2006/relationships/image" Target="../media/image141.png"/><Relationship Id="rId80" Type="http://schemas.openxmlformats.org/officeDocument/2006/relationships/image" Target="../media/image55.png"/><Relationship Id="rId85" Type="http://schemas.openxmlformats.org/officeDocument/2006/relationships/image" Target="../media/image77.png"/><Relationship Id="rId150" Type="http://schemas.openxmlformats.org/officeDocument/2006/relationships/image" Target="../media/image150.png"/><Relationship Id="rId155" Type="http://schemas.openxmlformats.org/officeDocument/2006/relationships/image" Target="../media/image155.jp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33" Type="http://schemas.openxmlformats.org/officeDocument/2006/relationships/image" Target="../media/image189.png"/><Relationship Id="rId38" Type="http://schemas.openxmlformats.org/officeDocument/2006/relationships/image" Target="../media/image194.png"/><Relationship Id="rId59" Type="http://schemas.openxmlformats.org/officeDocument/2006/relationships/image" Target="../media/image127.png"/><Relationship Id="rId103" Type="http://schemas.openxmlformats.org/officeDocument/2006/relationships/image" Target="../media/image207.png"/><Relationship Id="rId108" Type="http://schemas.openxmlformats.org/officeDocument/2006/relationships/image" Target="../media/image209.png"/><Relationship Id="rId124" Type="http://schemas.openxmlformats.org/officeDocument/2006/relationships/image" Target="../media/image107.png"/><Relationship Id="rId129" Type="http://schemas.openxmlformats.org/officeDocument/2006/relationships/image" Target="../media/image114.png"/><Relationship Id="rId20" Type="http://schemas.openxmlformats.org/officeDocument/2006/relationships/image" Target="../media/image178.png"/><Relationship Id="rId41" Type="http://schemas.openxmlformats.org/officeDocument/2006/relationships/image" Target="../media/image197.png"/><Relationship Id="rId54" Type="http://schemas.openxmlformats.org/officeDocument/2006/relationships/image" Target="../media/image200.png"/><Relationship Id="rId62" Type="http://schemas.openxmlformats.org/officeDocument/2006/relationships/image" Target="../media/image100.png"/><Relationship Id="rId70" Type="http://schemas.openxmlformats.org/officeDocument/2006/relationships/image" Target="../media/image73.png"/><Relationship Id="rId75" Type="http://schemas.openxmlformats.org/officeDocument/2006/relationships/image" Target="../media/image96.png"/><Relationship Id="rId83" Type="http://schemas.openxmlformats.org/officeDocument/2006/relationships/image" Target="../media/image133.png"/><Relationship Id="rId88" Type="http://schemas.openxmlformats.org/officeDocument/2006/relationships/image" Target="../media/image79.png"/><Relationship Id="rId91" Type="http://schemas.openxmlformats.org/officeDocument/2006/relationships/image" Target="../media/image92.png"/><Relationship Id="rId96" Type="http://schemas.openxmlformats.org/officeDocument/2006/relationships/image" Target="../media/image206.png"/><Relationship Id="rId111" Type="http://schemas.openxmlformats.org/officeDocument/2006/relationships/image" Target="../media/image113.png"/><Relationship Id="rId132" Type="http://schemas.openxmlformats.org/officeDocument/2006/relationships/image" Target="../media/image83.png"/><Relationship Id="rId140" Type="http://schemas.openxmlformats.org/officeDocument/2006/relationships/image" Target="../media/image142.png"/><Relationship Id="rId145" Type="http://schemas.openxmlformats.org/officeDocument/2006/relationships/image" Target="../media/image215.png"/><Relationship Id="rId153" Type="http://schemas.openxmlformats.org/officeDocument/2006/relationships/image" Target="../media/image153.png"/><Relationship Id="rId1" Type="http://schemas.openxmlformats.org/officeDocument/2006/relationships/image" Target="../media/image159.png"/><Relationship Id="rId6" Type="http://schemas.openxmlformats.org/officeDocument/2006/relationships/image" Target="../media/image164.png"/><Relationship Id="rId15" Type="http://schemas.openxmlformats.org/officeDocument/2006/relationships/image" Target="../media/image173.png"/><Relationship Id="rId23" Type="http://schemas.openxmlformats.org/officeDocument/2006/relationships/image" Target="../media/image180.png"/><Relationship Id="rId28" Type="http://schemas.openxmlformats.org/officeDocument/2006/relationships/image" Target="../media/image185.png"/><Relationship Id="rId36" Type="http://schemas.openxmlformats.org/officeDocument/2006/relationships/image" Target="../media/image192.png"/><Relationship Id="rId49" Type="http://schemas.openxmlformats.org/officeDocument/2006/relationships/image" Target="../media/image121.png"/><Relationship Id="rId57" Type="http://schemas.openxmlformats.org/officeDocument/2006/relationships/image" Target="../media/image64.png"/><Relationship Id="rId106" Type="http://schemas.openxmlformats.org/officeDocument/2006/relationships/image" Target="../media/image60.png"/><Relationship Id="rId114" Type="http://schemas.openxmlformats.org/officeDocument/2006/relationships/image" Target="../media/image111.png"/><Relationship Id="rId119" Type="http://schemas.openxmlformats.org/officeDocument/2006/relationships/image" Target="../media/image104.png"/><Relationship Id="rId127" Type="http://schemas.openxmlformats.org/officeDocument/2006/relationships/image" Target="../media/image106.png"/><Relationship Id="rId10" Type="http://schemas.openxmlformats.org/officeDocument/2006/relationships/image" Target="../media/image168.png"/><Relationship Id="rId31" Type="http://schemas.openxmlformats.org/officeDocument/2006/relationships/image" Target="../media/image188.png"/><Relationship Id="rId44" Type="http://schemas.openxmlformats.org/officeDocument/2006/relationships/image" Target="../media/image198.png"/><Relationship Id="rId52" Type="http://schemas.openxmlformats.org/officeDocument/2006/relationships/image" Target="../media/image118.png"/><Relationship Id="rId60" Type="http://schemas.openxmlformats.org/officeDocument/2006/relationships/image" Target="../media/image98.png"/><Relationship Id="rId65" Type="http://schemas.openxmlformats.org/officeDocument/2006/relationships/image" Target="../media/image70.png"/><Relationship Id="rId73" Type="http://schemas.openxmlformats.org/officeDocument/2006/relationships/image" Target="../media/image135.png"/><Relationship Id="rId78" Type="http://schemas.openxmlformats.org/officeDocument/2006/relationships/image" Target="../media/image205.png"/><Relationship Id="rId81" Type="http://schemas.openxmlformats.org/officeDocument/2006/relationships/image" Target="../media/image56.png"/><Relationship Id="rId86" Type="http://schemas.openxmlformats.org/officeDocument/2006/relationships/image" Target="../media/image78.png"/><Relationship Id="rId94" Type="http://schemas.openxmlformats.org/officeDocument/2006/relationships/image" Target="../media/image72.png"/><Relationship Id="rId99" Type="http://schemas.openxmlformats.org/officeDocument/2006/relationships/image" Target="../media/image93.png"/><Relationship Id="rId101" Type="http://schemas.openxmlformats.org/officeDocument/2006/relationships/image" Target="../media/image134.png"/><Relationship Id="rId122" Type="http://schemas.openxmlformats.org/officeDocument/2006/relationships/image" Target="../media/image88.png"/><Relationship Id="rId130" Type="http://schemas.openxmlformats.org/officeDocument/2006/relationships/image" Target="../media/image115.png"/><Relationship Id="rId135" Type="http://schemas.openxmlformats.org/officeDocument/2006/relationships/image" Target="../media/image214.png"/><Relationship Id="rId143" Type="http://schemas.openxmlformats.org/officeDocument/2006/relationships/image" Target="../media/image145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3" Type="http://schemas.openxmlformats.org/officeDocument/2006/relationships/image" Target="../media/image171.png"/><Relationship Id="rId18" Type="http://schemas.openxmlformats.org/officeDocument/2006/relationships/image" Target="../media/image176.png"/><Relationship Id="rId39" Type="http://schemas.openxmlformats.org/officeDocument/2006/relationships/image" Target="../media/image195.png"/><Relationship Id="rId109" Type="http://schemas.openxmlformats.org/officeDocument/2006/relationships/image" Target="../media/image210.png"/><Relationship Id="rId34" Type="http://schemas.openxmlformats.org/officeDocument/2006/relationships/image" Target="../media/image190.png"/><Relationship Id="rId50" Type="http://schemas.openxmlformats.org/officeDocument/2006/relationships/image" Target="../media/image120.png"/><Relationship Id="rId55" Type="http://schemas.openxmlformats.org/officeDocument/2006/relationships/image" Target="../media/image65.png"/><Relationship Id="rId76" Type="http://schemas.openxmlformats.org/officeDocument/2006/relationships/image" Target="../media/image203.png"/><Relationship Id="rId97" Type="http://schemas.openxmlformats.org/officeDocument/2006/relationships/image" Target="../media/image61.png"/><Relationship Id="rId104" Type="http://schemas.openxmlformats.org/officeDocument/2006/relationships/image" Target="../media/image208.png"/><Relationship Id="rId120" Type="http://schemas.openxmlformats.org/officeDocument/2006/relationships/image" Target="../media/image85.png"/><Relationship Id="rId125" Type="http://schemas.openxmlformats.org/officeDocument/2006/relationships/image" Target="../media/image87.png"/><Relationship Id="rId141" Type="http://schemas.openxmlformats.org/officeDocument/2006/relationships/image" Target="../media/image143.png"/><Relationship Id="rId146" Type="http://schemas.openxmlformats.org/officeDocument/2006/relationships/image" Target="../media/image147.png"/><Relationship Id="rId7" Type="http://schemas.openxmlformats.org/officeDocument/2006/relationships/image" Target="../media/image165.png"/><Relationship Id="rId71" Type="http://schemas.openxmlformats.org/officeDocument/2006/relationships/image" Target="../media/image84.png"/><Relationship Id="rId92" Type="http://schemas.openxmlformats.org/officeDocument/2006/relationships/image" Target="../media/image81.png"/><Relationship Id="rId2" Type="http://schemas.openxmlformats.org/officeDocument/2006/relationships/image" Target="../media/image160.png"/><Relationship Id="rId29" Type="http://schemas.openxmlformats.org/officeDocument/2006/relationships/image" Target="../media/image186.png"/><Relationship Id="rId24" Type="http://schemas.openxmlformats.org/officeDocument/2006/relationships/image" Target="../media/image181.png"/><Relationship Id="rId40" Type="http://schemas.openxmlformats.org/officeDocument/2006/relationships/image" Target="../media/image196.png"/><Relationship Id="rId45" Type="http://schemas.openxmlformats.org/officeDocument/2006/relationships/image" Target="../media/image129.jpeg"/><Relationship Id="rId66" Type="http://schemas.openxmlformats.org/officeDocument/2006/relationships/image" Target="../media/image202.png"/><Relationship Id="rId87" Type="http://schemas.openxmlformats.org/officeDocument/2006/relationships/image" Target="../media/image80.png"/><Relationship Id="rId110" Type="http://schemas.openxmlformats.org/officeDocument/2006/relationships/image" Target="../media/image101.png"/><Relationship Id="rId115" Type="http://schemas.openxmlformats.org/officeDocument/2006/relationships/image" Target="../media/image110.png"/><Relationship Id="rId131" Type="http://schemas.openxmlformats.org/officeDocument/2006/relationships/image" Target="../media/image86.png"/><Relationship Id="rId136" Type="http://schemas.openxmlformats.org/officeDocument/2006/relationships/image" Target="../media/image137.png"/><Relationship Id="rId157" Type="http://schemas.openxmlformats.org/officeDocument/2006/relationships/image" Target="../media/image157.png"/><Relationship Id="rId61" Type="http://schemas.openxmlformats.org/officeDocument/2006/relationships/image" Target="../media/image99.png"/><Relationship Id="rId82" Type="http://schemas.openxmlformats.org/officeDocument/2006/relationships/image" Target="../media/image131.png"/><Relationship Id="rId152" Type="http://schemas.openxmlformats.org/officeDocument/2006/relationships/image" Target="../media/image152.png"/><Relationship Id="rId19" Type="http://schemas.openxmlformats.org/officeDocument/2006/relationships/image" Target="../media/image177.png"/><Relationship Id="rId14" Type="http://schemas.openxmlformats.org/officeDocument/2006/relationships/image" Target="../media/image172.png"/><Relationship Id="rId30" Type="http://schemas.openxmlformats.org/officeDocument/2006/relationships/image" Target="../media/image187.png"/><Relationship Id="rId35" Type="http://schemas.openxmlformats.org/officeDocument/2006/relationships/image" Target="../media/image191.png"/><Relationship Id="rId56" Type="http://schemas.openxmlformats.org/officeDocument/2006/relationships/image" Target="../media/image66.png"/><Relationship Id="rId77" Type="http://schemas.openxmlformats.org/officeDocument/2006/relationships/image" Target="../media/image204.png"/><Relationship Id="rId100" Type="http://schemas.openxmlformats.org/officeDocument/2006/relationships/image" Target="../media/image94.png"/><Relationship Id="rId105" Type="http://schemas.openxmlformats.org/officeDocument/2006/relationships/image" Target="../media/image63.png"/><Relationship Id="rId126" Type="http://schemas.openxmlformats.org/officeDocument/2006/relationships/image" Target="../media/image105.png"/><Relationship Id="rId147" Type="http://schemas.openxmlformats.org/officeDocument/2006/relationships/image" Target="../media/image216.png"/><Relationship Id="rId8" Type="http://schemas.openxmlformats.org/officeDocument/2006/relationships/image" Target="../media/image166.png"/><Relationship Id="rId51" Type="http://schemas.openxmlformats.org/officeDocument/2006/relationships/image" Target="../media/image117.png"/><Relationship Id="rId72" Type="http://schemas.openxmlformats.org/officeDocument/2006/relationships/image" Target="../media/image97.png"/><Relationship Id="rId93" Type="http://schemas.openxmlformats.org/officeDocument/2006/relationships/image" Target="../media/image71.png"/><Relationship Id="rId98" Type="http://schemas.openxmlformats.org/officeDocument/2006/relationships/image" Target="../media/image62.png"/><Relationship Id="rId121" Type="http://schemas.openxmlformats.org/officeDocument/2006/relationships/image" Target="../media/image82.png"/><Relationship Id="rId142" Type="http://schemas.openxmlformats.org/officeDocument/2006/relationships/image" Target="../media/image144.png"/><Relationship Id="rId3" Type="http://schemas.openxmlformats.org/officeDocument/2006/relationships/image" Target="../media/image161.png"/><Relationship Id="rId25" Type="http://schemas.openxmlformats.org/officeDocument/2006/relationships/image" Target="../media/image182.png"/><Relationship Id="rId46" Type="http://schemas.openxmlformats.org/officeDocument/2006/relationships/image" Target="../media/image109.png"/><Relationship Id="rId67" Type="http://schemas.openxmlformats.org/officeDocument/2006/relationships/image" Target="../media/image75.png"/><Relationship Id="rId116" Type="http://schemas.openxmlformats.org/officeDocument/2006/relationships/image" Target="../media/image102.png"/><Relationship Id="rId137" Type="http://schemas.openxmlformats.org/officeDocument/2006/relationships/image" Target="../media/image139.png"/><Relationship Id="rId158" Type="http://schemas.openxmlformats.org/officeDocument/2006/relationships/image" Target="../media/image158.jp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jpg"/><Relationship Id="rId16" Type="http://schemas.openxmlformats.org/officeDocument/2006/relationships/image" Target="../media/image16.emf"/><Relationship Id="rId107" Type="http://schemas.openxmlformats.org/officeDocument/2006/relationships/image" Target="../media/image107.png"/><Relationship Id="rId11" Type="http://schemas.openxmlformats.org/officeDocument/2006/relationships/image" Target="../media/image11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9.jpeg"/><Relationship Id="rId144" Type="http://schemas.openxmlformats.org/officeDocument/2006/relationships/image" Target="../media/image145.png"/><Relationship Id="rId149" Type="http://schemas.openxmlformats.org/officeDocument/2006/relationships/image" Target="../media/image150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1.png"/><Relationship Id="rId155" Type="http://schemas.openxmlformats.org/officeDocument/2006/relationships/image" Target="../media/image156.jp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3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53" Type="http://schemas.openxmlformats.org/officeDocument/2006/relationships/image" Target="../media/image154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8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43" Type="http://schemas.openxmlformats.org/officeDocument/2006/relationships/image" Target="../media/image144.png"/><Relationship Id="rId148" Type="http://schemas.openxmlformats.org/officeDocument/2006/relationships/image" Target="../media/image149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6.png"/><Relationship Id="rId141" Type="http://schemas.openxmlformats.org/officeDocument/2006/relationships/image" Target="../media/image142.png"/><Relationship Id="rId146" Type="http://schemas.openxmlformats.org/officeDocument/2006/relationships/image" Target="../media/image14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2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3.pn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3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18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8.jpeg"/><Relationship Id="rId39" Type="http://schemas.openxmlformats.org/officeDocument/2006/relationships/image" Target="../media/image47.png"/><Relationship Id="rId3" Type="http://schemas.openxmlformats.org/officeDocument/2006/relationships/image" Target="../media/image4.emf"/><Relationship Id="rId21" Type="http://schemas.openxmlformats.org/officeDocument/2006/relationships/image" Target="../media/image23.jpeg"/><Relationship Id="rId34" Type="http://schemas.openxmlformats.org/officeDocument/2006/relationships/image" Target="../media/image42.png"/><Relationship Id="rId42" Type="http://schemas.openxmlformats.org/officeDocument/2006/relationships/image" Target="../media/image50.png"/><Relationship Id="rId47" Type="http://schemas.openxmlformats.org/officeDocument/2006/relationships/image" Target="../media/image58.png"/><Relationship Id="rId50" Type="http://schemas.openxmlformats.org/officeDocument/2006/relationships/image" Target="../media/image125.png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7.png"/><Relationship Id="rId33" Type="http://schemas.openxmlformats.org/officeDocument/2006/relationships/image" Target="../media/image36.png"/><Relationship Id="rId38" Type="http://schemas.openxmlformats.org/officeDocument/2006/relationships/image" Target="../media/image46.png"/><Relationship Id="rId46" Type="http://schemas.openxmlformats.org/officeDocument/2006/relationships/image" Target="../media/image54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2.png"/><Relationship Id="rId29" Type="http://schemas.openxmlformats.org/officeDocument/2006/relationships/image" Target="../media/image32.png"/><Relationship Id="rId41" Type="http://schemas.openxmlformats.org/officeDocument/2006/relationships/image" Target="../media/image49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emf"/><Relationship Id="rId24" Type="http://schemas.openxmlformats.org/officeDocument/2006/relationships/image" Target="../media/image26.jpeg"/><Relationship Id="rId32" Type="http://schemas.openxmlformats.org/officeDocument/2006/relationships/image" Target="../media/image35.png"/><Relationship Id="rId37" Type="http://schemas.openxmlformats.org/officeDocument/2006/relationships/image" Target="../media/image45.png"/><Relationship Id="rId40" Type="http://schemas.openxmlformats.org/officeDocument/2006/relationships/image" Target="../media/image48.png"/><Relationship Id="rId45" Type="http://schemas.openxmlformats.org/officeDocument/2006/relationships/image" Target="../media/image53.pn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5.jpeg"/><Relationship Id="rId28" Type="http://schemas.openxmlformats.org/officeDocument/2006/relationships/image" Target="../media/image31.png"/><Relationship Id="rId36" Type="http://schemas.openxmlformats.org/officeDocument/2006/relationships/image" Target="../media/image44.png"/><Relationship Id="rId49" Type="http://schemas.openxmlformats.org/officeDocument/2006/relationships/image" Target="../media/image124.png"/><Relationship Id="rId10" Type="http://schemas.openxmlformats.org/officeDocument/2006/relationships/image" Target="../media/image11.emf"/><Relationship Id="rId19" Type="http://schemas.openxmlformats.org/officeDocument/2006/relationships/image" Target="../media/image20.png"/><Relationship Id="rId31" Type="http://schemas.openxmlformats.org/officeDocument/2006/relationships/image" Target="../media/image34.png"/><Relationship Id="rId44" Type="http://schemas.openxmlformats.org/officeDocument/2006/relationships/image" Target="../media/image52.png"/><Relationship Id="rId52" Type="http://schemas.openxmlformats.org/officeDocument/2006/relationships/image" Target="../media/image129.jpeg"/><Relationship Id="rId4" Type="http://schemas.openxmlformats.org/officeDocument/2006/relationships/image" Target="../media/image5.jpeg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4.jpe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43.png"/><Relationship Id="rId43" Type="http://schemas.openxmlformats.org/officeDocument/2006/relationships/image" Target="../media/image51.emf"/><Relationship Id="rId48" Type="http://schemas.openxmlformats.org/officeDocument/2006/relationships/image" Target="../media/image67.png"/><Relationship Id="rId8" Type="http://schemas.openxmlformats.org/officeDocument/2006/relationships/image" Target="../media/image9.emf"/><Relationship Id="rId51" Type="http://schemas.openxmlformats.org/officeDocument/2006/relationships/image" Target="../media/image128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3.png"/><Relationship Id="rId18" Type="http://schemas.openxmlformats.org/officeDocument/2006/relationships/image" Target="../media/image59.png"/><Relationship Id="rId26" Type="http://schemas.openxmlformats.org/officeDocument/2006/relationships/image" Target="../media/image68.png"/><Relationship Id="rId39" Type="http://schemas.openxmlformats.org/officeDocument/2006/relationships/image" Target="../media/image81.png"/><Relationship Id="rId21" Type="http://schemas.openxmlformats.org/officeDocument/2006/relationships/image" Target="../media/image62.png"/><Relationship Id="rId34" Type="http://schemas.openxmlformats.org/officeDocument/2006/relationships/image" Target="../media/image76.png"/><Relationship Id="rId42" Type="http://schemas.openxmlformats.org/officeDocument/2006/relationships/image" Target="../media/image84.png"/><Relationship Id="rId47" Type="http://schemas.openxmlformats.org/officeDocument/2006/relationships/image" Target="../media/image89.png"/><Relationship Id="rId50" Type="http://schemas.openxmlformats.org/officeDocument/2006/relationships/image" Target="../media/image92.png"/><Relationship Id="rId55" Type="http://schemas.openxmlformats.org/officeDocument/2006/relationships/image" Target="../media/image225.png"/><Relationship Id="rId63" Type="http://schemas.openxmlformats.org/officeDocument/2006/relationships/image" Target="../media/image102.png"/><Relationship Id="rId68" Type="http://schemas.openxmlformats.org/officeDocument/2006/relationships/image" Target="../media/image107.png"/><Relationship Id="rId76" Type="http://schemas.openxmlformats.org/officeDocument/2006/relationships/image" Target="../media/image114.png"/><Relationship Id="rId84" Type="http://schemas.openxmlformats.org/officeDocument/2006/relationships/image" Target="../media/image228.png"/><Relationship Id="rId89" Type="http://schemas.openxmlformats.org/officeDocument/2006/relationships/image" Target="../media/image127.png"/><Relationship Id="rId7" Type="http://schemas.openxmlformats.org/officeDocument/2006/relationships/image" Target="../media/image40.png"/><Relationship Id="rId71" Type="http://schemas.openxmlformats.org/officeDocument/2006/relationships/image" Target="../media/image132.png"/><Relationship Id="rId2" Type="http://schemas.openxmlformats.org/officeDocument/2006/relationships/image" Target="../media/image219.jpeg"/><Relationship Id="rId16" Type="http://schemas.openxmlformats.org/officeDocument/2006/relationships/image" Target="../media/image56.png"/><Relationship Id="rId29" Type="http://schemas.openxmlformats.org/officeDocument/2006/relationships/image" Target="../media/image71.png"/><Relationship Id="rId11" Type="http://schemas.openxmlformats.org/officeDocument/2006/relationships/image" Target="../media/image221.png"/><Relationship Id="rId24" Type="http://schemas.openxmlformats.org/officeDocument/2006/relationships/image" Target="../media/image65.png"/><Relationship Id="rId32" Type="http://schemas.openxmlformats.org/officeDocument/2006/relationships/image" Target="../media/image74.png"/><Relationship Id="rId37" Type="http://schemas.openxmlformats.org/officeDocument/2006/relationships/image" Target="../media/image79.png"/><Relationship Id="rId40" Type="http://schemas.openxmlformats.org/officeDocument/2006/relationships/image" Target="../media/image82.png"/><Relationship Id="rId45" Type="http://schemas.openxmlformats.org/officeDocument/2006/relationships/image" Target="../media/image87.png"/><Relationship Id="rId53" Type="http://schemas.openxmlformats.org/officeDocument/2006/relationships/image" Target="../media/image95.png"/><Relationship Id="rId58" Type="http://schemas.openxmlformats.org/officeDocument/2006/relationships/image" Target="../media/image97.png"/><Relationship Id="rId66" Type="http://schemas.openxmlformats.org/officeDocument/2006/relationships/image" Target="../media/image105.png"/><Relationship Id="rId74" Type="http://schemas.openxmlformats.org/officeDocument/2006/relationships/image" Target="../media/image112.png"/><Relationship Id="rId79" Type="http://schemas.openxmlformats.org/officeDocument/2006/relationships/image" Target="../media/image117.png"/><Relationship Id="rId87" Type="http://schemas.openxmlformats.org/officeDocument/2006/relationships/image" Target="../media/image123.png"/><Relationship Id="rId5" Type="http://schemas.openxmlformats.org/officeDocument/2006/relationships/image" Target="../media/image38.png"/><Relationship Id="rId61" Type="http://schemas.openxmlformats.org/officeDocument/2006/relationships/image" Target="../media/image100.png"/><Relationship Id="rId82" Type="http://schemas.openxmlformats.org/officeDocument/2006/relationships/image" Target="../media/image120.png"/><Relationship Id="rId90" Type="http://schemas.openxmlformats.org/officeDocument/2006/relationships/image" Target="../media/image230.jpeg"/><Relationship Id="rId19" Type="http://schemas.openxmlformats.org/officeDocument/2006/relationships/image" Target="../media/image60.png"/><Relationship Id="rId4" Type="http://schemas.openxmlformats.org/officeDocument/2006/relationships/image" Target="../media/image37.png"/><Relationship Id="rId9" Type="http://schemas.openxmlformats.org/officeDocument/2006/relationships/image" Target="../media/image220.png"/><Relationship Id="rId14" Type="http://schemas.openxmlformats.org/officeDocument/2006/relationships/image" Target="../media/image224.png"/><Relationship Id="rId22" Type="http://schemas.openxmlformats.org/officeDocument/2006/relationships/image" Target="../media/image63.png"/><Relationship Id="rId27" Type="http://schemas.openxmlformats.org/officeDocument/2006/relationships/image" Target="../media/image69.png"/><Relationship Id="rId30" Type="http://schemas.openxmlformats.org/officeDocument/2006/relationships/image" Target="../media/image72.png"/><Relationship Id="rId35" Type="http://schemas.openxmlformats.org/officeDocument/2006/relationships/image" Target="../media/image77.png"/><Relationship Id="rId43" Type="http://schemas.openxmlformats.org/officeDocument/2006/relationships/image" Target="../media/image85.png"/><Relationship Id="rId48" Type="http://schemas.openxmlformats.org/officeDocument/2006/relationships/image" Target="../media/image90.png"/><Relationship Id="rId56" Type="http://schemas.openxmlformats.org/officeDocument/2006/relationships/image" Target="../media/image226.png"/><Relationship Id="rId64" Type="http://schemas.openxmlformats.org/officeDocument/2006/relationships/image" Target="../media/image103.png"/><Relationship Id="rId69" Type="http://schemas.openxmlformats.org/officeDocument/2006/relationships/image" Target="../media/image108.png"/><Relationship Id="rId77" Type="http://schemas.openxmlformats.org/officeDocument/2006/relationships/image" Target="../media/image115.png"/><Relationship Id="rId8" Type="http://schemas.openxmlformats.org/officeDocument/2006/relationships/image" Target="../media/image41.png"/><Relationship Id="rId51" Type="http://schemas.openxmlformats.org/officeDocument/2006/relationships/image" Target="../media/image93.png"/><Relationship Id="rId72" Type="http://schemas.openxmlformats.org/officeDocument/2006/relationships/image" Target="../media/image110.png"/><Relationship Id="rId80" Type="http://schemas.openxmlformats.org/officeDocument/2006/relationships/image" Target="../media/image118.png"/><Relationship Id="rId85" Type="http://schemas.openxmlformats.org/officeDocument/2006/relationships/image" Target="../media/image122.png"/><Relationship Id="rId3" Type="http://schemas.openxmlformats.org/officeDocument/2006/relationships/image" Target="../media/image29.png"/><Relationship Id="rId12" Type="http://schemas.openxmlformats.org/officeDocument/2006/relationships/image" Target="../media/image222.png"/><Relationship Id="rId17" Type="http://schemas.openxmlformats.org/officeDocument/2006/relationships/image" Target="../media/image57.png"/><Relationship Id="rId25" Type="http://schemas.openxmlformats.org/officeDocument/2006/relationships/image" Target="../media/image66.png"/><Relationship Id="rId33" Type="http://schemas.openxmlformats.org/officeDocument/2006/relationships/image" Target="../media/image75.png"/><Relationship Id="rId38" Type="http://schemas.openxmlformats.org/officeDocument/2006/relationships/image" Target="../media/image80.png"/><Relationship Id="rId46" Type="http://schemas.openxmlformats.org/officeDocument/2006/relationships/image" Target="../media/image88.png"/><Relationship Id="rId59" Type="http://schemas.openxmlformats.org/officeDocument/2006/relationships/image" Target="../media/image98.png"/><Relationship Id="rId67" Type="http://schemas.openxmlformats.org/officeDocument/2006/relationships/image" Target="../media/image106.png"/><Relationship Id="rId20" Type="http://schemas.openxmlformats.org/officeDocument/2006/relationships/image" Target="../media/image61.png"/><Relationship Id="rId41" Type="http://schemas.openxmlformats.org/officeDocument/2006/relationships/image" Target="../media/image83.png"/><Relationship Id="rId54" Type="http://schemas.openxmlformats.org/officeDocument/2006/relationships/image" Target="../media/image96.png"/><Relationship Id="rId62" Type="http://schemas.openxmlformats.org/officeDocument/2006/relationships/image" Target="../media/image101.png"/><Relationship Id="rId70" Type="http://schemas.openxmlformats.org/officeDocument/2006/relationships/image" Target="../media/image109.png"/><Relationship Id="rId75" Type="http://schemas.openxmlformats.org/officeDocument/2006/relationships/image" Target="../media/image113.png"/><Relationship Id="rId83" Type="http://schemas.openxmlformats.org/officeDocument/2006/relationships/image" Target="../media/image121.png"/><Relationship Id="rId88" Type="http://schemas.openxmlformats.org/officeDocument/2006/relationships/image" Target="../media/image126.png"/><Relationship Id="rId1" Type="http://schemas.openxmlformats.org/officeDocument/2006/relationships/image" Target="../media/image1.jpeg"/><Relationship Id="rId6" Type="http://schemas.openxmlformats.org/officeDocument/2006/relationships/image" Target="../media/image39.png"/><Relationship Id="rId15" Type="http://schemas.openxmlformats.org/officeDocument/2006/relationships/image" Target="../media/image55.png"/><Relationship Id="rId23" Type="http://schemas.openxmlformats.org/officeDocument/2006/relationships/image" Target="../media/image64.png"/><Relationship Id="rId28" Type="http://schemas.openxmlformats.org/officeDocument/2006/relationships/image" Target="../media/image70.png"/><Relationship Id="rId36" Type="http://schemas.openxmlformats.org/officeDocument/2006/relationships/image" Target="../media/image78.png"/><Relationship Id="rId49" Type="http://schemas.openxmlformats.org/officeDocument/2006/relationships/image" Target="../media/image91.png"/><Relationship Id="rId57" Type="http://schemas.openxmlformats.org/officeDocument/2006/relationships/image" Target="../media/image227.png"/><Relationship Id="rId10" Type="http://schemas.openxmlformats.org/officeDocument/2006/relationships/image" Target="../media/image34.png"/><Relationship Id="rId31" Type="http://schemas.openxmlformats.org/officeDocument/2006/relationships/image" Target="../media/image73.png"/><Relationship Id="rId44" Type="http://schemas.openxmlformats.org/officeDocument/2006/relationships/image" Target="../media/image86.png"/><Relationship Id="rId52" Type="http://schemas.openxmlformats.org/officeDocument/2006/relationships/image" Target="../media/image94.png"/><Relationship Id="rId60" Type="http://schemas.openxmlformats.org/officeDocument/2006/relationships/image" Target="../media/image99.png"/><Relationship Id="rId65" Type="http://schemas.openxmlformats.org/officeDocument/2006/relationships/image" Target="../media/image104.png"/><Relationship Id="rId73" Type="http://schemas.openxmlformats.org/officeDocument/2006/relationships/image" Target="../media/image111.png"/><Relationship Id="rId78" Type="http://schemas.openxmlformats.org/officeDocument/2006/relationships/image" Target="../media/image116.png"/><Relationship Id="rId81" Type="http://schemas.openxmlformats.org/officeDocument/2006/relationships/image" Target="../media/image119.png"/><Relationship Id="rId86" Type="http://schemas.openxmlformats.org/officeDocument/2006/relationships/image" Target="../media/image2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293</xdr:row>
      <xdr:rowOff>28575</xdr:rowOff>
    </xdr:from>
    <xdr:to>
      <xdr:col>3</xdr:col>
      <xdr:colOff>438150</xdr:colOff>
      <xdr:row>293</xdr:row>
      <xdr:rowOff>295275</xdr:rowOff>
    </xdr:to>
    <xdr:pic>
      <xdr:nvPicPr>
        <xdr:cNvPr id="2" name="Grafik 154" descr="003027_S1318_grün-auf-weis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43125" y="1789080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381000</xdr:colOff>
      <xdr:row>143</xdr:row>
      <xdr:rowOff>266700</xdr:rowOff>
    </xdr:to>
    <xdr:pic>
      <xdr:nvPicPr>
        <xdr:cNvPr id="5" name="Grafik 161" descr="003376_S1071_blau-auf-weiss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598104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3</xdr:col>
      <xdr:colOff>381000</xdr:colOff>
      <xdr:row>275</xdr:row>
      <xdr:rowOff>257175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261223125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381000</xdr:colOff>
      <xdr:row>142</xdr:row>
      <xdr:rowOff>266700</xdr:rowOff>
    </xdr:to>
    <xdr:pic>
      <xdr:nvPicPr>
        <xdr:cNvPr id="56" name="Picture 1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1579530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381000</xdr:colOff>
      <xdr:row>24</xdr:row>
      <xdr:rowOff>266700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515969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3</xdr:col>
      <xdr:colOff>381000</xdr:colOff>
      <xdr:row>168</xdr:row>
      <xdr:rowOff>266700</xdr:rowOff>
    </xdr:to>
    <xdr:pic>
      <xdr:nvPicPr>
        <xdr:cNvPr id="65" name="Picture 20" descr="G:\GRAFIK-DOKUMENTE\Logos-Zeichen-Banner\Markierungen Digitales Wegenetz\BMP_JPG - Breite 40 Pixel\JPG\006500_Rotmain-Wanderweg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85975" y="1804320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381000</xdr:colOff>
      <xdr:row>15</xdr:row>
      <xdr:rowOff>266700</xdr:rowOff>
    </xdr:to>
    <xdr:pic>
      <xdr:nvPicPr>
        <xdr:cNvPr id="73" name="Picture 2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85975" y="387381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3</xdr:col>
      <xdr:colOff>381000</xdr:colOff>
      <xdr:row>12</xdr:row>
      <xdr:rowOff>266700</xdr:rowOff>
    </xdr:to>
    <xdr:pic>
      <xdr:nvPicPr>
        <xdr:cNvPr id="74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310229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381000</xdr:colOff>
      <xdr:row>53</xdr:row>
      <xdr:rowOff>266700</xdr:rowOff>
    </xdr:to>
    <xdr:pic>
      <xdr:nvPicPr>
        <xdr:cNvPr id="75" name="Picture 23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79457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381000</xdr:colOff>
      <xdr:row>145</xdr:row>
      <xdr:rowOff>266700</xdr:rowOff>
    </xdr:to>
    <xdr:pic>
      <xdr:nvPicPr>
        <xdr:cNvPr id="77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161429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3</xdr:col>
      <xdr:colOff>381000</xdr:colOff>
      <xdr:row>136</xdr:row>
      <xdr:rowOff>266700</xdr:rowOff>
    </xdr:to>
    <xdr:pic>
      <xdr:nvPicPr>
        <xdr:cNvPr id="78" name="Picture 2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518094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3</xdr:col>
      <xdr:colOff>381000</xdr:colOff>
      <xdr:row>146</xdr:row>
      <xdr:rowOff>266700</xdr:rowOff>
    </xdr:to>
    <xdr:pic>
      <xdr:nvPicPr>
        <xdr:cNvPr id="79" name="Picture 24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62001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3</xdr:col>
      <xdr:colOff>304800</xdr:colOff>
      <xdr:row>148</xdr:row>
      <xdr:rowOff>304800</xdr:rowOff>
    </xdr:to>
    <xdr:pic>
      <xdr:nvPicPr>
        <xdr:cNvPr id="80" name="Picture 2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63144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3</xdr:col>
      <xdr:colOff>381000</xdr:colOff>
      <xdr:row>167</xdr:row>
      <xdr:rowOff>247650</xdr:rowOff>
    </xdr:to>
    <xdr:pic>
      <xdr:nvPicPr>
        <xdr:cNvPr id="81" name="Picture 26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79860575"/>
          <a:ext cx="3810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3</xdr:col>
      <xdr:colOff>381000</xdr:colOff>
      <xdr:row>59</xdr:row>
      <xdr:rowOff>266700</xdr:rowOff>
    </xdr:to>
    <xdr:pic>
      <xdr:nvPicPr>
        <xdr:cNvPr id="96" name="Picture 4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85975" y="89801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361950</xdr:colOff>
      <xdr:row>16</xdr:row>
      <xdr:rowOff>257175</xdr:rowOff>
    </xdr:to>
    <xdr:pic>
      <xdr:nvPicPr>
        <xdr:cNvPr id="97" name="Picture 4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394525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381000</xdr:colOff>
      <xdr:row>193</xdr:row>
      <xdr:rowOff>295275</xdr:rowOff>
    </xdr:to>
    <xdr:pic>
      <xdr:nvPicPr>
        <xdr:cNvPr id="107" name="Picture 4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85975" y="202930125"/>
          <a:ext cx="3810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381000</xdr:colOff>
      <xdr:row>6</xdr:row>
      <xdr:rowOff>266700</xdr:rowOff>
    </xdr:to>
    <xdr:pic>
      <xdr:nvPicPr>
        <xdr:cNvPr id="112" name="Picture 4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85975" y="99155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3</xdr:col>
      <xdr:colOff>381000</xdr:colOff>
      <xdr:row>88</xdr:row>
      <xdr:rowOff>276225</xdr:rowOff>
    </xdr:to>
    <xdr:pic>
      <xdr:nvPicPr>
        <xdr:cNvPr id="119" name="Picture 4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85975" y="111375825"/>
          <a:ext cx="381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381000</xdr:colOff>
      <xdr:row>7</xdr:row>
      <xdr:rowOff>266700</xdr:rowOff>
    </xdr:to>
    <xdr:pic>
      <xdr:nvPicPr>
        <xdr:cNvPr id="125" name="Picture 57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85975" y="162020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323850</xdr:colOff>
      <xdr:row>14</xdr:row>
      <xdr:rowOff>323850</xdr:rowOff>
    </xdr:to>
    <xdr:pic>
      <xdr:nvPicPr>
        <xdr:cNvPr id="126" name="Picture 5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3245167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3</xdr:col>
      <xdr:colOff>381000</xdr:colOff>
      <xdr:row>280</xdr:row>
      <xdr:rowOff>257175</xdr:rowOff>
    </xdr:to>
    <xdr:pic>
      <xdr:nvPicPr>
        <xdr:cNvPr id="132" name="Picture 59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780157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3</xdr:col>
      <xdr:colOff>381000</xdr:colOff>
      <xdr:row>294</xdr:row>
      <xdr:rowOff>257175</xdr:rowOff>
    </xdr:to>
    <xdr:pic>
      <xdr:nvPicPr>
        <xdr:cNvPr id="133" name="Picture 59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844557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3</xdr:col>
      <xdr:colOff>381000</xdr:colOff>
      <xdr:row>290</xdr:row>
      <xdr:rowOff>257175</xdr:rowOff>
    </xdr:to>
    <xdr:pic>
      <xdr:nvPicPr>
        <xdr:cNvPr id="134" name="Picture 59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65882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3</xdr:col>
      <xdr:colOff>381000</xdr:colOff>
      <xdr:row>291</xdr:row>
      <xdr:rowOff>257175</xdr:rowOff>
    </xdr:to>
    <xdr:pic>
      <xdr:nvPicPr>
        <xdr:cNvPr id="135" name="Picture 59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701682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3</xdr:col>
      <xdr:colOff>381000</xdr:colOff>
      <xdr:row>286</xdr:row>
      <xdr:rowOff>257175</xdr:rowOff>
    </xdr:to>
    <xdr:pic>
      <xdr:nvPicPr>
        <xdr:cNvPr id="136" name="Picture 5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273057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381000</xdr:colOff>
      <xdr:row>285</xdr:row>
      <xdr:rowOff>257175</xdr:rowOff>
    </xdr:to>
    <xdr:pic>
      <xdr:nvPicPr>
        <xdr:cNvPr id="137" name="Picture 59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230195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3</xdr:col>
      <xdr:colOff>381000</xdr:colOff>
      <xdr:row>278</xdr:row>
      <xdr:rowOff>257175</xdr:rowOff>
    </xdr:to>
    <xdr:pic>
      <xdr:nvPicPr>
        <xdr:cNvPr id="138" name="Picture 59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7715845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381000</xdr:colOff>
      <xdr:row>279</xdr:row>
      <xdr:rowOff>257175</xdr:rowOff>
    </xdr:to>
    <xdr:pic>
      <xdr:nvPicPr>
        <xdr:cNvPr id="139" name="Picture 5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7758707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3</xdr:col>
      <xdr:colOff>381000</xdr:colOff>
      <xdr:row>282</xdr:row>
      <xdr:rowOff>257175</xdr:rowOff>
    </xdr:to>
    <xdr:pic>
      <xdr:nvPicPr>
        <xdr:cNvPr id="140" name="Picture 5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7958732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3</xdr:col>
      <xdr:colOff>381000</xdr:colOff>
      <xdr:row>281</xdr:row>
      <xdr:rowOff>257175</xdr:rowOff>
    </xdr:to>
    <xdr:pic>
      <xdr:nvPicPr>
        <xdr:cNvPr id="142" name="Picture 59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791587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381000</xdr:colOff>
      <xdr:row>288</xdr:row>
      <xdr:rowOff>257175</xdr:rowOff>
    </xdr:to>
    <xdr:pic>
      <xdr:nvPicPr>
        <xdr:cNvPr id="144" name="Picture 59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48737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381000</xdr:colOff>
      <xdr:row>292</xdr:row>
      <xdr:rowOff>257175</xdr:rowOff>
    </xdr:to>
    <xdr:pic>
      <xdr:nvPicPr>
        <xdr:cNvPr id="145" name="Picture 59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744545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3</xdr:col>
      <xdr:colOff>381000</xdr:colOff>
      <xdr:row>121</xdr:row>
      <xdr:rowOff>266700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85975" y="1378077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114297</xdr:colOff>
      <xdr:row>253</xdr:row>
      <xdr:rowOff>29633</xdr:rowOff>
    </xdr:from>
    <xdr:to>
      <xdr:col>3</xdr:col>
      <xdr:colOff>409572</xdr:colOff>
      <xdr:row>253</xdr:row>
      <xdr:rowOff>401108</xdr:rowOff>
    </xdr:to>
    <xdr:pic>
      <xdr:nvPicPr>
        <xdr:cNvPr id="171" name="Picture 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315630" y="146227800"/>
          <a:ext cx="2952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3</xdr:col>
      <xdr:colOff>304800</xdr:colOff>
      <xdr:row>131</xdr:row>
      <xdr:rowOff>304800</xdr:rowOff>
    </xdr:to>
    <xdr:pic>
      <xdr:nvPicPr>
        <xdr:cNvPr id="172" name="Picture 2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46808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128</xdr:row>
      <xdr:rowOff>19050</xdr:rowOff>
    </xdr:from>
    <xdr:to>
      <xdr:col>3</xdr:col>
      <xdr:colOff>390525</xdr:colOff>
      <xdr:row>128</xdr:row>
      <xdr:rowOff>285750</xdr:rowOff>
    </xdr:to>
    <xdr:pic>
      <xdr:nvPicPr>
        <xdr:cNvPr id="173" name="Picture 23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0" y="1446847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381000</xdr:colOff>
      <xdr:row>58</xdr:row>
      <xdr:rowOff>266700</xdr:rowOff>
    </xdr:to>
    <xdr:pic>
      <xdr:nvPicPr>
        <xdr:cNvPr id="179" name="Picture 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85975" y="836009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381000</xdr:colOff>
      <xdr:row>23</xdr:row>
      <xdr:rowOff>266700</xdr:rowOff>
    </xdr:to>
    <xdr:pic>
      <xdr:nvPicPr>
        <xdr:cNvPr id="188" name="Picture 16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511683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3</xdr:col>
      <xdr:colOff>361950</xdr:colOff>
      <xdr:row>114</xdr:row>
      <xdr:rowOff>257175</xdr:rowOff>
    </xdr:to>
    <xdr:pic>
      <xdr:nvPicPr>
        <xdr:cNvPr id="189" name="Grafik 250" descr="003206_S1312_blau auf weiß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1312354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381000</xdr:colOff>
      <xdr:row>115</xdr:row>
      <xdr:rowOff>266700</xdr:rowOff>
    </xdr:to>
    <xdr:pic>
      <xdr:nvPicPr>
        <xdr:cNvPr id="191" name="Grafik 161" descr="003376_S1071_blau-auf-weiss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32664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361950</xdr:colOff>
      <xdr:row>116</xdr:row>
      <xdr:rowOff>257175</xdr:rowOff>
    </xdr:to>
    <xdr:pic>
      <xdr:nvPicPr>
        <xdr:cNvPr id="192" name="Grafik 264" descr="003287_S1093_blau auf weiß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1332357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381000</xdr:colOff>
      <xdr:row>117</xdr:row>
      <xdr:rowOff>266700</xdr:rowOff>
    </xdr:to>
    <xdr:pic>
      <xdr:nvPicPr>
        <xdr:cNvPr id="193" name="Picture 23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33807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3</xdr:col>
      <xdr:colOff>361950</xdr:colOff>
      <xdr:row>120</xdr:row>
      <xdr:rowOff>257175</xdr:rowOff>
    </xdr:to>
    <xdr:pic>
      <xdr:nvPicPr>
        <xdr:cNvPr id="195" name="Grafik 271" descr="003292_S1070_blau auf weiß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85975" y="1372362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3</xdr:col>
      <xdr:colOff>361950</xdr:colOff>
      <xdr:row>129</xdr:row>
      <xdr:rowOff>257175</xdr:rowOff>
    </xdr:to>
    <xdr:pic>
      <xdr:nvPicPr>
        <xdr:cNvPr id="200" name="Grafik 279" descr="S1307_blau auf weiß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1452372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3</xdr:col>
      <xdr:colOff>381000</xdr:colOff>
      <xdr:row>133</xdr:row>
      <xdr:rowOff>266700</xdr:rowOff>
    </xdr:to>
    <xdr:pic>
      <xdr:nvPicPr>
        <xdr:cNvPr id="203" name="Picture 23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489519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3</xdr:col>
      <xdr:colOff>381000</xdr:colOff>
      <xdr:row>132</xdr:row>
      <xdr:rowOff>285750</xdr:rowOff>
    </xdr:to>
    <xdr:pic>
      <xdr:nvPicPr>
        <xdr:cNvPr id="205" name="Picture 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14723745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3</xdr:col>
      <xdr:colOff>304800</xdr:colOff>
      <xdr:row>134</xdr:row>
      <xdr:rowOff>304800</xdr:rowOff>
    </xdr:to>
    <xdr:pic>
      <xdr:nvPicPr>
        <xdr:cNvPr id="209" name="Picture 2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5066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3</xdr:col>
      <xdr:colOff>361950</xdr:colOff>
      <xdr:row>135</xdr:row>
      <xdr:rowOff>257175</xdr:rowOff>
    </xdr:to>
    <xdr:pic>
      <xdr:nvPicPr>
        <xdr:cNvPr id="210" name="Grafik 286" descr="003358_S1082_blau auf weiß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1512379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3</xdr:col>
      <xdr:colOff>381000</xdr:colOff>
      <xdr:row>137</xdr:row>
      <xdr:rowOff>266700</xdr:rowOff>
    </xdr:to>
    <xdr:pic>
      <xdr:nvPicPr>
        <xdr:cNvPr id="211" name="Picture 23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529524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3</xdr:col>
      <xdr:colOff>304800</xdr:colOff>
      <xdr:row>147</xdr:row>
      <xdr:rowOff>304800</xdr:rowOff>
    </xdr:to>
    <xdr:pic>
      <xdr:nvPicPr>
        <xdr:cNvPr id="213" name="Picture 2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6257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381000</xdr:colOff>
      <xdr:row>39</xdr:row>
      <xdr:rowOff>266700</xdr:rowOff>
    </xdr:to>
    <xdr:pic>
      <xdr:nvPicPr>
        <xdr:cNvPr id="215" name="Picture 2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670274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33</xdr:row>
      <xdr:rowOff>47625</xdr:rowOff>
    </xdr:from>
    <xdr:to>
      <xdr:col>3</xdr:col>
      <xdr:colOff>409575</xdr:colOff>
      <xdr:row>33</xdr:row>
      <xdr:rowOff>352425</xdr:rowOff>
    </xdr:to>
    <xdr:pic>
      <xdr:nvPicPr>
        <xdr:cNvPr id="216" name="Picture 2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20621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300</xdr:row>
      <xdr:rowOff>571500</xdr:rowOff>
    </xdr:from>
    <xdr:to>
      <xdr:col>3</xdr:col>
      <xdr:colOff>381000</xdr:colOff>
      <xdr:row>301</xdr:row>
      <xdr:rowOff>0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85975" y="2768727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381000</xdr:colOff>
      <xdr:row>149</xdr:row>
      <xdr:rowOff>266700</xdr:rowOff>
    </xdr:to>
    <xdr:pic>
      <xdr:nvPicPr>
        <xdr:cNvPr id="221" name="Picture 23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63715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381000</xdr:colOff>
      <xdr:row>22</xdr:row>
      <xdr:rowOff>266700</xdr:rowOff>
    </xdr:to>
    <xdr:pic>
      <xdr:nvPicPr>
        <xdr:cNvPr id="288" name="Picture 4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85975" y="481679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3</xdr:col>
      <xdr:colOff>381000</xdr:colOff>
      <xdr:row>140</xdr:row>
      <xdr:rowOff>266700</xdr:rowOff>
    </xdr:to>
    <xdr:pic>
      <xdr:nvPicPr>
        <xdr:cNvPr id="291" name="Picture 24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56667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381000</xdr:colOff>
      <xdr:row>127</xdr:row>
      <xdr:rowOff>266700</xdr:rowOff>
    </xdr:to>
    <xdr:pic>
      <xdr:nvPicPr>
        <xdr:cNvPr id="292" name="Picture 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85975" y="1439513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304800</xdr:colOff>
      <xdr:row>141</xdr:row>
      <xdr:rowOff>304800</xdr:rowOff>
    </xdr:to>
    <xdr:pic>
      <xdr:nvPicPr>
        <xdr:cNvPr id="300" name="Picture 25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57095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3</xdr:col>
      <xdr:colOff>361950</xdr:colOff>
      <xdr:row>150</xdr:row>
      <xdr:rowOff>257175</xdr:rowOff>
    </xdr:to>
    <xdr:pic>
      <xdr:nvPicPr>
        <xdr:cNvPr id="301" name="Grafik 409" descr="003358_S1082_blau auf weiß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1645729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381000</xdr:colOff>
      <xdr:row>151</xdr:row>
      <xdr:rowOff>266700</xdr:rowOff>
    </xdr:to>
    <xdr:pic>
      <xdr:nvPicPr>
        <xdr:cNvPr id="302" name="Grafik 159" descr="003376_S1071_blau-auf-weiss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651444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381000</xdr:colOff>
      <xdr:row>4</xdr:row>
      <xdr:rowOff>381000</xdr:rowOff>
    </xdr:to>
    <xdr:pic>
      <xdr:nvPicPr>
        <xdr:cNvPr id="304" name="Picture 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85975" y="61722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3</xdr:col>
      <xdr:colOff>304800</xdr:colOff>
      <xdr:row>153</xdr:row>
      <xdr:rowOff>304800</xdr:rowOff>
    </xdr:to>
    <xdr:pic>
      <xdr:nvPicPr>
        <xdr:cNvPr id="306" name="Picture 2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6700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3</xdr:col>
      <xdr:colOff>381000</xdr:colOff>
      <xdr:row>25</xdr:row>
      <xdr:rowOff>266700</xdr:rowOff>
    </xdr:to>
    <xdr:pic>
      <xdr:nvPicPr>
        <xdr:cNvPr id="314" name="Picture 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85975" y="525970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3</xdr:col>
      <xdr:colOff>381000</xdr:colOff>
      <xdr:row>154</xdr:row>
      <xdr:rowOff>266700</xdr:rowOff>
    </xdr:to>
    <xdr:pic>
      <xdr:nvPicPr>
        <xdr:cNvPr id="315" name="Picture 16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167716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381000</xdr:colOff>
      <xdr:row>158</xdr:row>
      <xdr:rowOff>266700</xdr:rowOff>
    </xdr:to>
    <xdr:pic>
      <xdr:nvPicPr>
        <xdr:cNvPr id="316" name="Picture 2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714309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212</xdr:row>
      <xdr:rowOff>0</xdr:rowOff>
    </xdr:from>
    <xdr:to>
      <xdr:col>3</xdr:col>
      <xdr:colOff>400050</xdr:colOff>
      <xdr:row>212</xdr:row>
      <xdr:rowOff>266700</xdr:rowOff>
    </xdr:to>
    <xdr:pic>
      <xdr:nvPicPr>
        <xdr:cNvPr id="321" name="Picture 16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05025" y="220218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400050</xdr:colOff>
      <xdr:row>269</xdr:row>
      <xdr:rowOff>285750</xdr:rowOff>
    </xdr:to>
    <xdr:pic>
      <xdr:nvPicPr>
        <xdr:cNvPr id="322" name="Picture 24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663130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3</xdr:col>
      <xdr:colOff>361950</xdr:colOff>
      <xdr:row>43</xdr:row>
      <xdr:rowOff>257175</xdr:rowOff>
    </xdr:to>
    <xdr:pic>
      <xdr:nvPicPr>
        <xdr:cNvPr id="323" name="Grafik 423" descr="003292_S1070_blau auf weiß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85975" y="715994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3</xdr:col>
      <xdr:colOff>381000</xdr:colOff>
      <xdr:row>45</xdr:row>
      <xdr:rowOff>266700</xdr:rowOff>
    </xdr:to>
    <xdr:pic>
      <xdr:nvPicPr>
        <xdr:cNvPr id="324" name="Picture 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728853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3</xdr:col>
      <xdr:colOff>381000</xdr:colOff>
      <xdr:row>48</xdr:row>
      <xdr:rowOff>266700</xdr:rowOff>
    </xdr:to>
    <xdr:pic>
      <xdr:nvPicPr>
        <xdr:cNvPr id="325" name="Picture 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744569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3</xdr:col>
      <xdr:colOff>381000</xdr:colOff>
      <xdr:row>49</xdr:row>
      <xdr:rowOff>266700</xdr:rowOff>
    </xdr:to>
    <xdr:pic>
      <xdr:nvPicPr>
        <xdr:cNvPr id="330" name="Grafik 161" descr="003376_S1071_blau-auf-weiss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77171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3</xdr:col>
      <xdr:colOff>361950</xdr:colOff>
      <xdr:row>162</xdr:row>
      <xdr:rowOff>257175</xdr:rowOff>
    </xdr:to>
    <xdr:pic>
      <xdr:nvPicPr>
        <xdr:cNvPr id="332" name="Grafik 430" descr="003206_S1312_blau auf weiß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1760029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163</xdr:row>
      <xdr:rowOff>38100</xdr:rowOff>
    </xdr:from>
    <xdr:to>
      <xdr:col>3</xdr:col>
      <xdr:colOff>419100</xdr:colOff>
      <xdr:row>163</xdr:row>
      <xdr:rowOff>419100</xdr:rowOff>
    </xdr:to>
    <xdr:pic>
      <xdr:nvPicPr>
        <xdr:cNvPr id="333" name="Picture 1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24075" y="680466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3</xdr:col>
      <xdr:colOff>381000</xdr:colOff>
      <xdr:row>165</xdr:row>
      <xdr:rowOff>266700</xdr:rowOff>
    </xdr:to>
    <xdr:pic>
      <xdr:nvPicPr>
        <xdr:cNvPr id="334" name="Picture 1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85975" y="17814607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3</xdr:col>
      <xdr:colOff>381000</xdr:colOff>
      <xdr:row>166</xdr:row>
      <xdr:rowOff>266700</xdr:rowOff>
    </xdr:to>
    <xdr:pic>
      <xdr:nvPicPr>
        <xdr:cNvPr id="335" name="Grafik 161" descr="003376_S1071_blau-auf-weiss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791462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381000</xdr:colOff>
      <xdr:row>152</xdr:row>
      <xdr:rowOff>257175</xdr:rowOff>
    </xdr:to>
    <xdr:pic>
      <xdr:nvPicPr>
        <xdr:cNvPr id="341" name="Picture 2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85975" y="165858825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3</xdr:col>
      <xdr:colOff>381000</xdr:colOff>
      <xdr:row>40</xdr:row>
      <xdr:rowOff>266700</xdr:rowOff>
    </xdr:to>
    <xdr:pic>
      <xdr:nvPicPr>
        <xdr:cNvPr id="346" name="Picture 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85975" y="694563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381000</xdr:colOff>
      <xdr:row>42</xdr:row>
      <xdr:rowOff>266700</xdr:rowOff>
    </xdr:to>
    <xdr:pic>
      <xdr:nvPicPr>
        <xdr:cNvPr id="347" name="Picture 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85975" y="704564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</xdr:row>
      <xdr:rowOff>19050</xdr:rowOff>
    </xdr:from>
    <xdr:to>
      <xdr:col>3</xdr:col>
      <xdr:colOff>361950</xdr:colOff>
      <xdr:row>44</xdr:row>
      <xdr:rowOff>276225</xdr:rowOff>
    </xdr:to>
    <xdr:pic>
      <xdr:nvPicPr>
        <xdr:cNvPr id="349" name="Grafik 442" descr="003206_S1312_blau auf weiß.jpg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1834705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79</xdr:row>
      <xdr:rowOff>21166</xdr:rowOff>
    </xdr:from>
    <xdr:to>
      <xdr:col>3</xdr:col>
      <xdr:colOff>325966</xdr:colOff>
      <xdr:row>79</xdr:row>
      <xdr:rowOff>325966</xdr:rowOff>
    </xdr:to>
    <xdr:pic>
      <xdr:nvPicPr>
        <xdr:cNvPr id="350" name="Picture 25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2499" y="46693666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285750</xdr:colOff>
      <xdr:row>194</xdr:row>
      <xdr:rowOff>400050</xdr:rowOff>
    </xdr:to>
    <xdr:pic>
      <xdr:nvPicPr>
        <xdr:cNvPr id="371" name="Picture 5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05025" y="119462550"/>
          <a:ext cx="2667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3</xdr:col>
      <xdr:colOff>381000</xdr:colOff>
      <xdr:row>93</xdr:row>
      <xdr:rowOff>266700</xdr:rowOff>
    </xdr:to>
    <xdr:pic>
      <xdr:nvPicPr>
        <xdr:cNvPr id="374" name="Grafik 151" descr="003027_S1318_grün-auf-weiss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1180909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400050</xdr:colOff>
      <xdr:row>92</xdr:row>
      <xdr:rowOff>400050</xdr:rowOff>
    </xdr:to>
    <xdr:pic>
      <xdr:nvPicPr>
        <xdr:cNvPr id="375" name="Picture 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05025" y="12632055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308</xdr:row>
      <xdr:rowOff>28575</xdr:rowOff>
    </xdr:from>
    <xdr:to>
      <xdr:col>3</xdr:col>
      <xdr:colOff>409575</xdr:colOff>
      <xdr:row>308</xdr:row>
      <xdr:rowOff>409575</xdr:rowOff>
    </xdr:to>
    <xdr:pic>
      <xdr:nvPicPr>
        <xdr:cNvPr id="391" name="Picture 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14550" y="116043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310</xdr:row>
      <xdr:rowOff>28575</xdr:rowOff>
    </xdr:from>
    <xdr:to>
      <xdr:col>3</xdr:col>
      <xdr:colOff>409575</xdr:colOff>
      <xdr:row>310</xdr:row>
      <xdr:rowOff>409575</xdr:rowOff>
    </xdr:to>
    <xdr:pic>
      <xdr:nvPicPr>
        <xdr:cNvPr id="392" name="Picture 2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14550" y="1154715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311</xdr:row>
      <xdr:rowOff>28575</xdr:rowOff>
    </xdr:from>
    <xdr:to>
      <xdr:col>3</xdr:col>
      <xdr:colOff>409575</xdr:colOff>
      <xdr:row>311</xdr:row>
      <xdr:rowOff>409575</xdr:rowOff>
    </xdr:to>
    <xdr:pic>
      <xdr:nvPicPr>
        <xdr:cNvPr id="393" name="Picture 3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14550" y="114900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3</xdr:col>
      <xdr:colOff>381000</xdr:colOff>
      <xdr:row>60</xdr:row>
      <xdr:rowOff>266700</xdr:rowOff>
    </xdr:to>
    <xdr:pic>
      <xdr:nvPicPr>
        <xdr:cNvPr id="432" name="Picture 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85975" y="9023032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381000</xdr:colOff>
      <xdr:row>3</xdr:row>
      <xdr:rowOff>314325</xdr:rowOff>
    </xdr:to>
    <xdr:pic>
      <xdr:nvPicPr>
        <xdr:cNvPr id="437" name="Picture 2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85975" y="5600700"/>
          <a:ext cx="381000" cy="314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361950</xdr:colOff>
      <xdr:row>38</xdr:row>
      <xdr:rowOff>257175</xdr:rowOff>
    </xdr:to>
    <xdr:pic>
      <xdr:nvPicPr>
        <xdr:cNvPr id="438" name="Grafik 480" descr="003287_S1093_blau auf weiß.jpg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648843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390525</xdr:colOff>
      <xdr:row>20</xdr:row>
      <xdr:rowOff>276225</xdr:rowOff>
    </xdr:to>
    <xdr:pic>
      <xdr:nvPicPr>
        <xdr:cNvPr id="440" name="Picture 23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0" y="460343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3</xdr:col>
      <xdr:colOff>304800</xdr:colOff>
      <xdr:row>119</xdr:row>
      <xdr:rowOff>304800</xdr:rowOff>
    </xdr:to>
    <xdr:pic>
      <xdr:nvPicPr>
        <xdr:cNvPr id="441" name="Picture 2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35235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20108</xdr:colOff>
      <xdr:row>17</xdr:row>
      <xdr:rowOff>549275</xdr:rowOff>
    </xdr:from>
    <xdr:to>
      <xdr:col>3</xdr:col>
      <xdr:colOff>401108</xdr:colOff>
      <xdr:row>18</xdr:row>
      <xdr:rowOff>244475</xdr:rowOff>
    </xdr:to>
    <xdr:pic>
      <xdr:nvPicPr>
        <xdr:cNvPr id="443" name="Picture 23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1441" y="100742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304800</xdr:colOff>
      <xdr:row>41</xdr:row>
      <xdr:rowOff>304800</xdr:rowOff>
    </xdr:to>
    <xdr:pic>
      <xdr:nvPicPr>
        <xdr:cNvPr id="445" name="Picture 25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7002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381000</xdr:colOff>
      <xdr:row>13</xdr:row>
      <xdr:rowOff>266700</xdr:rowOff>
    </xdr:to>
    <xdr:pic>
      <xdr:nvPicPr>
        <xdr:cNvPr id="446" name="Picture 16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315944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381000</xdr:colOff>
      <xdr:row>21</xdr:row>
      <xdr:rowOff>266700</xdr:rowOff>
    </xdr:to>
    <xdr:pic>
      <xdr:nvPicPr>
        <xdr:cNvPr id="447" name="Picture 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85975" y="468820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3</xdr:col>
      <xdr:colOff>381000</xdr:colOff>
      <xdr:row>118</xdr:row>
      <xdr:rowOff>266700</xdr:rowOff>
    </xdr:to>
    <xdr:pic>
      <xdr:nvPicPr>
        <xdr:cNvPr id="448" name="Picture 23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34378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381000</xdr:colOff>
      <xdr:row>18</xdr:row>
      <xdr:rowOff>266700</xdr:rowOff>
    </xdr:to>
    <xdr:pic>
      <xdr:nvPicPr>
        <xdr:cNvPr id="449" name="Grafik 161" descr="003376_S1071_blau-auf-weiss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44024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381000</xdr:colOff>
      <xdr:row>17</xdr:row>
      <xdr:rowOff>266700</xdr:rowOff>
    </xdr:to>
    <xdr:pic>
      <xdr:nvPicPr>
        <xdr:cNvPr id="452" name="Picture 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85975" y="4331017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3</xdr:col>
      <xdr:colOff>381000</xdr:colOff>
      <xdr:row>80</xdr:row>
      <xdr:rowOff>266700</xdr:rowOff>
    </xdr:to>
    <xdr:pic>
      <xdr:nvPicPr>
        <xdr:cNvPr id="453" name="Picture 23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033748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3</xdr:col>
      <xdr:colOff>381000</xdr:colOff>
      <xdr:row>81</xdr:row>
      <xdr:rowOff>266700</xdr:rowOff>
    </xdr:to>
    <xdr:pic>
      <xdr:nvPicPr>
        <xdr:cNvPr id="454" name="Picture 4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85975" y="10423207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3</xdr:col>
      <xdr:colOff>361950</xdr:colOff>
      <xdr:row>82</xdr:row>
      <xdr:rowOff>257175</xdr:rowOff>
    </xdr:to>
    <xdr:pic>
      <xdr:nvPicPr>
        <xdr:cNvPr id="456" name="Grafik 492" descr="S1307_blau auf weiß.jpg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1055179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390525</xdr:colOff>
      <xdr:row>11</xdr:row>
      <xdr:rowOff>276225</xdr:rowOff>
    </xdr:to>
    <xdr:pic>
      <xdr:nvPicPr>
        <xdr:cNvPr id="459" name="Picture 23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0" y="303180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304800</xdr:colOff>
      <xdr:row>85</xdr:row>
      <xdr:rowOff>304800</xdr:rowOff>
    </xdr:to>
    <xdr:pic>
      <xdr:nvPicPr>
        <xdr:cNvPr id="460" name="Picture 25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0866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361950</xdr:colOff>
      <xdr:row>83</xdr:row>
      <xdr:rowOff>257175</xdr:rowOff>
    </xdr:to>
    <xdr:pic>
      <xdr:nvPicPr>
        <xdr:cNvPr id="461" name="Grafik 509" descr="S1307_blau auf weiß.jpg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1063752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381000</xdr:colOff>
      <xdr:row>84</xdr:row>
      <xdr:rowOff>266700</xdr:rowOff>
    </xdr:to>
    <xdr:pic>
      <xdr:nvPicPr>
        <xdr:cNvPr id="464" name="Picture 2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08089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86</xdr:row>
      <xdr:rowOff>0</xdr:rowOff>
    </xdr:from>
    <xdr:to>
      <xdr:col>3</xdr:col>
      <xdr:colOff>381000</xdr:colOff>
      <xdr:row>86</xdr:row>
      <xdr:rowOff>266700</xdr:rowOff>
    </xdr:to>
    <xdr:pic>
      <xdr:nvPicPr>
        <xdr:cNvPr id="465" name="Picture 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85975" y="1092327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3</xdr:col>
      <xdr:colOff>361950</xdr:colOff>
      <xdr:row>87</xdr:row>
      <xdr:rowOff>257175</xdr:rowOff>
    </xdr:to>
    <xdr:pic>
      <xdr:nvPicPr>
        <xdr:cNvPr id="467" name="Grafik 518" descr="003292_S1070_blau auf weiß.jpg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85975" y="1106614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3</xdr:col>
      <xdr:colOff>381000</xdr:colOff>
      <xdr:row>161</xdr:row>
      <xdr:rowOff>266700</xdr:rowOff>
    </xdr:to>
    <xdr:pic>
      <xdr:nvPicPr>
        <xdr:cNvPr id="468" name="Picture 23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1748599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3</xdr:col>
      <xdr:colOff>304800</xdr:colOff>
      <xdr:row>164</xdr:row>
      <xdr:rowOff>304800</xdr:rowOff>
    </xdr:to>
    <xdr:pic>
      <xdr:nvPicPr>
        <xdr:cNvPr id="470" name="Picture 25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77431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3</xdr:col>
      <xdr:colOff>381000</xdr:colOff>
      <xdr:row>155</xdr:row>
      <xdr:rowOff>266700</xdr:rowOff>
    </xdr:to>
    <xdr:pic>
      <xdr:nvPicPr>
        <xdr:cNvPr id="471" name="Picture 16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1682877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381000</xdr:colOff>
      <xdr:row>50</xdr:row>
      <xdr:rowOff>266700</xdr:rowOff>
    </xdr:to>
    <xdr:pic>
      <xdr:nvPicPr>
        <xdr:cNvPr id="474" name="Grafik 161" descr="003376_S1071_blau-auf-weiss.jpg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776001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3</xdr:col>
      <xdr:colOff>381000</xdr:colOff>
      <xdr:row>157</xdr:row>
      <xdr:rowOff>266700</xdr:rowOff>
    </xdr:to>
    <xdr:pic>
      <xdr:nvPicPr>
        <xdr:cNvPr id="475" name="Grafik 161" descr="003376_S1071_blau-auf-weiss.jpg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707165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3</xdr:col>
      <xdr:colOff>381000</xdr:colOff>
      <xdr:row>156</xdr:row>
      <xdr:rowOff>285750</xdr:rowOff>
    </xdr:to>
    <xdr:pic>
      <xdr:nvPicPr>
        <xdr:cNvPr id="476" name="Picture 1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85975" y="170145075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304800</xdr:colOff>
      <xdr:row>139</xdr:row>
      <xdr:rowOff>304800</xdr:rowOff>
    </xdr:to>
    <xdr:pic>
      <xdr:nvPicPr>
        <xdr:cNvPr id="477" name="Picture 2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155952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381000</xdr:colOff>
      <xdr:row>144</xdr:row>
      <xdr:rowOff>266700</xdr:rowOff>
    </xdr:to>
    <xdr:pic>
      <xdr:nvPicPr>
        <xdr:cNvPr id="478" name="Picture 2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85975" y="1603819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3</xdr:col>
      <xdr:colOff>304800</xdr:colOff>
      <xdr:row>46</xdr:row>
      <xdr:rowOff>304800</xdr:rowOff>
    </xdr:to>
    <xdr:pic>
      <xdr:nvPicPr>
        <xdr:cNvPr id="479" name="Picture 25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73313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3</xdr:col>
      <xdr:colOff>381000</xdr:colOff>
      <xdr:row>160</xdr:row>
      <xdr:rowOff>266700</xdr:rowOff>
    </xdr:to>
    <xdr:pic>
      <xdr:nvPicPr>
        <xdr:cNvPr id="480" name="Picture 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17414557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52915</xdr:colOff>
      <xdr:row>312</xdr:row>
      <xdr:rowOff>42332</xdr:rowOff>
    </xdr:from>
    <xdr:to>
      <xdr:col>3</xdr:col>
      <xdr:colOff>357715</xdr:colOff>
      <xdr:row>312</xdr:row>
      <xdr:rowOff>347132</xdr:rowOff>
    </xdr:to>
    <xdr:pic>
      <xdr:nvPicPr>
        <xdr:cNvPr id="481" name="Picture 25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54248" y="17873133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63499</xdr:colOff>
      <xdr:row>313</xdr:row>
      <xdr:rowOff>21166</xdr:rowOff>
    </xdr:from>
    <xdr:to>
      <xdr:col>3</xdr:col>
      <xdr:colOff>425449</xdr:colOff>
      <xdr:row>313</xdr:row>
      <xdr:rowOff>278341</xdr:rowOff>
    </xdr:to>
    <xdr:pic>
      <xdr:nvPicPr>
        <xdr:cNvPr id="482" name="Grafik 537" descr="003292_S1070_blau auf weiß.jp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64832" y="179281666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381000</xdr:colOff>
      <xdr:row>51</xdr:row>
      <xdr:rowOff>266700</xdr:rowOff>
    </xdr:to>
    <xdr:pic>
      <xdr:nvPicPr>
        <xdr:cNvPr id="483" name="Picture 23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781716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54</xdr:row>
      <xdr:rowOff>38100</xdr:rowOff>
    </xdr:from>
    <xdr:to>
      <xdr:col>3</xdr:col>
      <xdr:colOff>419100</xdr:colOff>
      <xdr:row>54</xdr:row>
      <xdr:rowOff>419100</xdr:rowOff>
    </xdr:to>
    <xdr:pic>
      <xdr:nvPicPr>
        <xdr:cNvPr id="485" name="Picture 1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24075" y="686181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78</xdr:row>
      <xdr:rowOff>21166</xdr:rowOff>
    </xdr:from>
    <xdr:to>
      <xdr:col>3</xdr:col>
      <xdr:colOff>325966</xdr:colOff>
      <xdr:row>78</xdr:row>
      <xdr:rowOff>325966</xdr:rowOff>
    </xdr:to>
    <xdr:pic>
      <xdr:nvPicPr>
        <xdr:cNvPr id="486" name="Picture 2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2499" y="46122166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3</xdr:col>
      <xdr:colOff>381000</xdr:colOff>
      <xdr:row>309</xdr:row>
      <xdr:rowOff>266700</xdr:rowOff>
    </xdr:to>
    <xdr:pic>
      <xdr:nvPicPr>
        <xdr:cNvPr id="487" name="Picture 23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2987706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3</xdr:col>
      <xdr:colOff>381000</xdr:colOff>
      <xdr:row>283</xdr:row>
      <xdr:rowOff>257175</xdr:rowOff>
    </xdr:to>
    <xdr:pic>
      <xdr:nvPicPr>
        <xdr:cNvPr id="490" name="Picture 5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001595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3</xdr:col>
      <xdr:colOff>381000</xdr:colOff>
      <xdr:row>289</xdr:row>
      <xdr:rowOff>257175</xdr:rowOff>
    </xdr:to>
    <xdr:pic>
      <xdr:nvPicPr>
        <xdr:cNvPr id="491" name="Picture 59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54452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3</xdr:col>
      <xdr:colOff>381000</xdr:colOff>
      <xdr:row>284</xdr:row>
      <xdr:rowOff>257175</xdr:rowOff>
    </xdr:to>
    <xdr:pic>
      <xdr:nvPicPr>
        <xdr:cNvPr id="492" name="Picture 59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1016075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31749</xdr:colOff>
      <xdr:row>314</xdr:row>
      <xdr:rowOff>31749</xdr:rowOff>
    </xdr:from>
    <xdr:to>
      <xdr:col>3</xdr:col>
      <xdr:colOff>412749</xdr:colOff>
      <xdr:row>314</xdr:row>
      <xdr:rowOff>288924</xdr:rowOff>
    </xdr:to>
    <xdr:pic>
      <xdr:nvPicPr>
        <xdr:cNvPr id="494" name="Picture 59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33082" y="179863749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381000</xdr:colOff>
      <xdr:row>52</xdr:row>
      <xdr:rowOff>266700</xdr:rowOff>
    </xdr:to>
    <xdr:pic>
      <xdr:nvPicPr>
        <xdr:cNvPr id="503" name="Picture 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85975" y="788860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3</xdr:col>
      <xdr:colOff>361950</xdr:colOff>
      <xdr:row>47</xdr:row>
      <xdr:rowOff>257175</xdr:rowOff>
    </xdr:to>
    <xdr:pic>
      <xdr:nvPicPr>
        <xdr:cNvPr id="505" name="Grafik 409" descr="003358_S1082_blau auf weiß.jpg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738854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381000</xdr:colOff>
      <xdr:row>55</xdr:row>
      <xdr:rowOff>266700</xdr:rowOff>
    </xdr:to>
    <xdr:pic>
      <xdr:nvPicPr>
        <xdr:cNvPr id="506" name="Picture 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85975" y="817435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400050</xdr:colOff>
      <xdr:row>94</xdr:row>
      <xdr:rowOff>285750</xdr:rowOff>
    </xdr:to>
    <xdr:pic>
      <xdr:nvPicPr>
        <xdr:cNvPr id="507" name="Grafik 151" descr="003027_S1318_grün-auf-weiss.jpg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1463230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77</xdr:row>
      <xdr:rowOff>38100</xdr:rowOff>
    </xdr:from>
    <xdr:to>
      <xdr:col>3</xdr:col>
      <xdr:colOff>419100</xdr:colOff>
      <xdr:row>77</xdr:row>
      <xdr:rowOff>419100</xdr:rowOff>
    </xdr:to>
    <xdr:pic>
      <xdr:nvPicPr>
        <xdr:cNvPr id="508" name="Picture 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24075" y="674751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381000</xdr:colOff>
      <xdr:row>56</xdr:row>
      <xdr:rowOff>266700</xdr:rowOff>
    </xdr:to>
    <xdr:pic>
      <xdr:nvPicPr>
        <xdr:cNvPr id="513" name="Picture 16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824579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3</xdr:col>
      <xdr:colOff>381000</xdr:colOff>
      <xdr:row>287</xdr:row>
      <xdr:rowOff>257175</xdr:rowOff>
    </xdr:to>
    <xdr:pic>
      <xdr:nvPicPr>
        <xdr:cNvPr id="519" name="Picture 59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2831592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3</xdr:col>
      <xdr:colOff>361950</xdr:colOff>
      <xdr:row>138</xdr:row>
      <xdr:rowOff>257175</xdr:rowOff>
    </xdr:to>
    <xdr:pic>
      <xdr:nvPicPr>
        <xdr:cNvPr id="520" name="Grafik 302" descr="003206_S1312_blau auf weiß.jpg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1536668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381000</xdr:colOff>
      <xdr:row>159</xdr:row>
      <xdr:rowOff>266700</xdr:rowOff>
    </xdr:to>
    <xdr:pic>
      <xdr:nvPicPr>
        <xdr:cNvPr id="523" name="Picture 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85975" y="17257395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381000</xdr:colOff>
      <xdr:row>5</xdr:row>
      <xdr:rowOff>266700</xdr:rowOff>
    </xdr:to>
    <xdr:pic>
      <xdr:nvPicPr>
        <xdr:cNvPr id="524" name="Picture 46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85975" y="93440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3</xdr:col>
      <xdr:colOff>381000</xdr:colOff>
      <xdr:row>171</xdr:row>
      <xdr:rowOff>257175</xdr:rowOff>
    </xdr:to>
    <xdr:pic>
      <xdr:nvPicPr>
        <xdr:cNvPr id="528" name="Picture 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085975" y="182146575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31749</xdr:colOff>
      <xdr:row>273</xdr:row>
      <xdr:rowOff>21166</xdr:rowOff>
    </xdr:from>
    <xdr:to>
      <xdr:col>3</xdr:col>
      <xdr:colOff>412749</xdr:colOff>
      <xdr:row>273</xdr:row>
      <xdr:rowOff>392641</xdr:rowOff>
    </xdr:to>
    <xdr:pic>
      <xdr:nvPicPr>
        <xdr:cNvPr id="532" name="Picture 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233082" y="157564666"/>
          <a:ext cx="381000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57</xdr:row>
      <xdr:rowOff>38100</xdr:rowOff>
    </xdr:from>
    <xdr:to>
      <xdr:col>3</xdr:col>
      <xdr:colOff>342900</xdr:colOff>
      <xdr:row>57</xdr:row>
      <xdr:rowOff>342900</xdr:rowOff>
    </xdr:to>
    <xdr:pic>
      <xdr:nvPicPr>
        <xdr:cNvPr id="542" name="Picture 25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24075" y="66903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3</xdr:col>
      <xdr:colOff>381000</xdr:colOff>
      <xdr:row>317</xdr:row>
      <xdr:rowOff>285750</xdr:rowOff>
    </xdr:to>
    <xdr:pic>
      <xdr:nvPicPr>
        <xdr:cNvPr id="327" name="Picture 2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086841" y="79438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400050</xdr:colOff>
      <xdr:row>319</xdr:row>
      <xdr:rowOff>219075</xdr:rowOff>
    </xdr:to>
    <xdr:pic>
      <xdr:nvPicPr>
        <xdr:cNvPr id="329" name="Picture 32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05025" y="97174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400050</xdr:colOff>
      <xdr:row>320</xdr:row>
      <xdr:rowOff>219075</xdr:rowOff>
    </xdr:to>
    <xdr:pic>
      <xdr:nvPicPr>
        <xdr:cNvPr id="2720" name="Picture 672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05025" y="977455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400050</xdr:colOff>
      <xdr:row>321</xdr:row>
      <xdr:rowOff>219075</xdr:rowOff>
    </xdr:to>
    <xdr:pic>
      <xdr:nvPicPr>
        <xdr:cNvPr id="342" name="Picture 33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05025" y="98317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3</xdr:col>
      <xdr:colOff>381000</xdr:colOff>
      <xdr:row>322</xdr:row>
      <xdr:rowOff>285750</xdr:rowOff>
    </xdr:to>
    <xdr:pic>
      <xdr:nvPicPr>
        <xdr:cNvPr id="343" name="Picture 188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85975" y="1866519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61</xdr:row>
      <xdr:rowOff>19050</xdr:rowOff>
    </xdr:from>
    <xdr:to>
      <xdr:col>3</xdr:col>
      <xdr:colOff>504825</xdr:colOff>
      <xdr:row>61</xdr:row>
      <xdr:rowOff>352425</xdr:rowOff>
    </xdr:to>
    <xdr:pic>
      <xdr:nvPicPr>
        <xdr:cNvPr id="344" name="Picture 171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14550" y="17661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243</xdr:row>
      <xdr:rowOff>19050</xdr:rowOff>
    </xdr:from>
    <xdr:to>
      <xdr:col>3</xdr:col>
      <xdr:colOff>504825</xdr:colOff>
      <xdr:row>243</xdr:row>
      <xdr:rowOff>352425</xdr:rowOff>
    </xdr:to>
    <xdr:pic>
      <xdr:nvPicPr>
        <xdr:cNvPr id="345" name="Picture 172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14550" y="17718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37</xdr:row>
      <xdr:rowOff>66675</xdr:rowOff>
    </xdr:from>
    <xdr:to>
      <xdr:col>3</xdr:col>
      <xdr:colOff>514350</xdr:colOff>
      <xdr:row>37</xdr:row>
      <xdr:rowOff>400050</xdr:rowOff>
    </xdr:to>
    <xdr:pic>
      <xdr:nvPicPr>
        <xdr:cNvPr id="348" name="Picture 173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24075" y="1778031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62</xdr:row>
      <xdr:rowOff>47625</xdr:rowOff>
    </xdr:from>
    <xdr:to>
      <xdr:col>3</xdr:col>
      <xdr:colOff>504825</xdr:colOff>
      <xdr:row>62</xdr:row>
      <xdr:rowOff>381000</xdr:rowOff>
    </xdr:to>
    <xdr:pic>
      <xdr:nvPicPr>
        <xdr:cNvPr id="428" name="Picture 174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14550" y="1783556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296</xdr:row>
      <xdr:rowOff>28575</xdr:rowOff>
    </xdr:from>
    <xdr:to>
      <xdr:col>3</xdr:col>
      <xdr:colOff>504825</xdr:colOff>
      <xdr:row>296</xdr:row>
      <xdr:rowOff>361950</xdr:rowOff>
    </xdr:to>
    <xdr:pic>
      <xdr:nvPicPr>
        <xdr:cNvPr id="429" name="Picture 133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14550" y="172050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219</xdr:row>
      <xdr:rowOff>38100</xdr:rowOff>
    </xdr:from>
    <xdr:to>
      <xdr:col>3</xdr:col>
      <xdr:colOff>504825</xdr:colOff>
      <xdr:row>219</xdr:row>
      <xdr:rowOff>371475</xdr:rowOff>
    </xdr:to>
    <xdr:pic>
      <xdr:nvPicPr>
        <xdr:cNvPr id="433" name="Picture 137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14550" y="172631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220</xdr:row>
      <xdr:rowOff>38100</xdr:rowOff>
    </xdr:from>
    <xdr:to>
      <xdr:col>3</xdr:col>
      <xdr:colOff>495300</xdr:colOff>
      <xdr:row>220</xdr:row>
      <xdr:rowOff>371475</xdr:rowOff>
    </xdr:to>
    <xdr:pic>
      <xdr:nvPicPr>
        <xdr:cNvPr id="434" name="Picture 14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732026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221</xdr:row>
      <xdr:rowOff>28575</xdr:rowOff>
    </xdr:from>
    <xdr:to>
      <xdr:col>3</xdr:col>
      <xdr:colOff>504825</xdr:colOff>
      <xdr:row>221</xdr:row>
      <xdr:rowOff>361950</xdr:rowOff>
    </xdr:to>
    <xdr:pic>
      <xdr:nvPicPr>
        <xdr:cNvPr id="435" name="Picture 145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14550" y="173764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222</xdr:row>
      <xdr:rowOff>28575</xdr:rowOff>
    </xdr:from>
    <xdr:to>
      <xdr:col>3</xdr:col>
      <xdr:colOff>504825</xdr:colOff>
      <xdr:row>222</xdr:row>
      <xdr:rowOff>361950</xdr:rowOff>
    </xdr:to>
    <xdr:pic>
      <xdr:nvPicPr>
        <xdr:cNvPr id="436" name="Picture 149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14550" y="174336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36</xdr:row>
      <xdr:rowOff>28575</xdr:rowOff>
    </xdr:from>
    <xdr:to>
      <xdr:col>3</xdr:col>
      <xdr:colOff>504825</xdr:colOff>
      <xdr:row>36</xdr:row>
      <xdr:rowOff>361950</xdr:rowOff>
    </xdr:to>
    <xdr:pic>
      <xdr:nvPicPr>
        <xdr:cNvPr id="439" name="Picture 153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14550" y="174907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34</xdr:row>
      <xdr:rowOff>28575</xdr:rowOff>
    </xdr:from>
    <xdr:to>
      <xdr:col>3</xdr:col>
      <xdr:colOff>504825</xdr:colOff>
      <xdr:row>34</xdr:row>
      <xdr:rowOff>361950</xdr:rowOff>
    </xdr:to>
    <xdr:pic>
      <xdr:nvPicPr>
        <xdr:cNvPr id="442" name="Picture 15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14550" y="175479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35</xdr:row>
      <xdr:rowOff>38100</xdr:rowOff>
    </xdr:from>
    <xdr:to>
      <xdr:col>3</xdr:col>
      <xdr:colOff>504825</xdr:colOff>
      <xdr:row>35</xdr:row>
      <xdr:rowOff>371475</xdr:rowOff>
    </xdr:to>
    <xdr:pic>
      <xdr:nvPicPr>
        <xdr:cNvPr id="450" name="Picture 156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14550" y="176060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495300</xdr:colOff>
      <xdr:row>130</xdr:row>
      <xdr:rowOff>495300</xdr:rowOff>
    </xdr:to>
    <xdr:pic>
      <xdr:nvPicPr>
        <xdr:cNvPr id="451" name="Picture 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05025" y="16592550"/>
          <a:ext cx="476250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495300</xdr:colOff>
      <xdr:row>260</xdr:row>
      <xdr:rowOff>352425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8174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495300</xdr:colOff>
      <xdr:row>262</xdr:row>
      <xdr:rowOff>352425</xdr:rowOff>
    </xdr:to>
    <xdr:pic>
      <xdr:nvPicPr>
        <xdr:cNvPr id="3076" name="Picture 4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8231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495300</xdr:colOff>
      <xdr:row>261</xdr:row>
      <xdr:rowOff>352425</xdr:rowOff>
    </xdr:to>
    <xdr:pic>
      <xdr:nvPicPr>
        <xdr:cNvPr id="3077" name="Picture 5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8288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495300</xdr:colOff>
      <xdr:row>263</xdr:row>
      <xdr:rowOff>352425</xdr:rowOff>
    </xdr:to>
    <xdr:pic>
      <xdr:nvPicPr>
        <xdr:cNvPr id="3078" name="Picture 6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8345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495300</xdr:colOff>
      <xdr:row>242</xdr:row>
      <xdr:rowOff>352425</xdr:rowOff>
    </xdr:to>
    <xdr:pic>
      <xdr:nvPicPr>
        <xdr:cNvPr id="3079" name="Picture 7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05025" y="8402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495300</xdr:colOff>
      <xdr:row>259</xdr:row>
      <xdr:rowOff>352425</xdr:rowOff>
    </xdr:to>
    <xdr:pic>
      <xdr:nvPicPr>
        <xdr:cNvPr id="3080" name="Picture 8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05025" y="8460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495300</xdr:colOff>
      <xdr:row>302</xdr:row>
      <xdr:rowOff>352425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8517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224</xdr:row>
      <xdr:rowOff>28575</xdr:rowOff>
    </xdr:from>
    <xdr:to>
      <xdr:col>3</xdr:col>
      <xdr:colOff>495300</xdr:colOff>
      <xdr:row>224</xdr:row>
      <xdr:rowOff>361950</xdr:rowOff>
    </xdr:to>
    <xdr:pic>
      <xdr:nvPicPr>
        <xdr:cNvPr id="400" name="Picture 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86896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495300</xdr:colOff>
      <xdr:row>89</xdr:row>
      <xdr:rowOff>352425</xdr:rowOff>
    </xdr:to>
    <xdr:pic>
      <xdr:nvPicPr>
        <xdr:cNvPr id="413" name="Picture 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12403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495300</xdr:colOff>
      <xdr:row>63</xdr:row>
      <xdr:rowOff>352425</xdr:rowOff>
    </xdr:to>
    <xdr:pic>
      <xdr:nvPicPr>
        <xdr:cNvPr id="414" name="Picture 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12689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495300</xdr:colOff>
      <xdr:row>217</xdr:row>
      <xdr:rowOff>352425</xdr:rowOff>
    </xdr:to>
    <xdr:pic>
      <xdr:nvPicPr>
        <xdr:cNvPr id="457" name="Picture 2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05025" y="8745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495300</xdr:colOff>
      <xdr:row>267</xdr:row>
      <xdr:rowOff>352425</xdr:rowOff>
    </xdr:to>
    <xdr:pic>
      <xdr:nvPicPr>
        <xdr:cNvPr id="462" name="Picture 2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05025" y="12060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495300</xdr:colOff>
      <xdr:row>90</xdr:row>
      <xdr:rowOff>352425</xdr:rowOff>
    </xdr:to>
    <xdr:pic>
      <xdr:nvPicPr>
        <xdr:cNvPr id="463" name="Picture 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05025" y="12460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495300</xdr:colOff>
      <xdr:row>64</xdr:row>
      <xdr:rowOff>352425</xdr:rowOff>
    </xdr:to>
    <xdr:pic>
      <xdr:nvPicPr>
        <xdr:cNvPr id="466" name="Picture 2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05025" y="12746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495300</xdr:colOff>
      <xdr:row>303</xdr:row>
      <xdr:rowOff>352425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05025" y="8631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495300</xdr:colOff>
      <xdr:row>218</xdr:row>
      <xdr:rowOff>352425</xdr:rowOff>
    </xdr:to>
    <xdr:pic>
      <xdr:nvPicPr>
        <xdr:cNvPr id="469" name="Picture 4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05025" y="8803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495300</xdr:colOff>
      <xdr:row>268</xdr:row>
      <xdr:rowOff>352425</xdr:rowOff>
    </xdr:to>
    <xdr:pic>
      <xdr:nvPicPr>
        <xdr:cNvPr id="472" name="Picture 4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05025" y="12117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495300</xdr:colOff>
      <xdr:row>91</xdr:row>
      <xdr:rowOff>352425</xdr:rowOff>
    </xdr:to>
    <xdr:pic>
      <xdr:nvPicPr>
        <xdr:cNvPr id="473" name="Picture 4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05025" y="12517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495300</xdr:colOff>
      <xdr:row>122</xdr:row>
      <xdr:rowOff>352425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105025" y="8860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123</xdr:row>
      <xdr:rowOff>19050</xdr:rowOff>
    </xdr:from>
    <xdr:to>
      <xdr:col>3</xdr:col>
      <xdr:colOff>485775</xdr:colOff>
      <xdr:row>123</xdr:row>
      <xdr:rowOff>352425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95500" y="8917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495300</xdr:colOff>
      <xdr:row>297</xdr:row>
      <xdr:rowOff>352425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05025" y="8974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495300</xdr:colOff>
      <xdr:row>124</xdr:row>
      <xdr:rowOff>352425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05025" y="9031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495300</xdr:colOff>
      <xdr:row>276</xdr:row>
      <xdr:rowOff>352425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05025" y="9088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495300</xdr:colOff>
      <xdr:row>277</xdr:row>
      <xdr:rowOff>352425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05025" y="9145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255</xdr:row>
      <xdr:rowOff>19050</xdr:rowOff>
    </xdr:from>
    <xdr:to>
      <xdr:col>3</xdr:col>
      <xdr:colOff>504825</xdr:colOff>
      <xdr:row>255</xdr:row>
      <xdr:rowOff>352425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14550" y="9203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495300</xdr:colOff>
      <xdr:row>203</xdr:row>
      <xdr:rowOff>352425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05025" y="10803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495300</xdr:colOff>
      <xdr:row>204</xdr:row>
      <xdr:rowOff>352425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05025" y="10860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230</xdr:row>
      <xdr:rowOff>19050</xdr:rowOff>
    </xdr:from>
    <xdr:to>
      <xdr:col>3</xdr:col>
      <xdr:colOff>504825</xdr:colOff>
      <xdr:row>230</xdr:row>
      <xdr:rowOff>352425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14550" y="9260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495300</xdr:colOff>
      <xdr:row>231</xdr:row>
      <xdr:rowOff>352425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9317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495300</xdr:colOff>
      <xdr:row>205</xdr:row>
      <xdr:rowOff>352425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10917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206</xdr:row>
      <xdr:rowOff>28575</xdr:rowOff>
    </xdr:from>
    <xdr:to>
      <xdr:col>3</xdr:col>
      <xdr:colOff>495300</xdr:colOff>
      <xdr:row>206</xdr:row>
      <xdr:rowOff>361950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05025" y="109756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495300</xdr:colOff>
      <xdr:row>226</xdr:row>
      <xdr:rowOff>352425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05025" y="9374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495300</xdr:colOff>
      <xdr:row>126</xdr:row>
      <xdr:rowOff>352425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05025" y="9431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495300</xdr:colOff>
      <xdr:row>225</xdr:row>
      <xdr:rowOff>352425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05025" y="9488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495300</xdr:colOff>
      <xdr:row>234</xdr:row>
      <xdr:rowOff>352425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105025" y="9603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495300</xdr:colOff>
      <xdr:row>298</xdr:row>
      <xdr:rowOff>352425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105025" y="9660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495300</xdr:colOff>
      <xdr:row>241</xdr:row>
      <xdr:rowOff>352425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05025" y="10003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495300</xdr:colOff>
      <xdr:row>240</xdr:row>
      <xdr:rowOff>352425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05025" y="10060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495300</xdr:colOff>
      <xdr:row>207</xdr:row>
      <xdr:rowOff>352425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05025" y="11717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495300</xdr:colOff>
      <xdr:row>210</xdr:row>
      <xdr:rowOff>352425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05025" y="12860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495300</xdr:colOff>
      <xdr:row>209</xdr:row>
      <xdr:rowOff>352425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05025" y="11660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495300</xdr:colOff>
      <xdr:row>190</xdr:row>
      <xdr:rowOff>352425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05025" y="12803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495300</xdr:colOff>
      <xdr:row>208</xdr:row>
      <xdr:rowOff>352425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05025" y="11774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495300</xdr:colOff>
      <xdr:row>196</xdr:row>
      <xdr:rowOff>352425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05025" y="12917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495300</xdr:colOff>
      <xdr:row>192</xdr:row>
      <xdr:rowOff>352425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05025" y="12974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495300</xdr:colOff>
      <xdr:row>239</xdr:row>
      <xdr:rowOff>352425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05025" y="10117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495300</xdr:colOff>
      <xdr:row>229</xdr:row>
      <xdr:rowOff>352425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05025" y="10174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495300</xdr:colOff>
      <xdr:row>301</xdr:row>
      <xdr:rowOff>352425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05025" y="10231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495300</xdr:colOff>
      <xdr:row>125</xdr:row>
      <xdr:rowOff>352425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05025" y="9888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495300</xdr:colOff>
      <xdr:row>246</xdr:row>
      <xdr:rowOff>352425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05025" y="16232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495300</xdr:colOff>
      <xdr:row>65</xdr:row>
      <xdr:rowOff>352425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05025" y="18232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495300</xdr:colOff>
      <xdr:row>249</xdr:row>
      <xdr:rowOff>352425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05025" y="11089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495300</xdr:colOff>
      <xdr:row>247</xdr:row>
      <xdr:rowOff>352425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05025" y="16289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495300</xdr:colOff>
      <xdr:row>66</xdr:row>
      <xdr:rowOff>352425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05025" y="18289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495300</xdr:colOff>
      <xdr:row>250</xdr:row>
      <xdr:rowOff>352425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05025" y="11146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495300</xdr:colOff>
      <xdr:row>245</xdr:row>
      <xdr:rowOff>352425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05025" y="16346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495300</xdr:colOff>
      <xdr:row>67</xdr:row>
      <xdr:rowOff>352425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05025" y="18347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495300</xdr:colOff>
      <xdr:row>251</xdr:row>
      <xdr:rowOff>352425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05025" y="11203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495300</xdr:colOff>
      <xdr:row>248</xdr:row>
      <xdr:rowOff>352425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05025" y="16403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495300</xdr:colOff>
      <xdr:row>68</xdr:row>
      <xdr:rowOff>352425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05025" y="18404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495300</xdr:colOff>
      <xdr:row>69</xdr:row>
      <xdr:rowOff>352425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05025" y="18461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495300</xdr:colOff>
      <xdr:row>244</xdr:row>
      <xdr:rowOff>352425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05025" y="16461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495300</xdr:colOff>
      <xdr:row>265</xdr:row>
      <xdr:rowOff>352425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05025" y="11260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495300</xdr:colOff>
      <xdr:row>252</xdr:row>
      <xdr:rowOff>352425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105025" y="11317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495300</xdr:colOff>
      <xdr:row>75</xdr:row>
      <xdr:rowOff>352425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105025" y="16518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495300</xdr:colOff>
      <xdr:row>306</xdr:row>
      <xdr:rowOff>352425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105025" y="16575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110</xdr:row>
      <xdr:rowOff>19050</xdr:rowOff>
    </xdr:from>
    <xdr:to>
      <xdr:col>3</xdr:col>
      <xdr:colOff>485775</xdr:colOff>
      <xdr:row>110</xdr:row>
      <xdr:rowOff>352425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95500" y="16632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111</xdr:row>
      <xdr:rowOff>19050</xdr:rowOff>
    </xdr:from>
    <xdr:to>
      <xdr:col>3</xdr:col>
      <xdr:colOff>485775</xdr:colOff>
      <xdr:row>111</xdr:row>
      <xdr:rowOff>352425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095500" y="16689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112</xdr:row>
      <xdr:rowOff>19050</xdr:rowOff>
    </xdr:from>
    <xdr:to>
      <xdr:col>3</xdr:col>
      <xdr:colOff>485775</xdr:colOff>
      <xdr:row>112</xdr:row>
      <xdr:rowOff>352425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95500" y="16746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495300</xdr:colOff>
      <xdr:row>316</xdr:row>
      <xdr:rowOff>352425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05025" y="17089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495300</xdr:colOff>
      <xdr:row>28</xdr:row>
      <xdr:rowOff>352425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6804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495300</xdr:colOff>
      <xdr:row>272</xdr:row>
      <xdr:rowOff>352425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4689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495300</xdr:colOff>
      <xdr:row>271</xdr:row>
      <xdr:rowOff>352425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05025" y="14746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495300</xdr:colOff>
      <xdr:row>181</xdr:row>
      <xdr:rowOff>352425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05025" y="14975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495300</xdr:colOff>
      <xdr:row>215</xdr:row>
      <xdr:rowOff>352425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05025" y="15603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495300</xdr:colOff>
      <xdr:row>29</xdr:row>
      <xdr:rowOff>352425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05025" y="16861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495300</xdr:colOff>
      <xdr:row>214</xdr:row>
      <xdr:rowOff>352425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5546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495300</xdr:colOff>
      <xdr:row>213</xdr:row>
      <xdr:rowOff>352425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05025" y="15661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495300</xdr:colOff>
      <xdr:row>30</xdr:row>
      <xdr:rowOff>352425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05025" y="16918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495300</xdr:colOff>
      <xdr:row>182</xdr:row>
      <xdr:rowOff>352425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05025" y="15032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495300</xdr:colOff>
      <xdr:row>238</xdr:row>
      <xdr:rowOff>352425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05025" y="15432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495300</xdr:colOff>
      <xdr:row>270</xdr:row>
      <xdr:rowOff>352425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05025" y="14803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495300</xdr:colOff>
      <xdr:row>179</xdr:row>
      <xdr:rowOff>352425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05025" y="14860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495300</xdr:colOff>
      <xdr:row>211</xdr:row>
      <xdr:rowOff>352425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05025" y="15089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495300</xdr:colOff>
      <xdr:row>170</xdr:row>
      <xdr:rowOff>352425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05025" y="15718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495300</xdr:colOff>
      <xdr:row>216</xdr:row>
      <xdr:rowOff>352425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05025" y="15489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495300</xdr:colOff>
      <xdr:row>266</xdr:row>
      <xdr:rowOff>352425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12003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495300</xdr:colOff>
      <xdr:row>180</xdr:row>
      <xdr:rowOff>352425</xdr:rowOff>
    </xdr:to>
    <xdr:pic>
      <xdr:nvPicPr>
        <xdr:cNvPr id="484" name="Picture 6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4918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495300</xdr:colOff>
      <xdr:row>183</xdr:row>
      <xdr:rowOff>352425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105025" y="15146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495300</xdr:colOff>
      <xdr:row>96</xdr:row>
      <xdr:rowOff>352425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4060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495300</xdr:colOff>
      <xdr:row>97</xdr:row>
      <xdr:rowOff>352425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4117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495300</xdr:colOff>
      <xdr:row>98</xdr:row>
      <xdr:rowOff>352425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4175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495300</xdr:colOff>
      <xdr:row>99</xdr:row>
      <xdr:rowOff>352425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4232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495300</xdr:colOff>
      <xdr:row>95</xdr:row>
      <xdr:rowOff>352425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05025" y="14289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495300</xdr:colOff>
      <xdr:row>185</xdr:row>
      <xdr:rowOff>352425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05025" y="14346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495300</xdr:colOff>
      <xdr:row>186</xdr:row>
      <xdr:rowOff>352425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05025" y="14403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495300</xdr:colOff>
      <xdr:row>188</xdr:row>
      <xdr:rowOff>352425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105025" y="14518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495300</xdr:colOff>
      <xdr:row>187</xdr:row>
      <xdr:rowOff>352425</xdr:rowOff>
    </xdr:to>
    <xdr:pic>
      <xdr:nvPicPr>
        <xdr:cNvPr id="488" name="Picture 94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05025" y="14460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495300</xdr:colOff>
      <xdr:row>189</xdr:row>
      <xdr:rowOff>352425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105025" y="14575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495300</xdr:colOff>
      <xdr:row>197</xdr:row>
      <xdr:rowOff>352425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05025" y="11831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495300</xdr:colOff>
      <xdr:row>198</xdr:row>
      <xdr:rowOff>352425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105025" y="11889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495300</xdr:colOff>
      <xdr:row>199</xdr:row>
      <xdr:rowOff>352425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05025" y="13032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495300</xdr:colOff>
      <xdr:row>195</xdr:row>
      <xdr:rowOff>352425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05025" y="13089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495300</xdr:colOff>
      <xdr:row>103</xdr:row>
      <xdr:rowOff>352425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05025" y="13203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495300</xdr:colOff>
      <xdr:row>104</xdr:row>
      <xdr:rowOff>352425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05025" y="13260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495300</xdr:colOff>
      <xdr:row>106</xdr:row>
      <xdr:rowOff>352425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13317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495300</xdr:colOff>
      <xdr:row>105</xdr:row>
      <xdr:rowOff>352425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05025" y="13375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495300</xdr:colOff>
      <xdr:row>113</xdr:row>
      <xdr:rowOff>352425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05025" y="13432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495300</xdr:colOff>
      <xdr:row>191</xdr:row>
      <xdr:rowOff>352425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05025" y="13489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495300</xdr:colOff>
      <xdr:row>200</xdr:row>
      <xdr:rowOff>352425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105025" y="13146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495300</xdr:colOff>
      <xdr:row>177</xdr:row>
      <xdr:rowOff>352425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105025" y="13546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495300</xdr:colOff>
      <xdr:row>178</xdr:row>
      <xdr:rowOff>352425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05025" y="13660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495300</xdr:colOff>
      <xdr:row>176</xdr:row>
      <xdr:rowOff>352425</xdr:rowOff>
    </xdr:to>
    <xdr:pic>
      <xdr:nvPicPr>
        <xdr:cNvPr id="15" name="Picture 1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105025" y="13717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495300</xdr:colOff>
      <xdr:row>175</xdr:row>
      <xdr:rowOff>352425</xdr:rowOff>
    </xdr:to>
    <xdr:pic>
      <xdr:nvPicPr>
        <xdr:cNvPr id="16" name="Picture 1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105025" y="13775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495300</xdr:colOff>
      <xdr:row>173</xdr:row>
      <xdr:rowOff>352425</xdr:rowOff>
    </xdr:to>
    <xdr:pic>
      <xdr:nvPicPr>
        <xdr:cNvPr id="17" name="Picture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105025" y="13832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495300</xdr:colOff>
      <xdr:row>201</xdr:row>
      <xdr:rowOff>352425</xdr:rowOff>
    </xdr:to>
    <xdr:pic>
      <xdr:nvPicPr>
        <xdr:cNvPr id="18" name="Picture 1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105025" y="13889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495300</xdr:colOff>
      <xdr:row>202</xdr:row>
      <xdr:rowOff>352425</xdr:rowOff>
    </xdr:to>
    <xdr:pic>
      <xdr:nvPicPr>
        <xdr:cNvPr id="19" name="Picture 1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05025" y="14003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495300</xdr:colOff>
      <xdr:row>184</xdr:row>
      <xdr:rowOff>352425</xdr:rowOff>
    </xdr:to>
    <xdr:pic>
      <xdr:nvPicPr>
        <xdr:cNvPr id="20" name="Picture 1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05025" y="15203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495300</xdr:colOff>
      <xdr:row>236</xdr:row>
      <xdr:rowOff>352425</xdr:rowOff>
    </xdr:to>
    <xdr:pic>
      <xdr:nvPicPr>
        <xdr:cNvPr id="352" name="Picture 72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5318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495300</xdr:colOff>
      <xdr:row>274</xdr:row>
      <xdr:rowOff>352425</xdr:rowOff>
    </xdr:to>
    <xdr:pic>
      <xdr:nvPicPr>
        <xdr:cNvPr id="353" name="Picture 7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05025" y="15260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495300</xdr:colOff>
      <xdr:row>237</xdr:row>
      <xdr:rowOff>352425</xdr:rowOff>
    </xdr:to>
    <xdr:pic>
      <xdr:nvPicPr>
        <xdr:cNvPr id="355" name="Picture 70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05025" y="15375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495300</xdr:colOff>
      <xdr:row>329</xdr:row>
      <xdr:rowOff>352425</xdr:rowOff>
    </xdr:to>
    <xdr:pic>
      <xdr:nvPicPr>
        <xdr:cNvPr id="356" name="Picture 120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105025" y="15775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495300</xdr:colOff>
      <xdr:row>331</xdr:row>
      <xdr:rowOff>352425</xdr:rowOff>
    </xdr:to>
    <xdr:pic>
      <xdr:nvPicPr>
        <xdr:cNvPr id="357" name="Picture 12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105025" y="15832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495300</xdr:colOff>
      <xdr:row>26</xdr:row>
      <xdr:rowOff>361950</xdr:rowOff>
    </xdr:to>
    <xdr:pic>
      <xdr:nvPicPr>
        <xdr:cNvPr id="358" name="Picture 122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105025" y="1588960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495300</xdr:colOff>
      <xdr:row>27</xdr:row>
      <xdr:rowOff>361950</xdr:rowOff>
    </xdr:to>
    <xdr:pic>
      <xdr:nvPicPr>
        <xdr:cNvPr id="359" name="Picture 123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105025" y="1594675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495300</xdr:colOff>
      <xdr:row>10</xdr:row>
      <xdr:rowOff>352425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105025" y="16003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495300</xdr:colOff>
      <xdr:row>330</xdr:row>
      <xdr:rowOff>352425</xdr:rowOff>
    </xdr:to>
    <xdr:pic>
      <xdr:nvPicPr>
        <xdr:cNvPr id="23" name="Picture 2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105025" y="16118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495300</xdr:colOff>
      <xdr:row>305</xdr:row>
      <xdr:rowOff>352425</xdr:rowOff>
    </xdr:to>
    <xdr:pic>
      <xdr:nvPicPr>
        <xdr:cNvPr id="25" name="Picture 2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105025" y="13946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495300</xdr:colOff>
      <xdr:row>256</xdr:row>
      <xdr:rowOff>352425</xdr:rowOff>
    </xdr:to>
    <xdr:pic>
      <xdr:nvPicPr>
        <xdr:cNvPr id="364" name="Picture 87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0460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495300</xdr:colOff>
      <xdr:row>257</xdr:row>
      <xdr:rowOff>352425</xdr:rowOff>
    </xdr:to>
    <xdr:pic>
      <xdr:nvPicPr>
        <xdr:cNvPr id="366" name="Picture 88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0517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495300</xdr:colOff>
      <xdr:row>235</xdr:row>
      <xdr:rowOff>352425</xdr:rowOff>
    </xdr:to>
    <xdr:pic>
      <xdr:nvPicPr>
        <xdr:cNvPr id="367" name="Picture 89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0574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495300</xdr:colOff>
      <xdr:row>258</xdr:row>
      <xdr:rowOff>352425</xdr:rowOff>
    </xdr:to>
    <xdr:pic>
      <xdr:nvPicPr>
        <xdr:cNvPr id="368" name="Picture 90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0631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495300</xdr:colOff>
      <xdr:row>232</xdr:row>
      <xdr:rowOff>352425</xdr:rowOff>
    </xdr:to>
    <xdr:pic>
      <xdr:nvPicPr>
        <xdr:cNvPr id="369" name="Picture 9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05025" y="10688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495300</xdr:colOff>
      <xdr:row>227</xdr:row>
      <xdr:rowOff>352425</xdr:rowOff>
    </xdr:to>
    <xdr:pic>
      <xdr:nvPicPr>
        <xdr:cNvPr id="370" name="Picture 87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0288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495300</xdr:colOff>
      <xdr:row>228</xdr:row>
      <xdr:rowOff>352425</xdr:rowOff>
    </xdr:to>
    <xdr:pic>
      <xdr:nvPicPr>
        <xdr:cNvPr id="372" name="Picture 88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0346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495300</xdr:colOff>
      <xdr:row>223</xdr:row>
      <xdr:rowOff>352425</xdr:rowOff>
    </xdr:to>
    <xdr:pic>
      <xdr:nvPicPr>
        <xdr:cNvPr id="373" name="Picture 89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0403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495300</xdr:colOff>
      <xdr:row>233</xdr:row>
      <xdr:rowOff>352425</xdr:rowOff>
    </xdr:to>
    <xdr:pic>
      <xdr:nvPicPr>
        <xdr:cNvPr id="26" name="Picture 2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05025" y="10746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495300</xdr:colOff>
      <xdr:row>254</xdr:row>
      <xdr:rowOff>352425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05025" y="9946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495300</xdr:colOff>
      <xdr:row>8</xdr:row>
      <xdr:rowOff>352425</xdr:rowOff>
    </xdr:to>
    <xdr:pic>
      <xdr:nvPicPr>
        <xdr:cNvPr id="28" name="Picture 2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105025" y="744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</xdr:row>
      <xdr:rowOff>19050</xdr:rowOff>
    </xdr:from>
    <xdr:to>
      <xdr:col>3</xdr:col>
      <xdr:colOff>495300</xdr:colOff>
      <xdr:row>2</xdr:row>
      <xdr:rowOff>352425</xdr:rowOff>
    </xdr:to>
    <xdr:pic>
      <xdr:nvPicPr>
        <xdr:cNvPr id="29" name="Picture 2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105025" y="802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276225</xdr:colOff>
      <xdr:row>32</xdr:row>
      <xdr:rowOff>381000</xdr:rowOff>
    </xdr:to>
    <xdr:pic>
      <xdr:nvPicPr>
        <xdr:cNvPr id="326" name="Picture 6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085975" y="184594500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3</xdr:col>
      <xdr:colOff>381000</xdr:colOff>
      <xdr:row>31</xdr:row>
      <xdr:rowOff>342900</xdr:rowOff>
    </xdr:to>
    <xdr:pic>
      <xdr:nvPicPr>
        <xdr:cNvPr id="331" name="Picture 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85975" y="20574000"/>
          <a:ext cx="3810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264</xdr:row>
      <xdr:rowOff>21166</xdr:rowOff>
    </xdr:from>
    <xdr:to>
      <xdr:col>3</xdr:col>
      <xdr:colOff>383116</xdr:colOff>
      <xdr:row>264</xdr:row>
      <xdr:rowOff>278341</xdr:rowOff>
    </xdr:to>
    <xdr:pic>
      <xdr:nvPicPr>
        <xdr:cNvPr id="337" name="Grafik 264" descr="003287_S1093_blau auf weiß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22499" y="152421166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3</xdr:col>
      <xdr:colOff>381000</xdr:colOff>
      <xdr:row>169</xdr:row>
      <xdr:rowOff>266700</xdr:rowOff>
    </xdr:to>
    <xdr:pic>
      <xdr:nvPicPr>
        <xdr:cNvPr id="340" name="Picture 24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65151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3</xdr:col>
      <xdr:colOff>476250</xdr:colOff>
      <xdr:row>325</xdr:row>
      <xdr:rowOff>333375</xdr:rowOff>
    </xdr:to>
    <xdr:pic>
      <xdr:nvPicPr>
        <xdr:cNvPr id="336" name="Picture 10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085975" y="183451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326</xdr:row>
      <xdr:rowOff>19050</xdr:rowOff>
    </xdr:from>
    <xdr:to>
      <xdr:col>3</xdr:col>
      <xdr:colOff>476250</xdr:colOff>
      <xdr:row>326</xdr:row>
      <xdr:rowOff>504825</xdr:rowOff>
    </xdr:to>
    <xdr:pic>
      <xdr:nvPicPr>
        <xdr:cNvPr id="351" name="Picture 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85975" y="18289905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3</xdr:col>
      <xdr:colOff>476250</xdr:colOff>
      <xdr:row>327</xdr:row>
      <xdr:rowOff>485775</xdr:rowOff>
    </xdr:to>
    <xdr:pic>
      <xdr:nvPicPr>
        <xdr:cNvPr id="338" name="Picture 1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286000" y="5886450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466725</xdr:colOff>
      <xdr:row>318</xdr:row>
      <xdr:rowOff>390525</xdr:rowOff>
    </xdr:to>
    <xdr:pic>
      <xdr:nvPicPr>
        <xdr:cNvPr id="339" name="Grafik 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171700" y="309876825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419100</xdr:colOff>
      <xdr:row>323</xdr:row>
      <xdr:rowOff>400050</xdr:rowOff>
    </xdr:to>
    <xdr:pic>
      <xdr:nvPicPr>
        <xdr:cNvPr id="354" name="Grafik 2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171700" y="313162950"/>
          <a:ext cx="400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495300</xdr:colOff>
      <xdr:row>174</xdr:row>
      <xdr:rowOff>352425</xdr:rowOff>
    </xdr:to>
    <xdr:pic>
      <xdr:nvPicPr>
        <xdr:cNvPr id="360" name="Picture 1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220383" y="9984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324</xdr:row>
      <xdr:rowOff>10583</xdr:rowOff>
    </xdr:from>
    <xdr:to>
      <xdr:col>3</xdr:col>
      <xdr:colOff>486833</xdr:colOff>
      <xdr:row>324</xdr:row>
      <xdr:rowOff>343958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211916" y="189558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328</xdr:row>
      <xdr:rowOff>21166</xdr:rowOff>
    </xdr:from>
    <xdr:to>
      <xdr:col>3</xdr:col>
      <xdr:colOff>486833</xdr:colOff>
      <xdr:row>328</xdr:row>
      <xdr:rowOff>354541</xdr:rowOff>
    </xdr:to>
    <xdr:pic>
      <xdr:nvPicPr>
        <xdr:cNvPr id="361" name="Picture 2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11916" y="189568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21168</xdr:colOff>
      <xdr:row>70</xdr:row>
      <xdr:rowOff>10585</xdr:rowOff>
    </xdr:from>
    <xdr:to>
      <xdr:col>3</xdr:col>
      <xdr:colOff>497418</xdr:colOff>
      <xdr:row>70</xdr:row>
      <xdr:rowOff>343960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222501" y="4153958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71</xdr:row>
      <xdr:rowOff>10583</xdr:rowOff>
    </xdr:from>
    <xdr:to>
      <xdr:col>3</xdr:col>
      <xdr:colOff>486833</xdr:colOff>
      <xdr:row>71</xdr:row>
      <xdr:rowOff>343958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211916" y="42111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72</xdr:row>
      <xdr:rowOff>10583</xdr:rowOff>
    </xdr:from>
    <xdr:to>
      <xdr:col>3</xdr:col>
      <xdr:colOff>486833</xdr:colOff>
      <xdr:row>72</xdr:row>
      <xdr:rowOff>343958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211916" y="426825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73</xdr:row>
      <xdr:rowOff>10583</xdr:rowOff>
    </xdr:from>
    <xdr:to>
      <xdr:col>3</xdr:col>
      <xdr:colOff>486833</xdr:colOff>
      <xdr:row>73</xdr:row>
      <xdr:rowOff>343958</xdr:rowOff>
    </xdr:to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211916" y="43254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74</xdr:row>
      <xdr:rowOff>10583</xdr:rowOff>
    </xdr:from>
    <xdr:to>
      <xdr:col>3</xdr:col>
      <xdr:colOff>486833</xdr:colOff>
      <xdr:row>74</xdr:row>
      <xdr:rowOff>343958</xdr:rowOff>
    </xdr:to>
    <xdr:pic>
      <xdr:nvPicPr>
        <xdr:cNvPr id="33" name="Picture 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211916" y="438255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100</xdr:row>
      <xdr:rowOff>21166</xdr:rowOff>
    </xdr:from>
    <xdr:to>
      <xdr:col>3</xdr:col>
      <xdr:colOff>497416</xdr:colOff>
      <xdr:row>100</xdr:row>
      <xdr:rowOff>354541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222499" y="58695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101</xdr:row>
      <xdr:rowOff>21166</xdr:rowOff>
    </xdr:from>
    <xdr:to>
      <xdr:col>3</xdr:col>
      <xdr:colOff>497416</xdr:colOff>
      <xdr:row>101</xdr:row>
      <xdr:rowOff>354541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222499" y="59266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102</xdr:row>
      <xdr:rowOff>21166</xdr:rowOff>
    </xdr:from>
    <xdr:to>
      <xdr:col>3</xdr:col>
      <xdr:colOff>497416</xdr:colOff>
      <xdr:row>102</xdr:row>
      <xdr:rowOff>354541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222499" y="59838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107</xdr:row>
      <xdr:rowOff>21166</xdr:rowOff>
    </xdr:from>
    <xdr:to>
      <xdr:col>3</xdr:col>
      <xdr:colOff>497416</xdr:colOff>
      <xdr:row>107</xdr:row>
      <xdr:rowOff>354541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222499" y="62695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108</xdr:row>
      <xdr:rowOff>21166</xdr:rowOff>
    </xdr:from>
    <xdr:to>
      <xdr:col>3</xdr:col>
      <xdr:colOff>497416</xdr:colOff>
      <xdr:row>108</xdr:row>
      <xdr:rowOff>354541</xdr:rowOff>
    </xdr:to>
    <xdr:pic>
      <xdr:nvPicPr>
        <xdr:cNvPr id="35" name="Picture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222499" y="63267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109</xdr:row>
      <xdr:rowOff>21166</xdr:rowOff>
    </xdr:from>
    <xdr:to>
      <xdr:col>3</xdr:col>
      <xdr:colOff>497416</xdr:colOff>
      <xdr:row>109</xdr:row>
      <xdr:rowOff>354541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222499" y="63838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315</xdr:row>
      <xdr:rowOff>31749</xdr:rowOff>
    </xdr:from>
    <xdr:to>
      <xdr:col>3</xdr:col>
      <xdr:colOff>486833</xdr:colOff>
      <xdr:row>315</xdr:row>
      <xdr:rowOff>365124</xdr:rowOff>
    </xdr:to>
    <xdr:pic>
      <xdr:nvPicPr>
        <xdr:cNvPr id="37" name="Picture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211916" y="1821497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172</xdr:row>
      <xdr:rowOff>31749</xdr:rowOff>
    </xdr:from>
    <xdr:to>
      <xdr:col>3</xdr:col>
      <xdr:colOff>486773</xdr:colOff>
      <xdr:row>172</xdr:row>
      <xdr:rowOff>365082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FEDF1EC9-2DB6-4896-AF13-9168099C9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211916" y="99853749"/>
          <a:ext cx="476190" cy="333333"/>
        </a:xfrm>
        <a:prstGeom prst="rect">
          <a:avLst/>
        </a:prstGeom>
      </xdr:spPr>
    </xdr:pic>
    <xdr:clientData fLocksWithSheet="0"/>
  </xdr:twoCellAnchor>
  <xdr:twoCellAnchor>
    <xdr:from>
      <xdr:col>3</xdr:col>
      <xdr:colOff>21166</xdr:colOff>
      <xdr:row>307</xdr:row>
      <xdr:rowOff>21166</xdr:rowOff>
    </xdr:from>
    <xdr:to>
      <xdr:col>3</xdr:col>
      <xdr:colOff>497356</xdr:colOff>
      <xdr:row>307</xdr:row>
      <xdr:rowOff>354499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E363A9B9-4DC0-4838-A591-9A35291E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222499" y="176995666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31750</xdr:colOff>
      <xdr:row>299</xdr:row>
      <xdr:rowOff>31750</xdr:rowOff>
    </xdr:from>
    <xdr:to>
      <xdr:col>3</xdr:col>
      <xdr:colOff>508000</xdr:colOff>
      <xdr:row>299</xdr:row>
      <xdr:rowOff>365125</xdr:rowOff>
    </xdr:to>
    <xdr:pic>
      <xdr:nvPicPr>
        <xdr:cNvPr id="376" name="Picture 164">
          <a:extLst>
            <a:ext uri="{FF2B5EF4-FFF2-40B4-BE49-F238E27FC236}">
              <a16:creationId xmlns:a16="http://schemas.microsoft.com/office/drawing/2014/main" id="{7A8BFCC1-F0BA-4D24-9E9A-890241DF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233083" y="173005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21166</xdr:colOff>
      <xdr:row>300</xdr:row>
      <xdr:rowOff>31749</xdr:rowOff>
    </xdr:from>
    <xdr:to>
      <xdr:col>3</xdr:col>
      <xdr:colOff>497416</xdr:colOff>
      <xdr:row>300</xdr:row>
      <xdr:rowOff>365124</xdr:rowOff>
    </xdr:to>
    <xdr:pic>
      <xdr:nvPicPr>
        <xdr:cNvPr id="365" name="Picture 170">
          <a:extLst>
            <a:ext uri="{FF2B5EF4-FFF2-40B4-BE49-F238E27FC236}">
              <a16:creationId xmlns:a16="http://schemas.microsoft.com/office/drawing/2014/main" id="{7E602FCF-9617-4960-BC7D-1DBCAA772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222499" y="1735772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21166</xdr:colOff>
      <xdr:row>332</xdr:row>
      <xdr:rowOff>21166</xdr:rowOff>
    </xdr:from>
    <xdr:to>
      <xdr:col>3</xdr:col>
      <xdr:colOff>497356</xdr:colOff>
      <xdr:row>332</xdr:row>
      <xdr:rowOff>354499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C32F6B19-9E12-4CEB-947B-FC2A594E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222499" y="188510333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333</xdr:row>
      <xdr:rowOff>21166</xdr:rowOff>
    </xdr:from>
    <xdr:to>
      <xdr:col>3</xdr:col>
      <xdr:colOff>497356</xdr:colOff>
      <xdr:row>333</xdr:row>
      <xdr:rowOff>354499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DC838455-E198-414A-8EAB-ABB1A76E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22499" y="189081833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334</xdr:row>
      <xdr:rowOff>21166</xdr:rowOff>
    </xdr:from>
    <xdr:to>
      <xdr:col>3</xdr:col>
      <xdr:colOff>497356</xdr:colOff>
      <xdr:row>334</xdr:row>
      <xdr:rowOff>354499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C86831B5-2351-4F54-B15C-64BEF4F3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222499" y="189653333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342</xdr:row>
      <xdr:rowOff>10583</xdr:rowOff>
    </xdr:from>
    <xdr:to>
      <xdr:col>3</xdr:col>
      <xdr:colOff>497416</xdr:colOff>
      <xdr:row>342</xdr:row>
      <xdr:rowOff>343958</xdr:rowOff>
    </xdr:to>
    <xdr:pic>
      <xdr:nvPicPr>
        <xdr:cNvPr id="377" name="Picture 11">
          <a:extLst>
            <a:ext uri="{FF2B5EF4-FFF2-40B4-BE49-F238E27FC236}">
              <a16:creationId xmlns:a16="http://schemas.microsoft.com/office/drawing/2014/main" id="{B0312203-2B46-48BA-9784-8A4D8EAAA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22499" y="190214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341</xdr:row>
      <xdr:rowOff>10583</xdr:rowOff>
    </xdr:from>
    <xdr:to>
      <xdr:col>3</xdr:col>
      <xdr:colOff>497416</xdr:colOff>
      <xdr:row>341</xdr:row>
      <xdr:rowOff>343958</xdr:rowOff>
    </xdr:to>
    <xdr:pic>
      <xdr:nvPicPr>
        <xdr:cNvPr id="379" name="Picture 16">
          <a:extLst>
            <a:ext uri="{FF2B5EF4-FFF2-40B4-BE49-F238E27FC236}">
              <a16:creationId xmlns:a16="http://schemas.microsoft.com/office/drawing/2014/main" id="{8AA8125B-2A94-471E-87D5-9B963EBAF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22499" y="190785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339</xdr:row>
      <xdr:rowOff>21166</xdr:rowOff>
    </xdr:from>
    <xdr:to>
      <xdr:col>3</xdr:col>
      <xdr:colOff>497416</xdr:colOff>
      <xdr:row>339</xdr:row>
      <xdr:rowOff>354541</xdr:rowOff>
    </xdr:to>
    <xdr:pic>
      <xdr:nvPicPr>
        <xdr:cNvPr id="380" name="Picture 14">
          <a:extLst>
            <a:ext uri="{FF2B5EF4-FFF2-40B4-BE49-F238E27FC236}">
              <a16:creationId xmlns:a16="http://schemas.microsoft.com/office/drawing/2014/main" id="{2E4B12A7-9629-4CA4-AE08-6EEFA303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22499" y="19136783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340</xdr:row>
      <xdr:rowOff>10583</xdr:rowOff>
    </xdr:from>
    <xdr:to>
      <xdr:col>3</xdr:col>
      <xdr:colOff>497416</xdr:colOff>
      <xdr:row>340</xdr:row>
      <xdr:rowOff>343958</xdr:rowOff>
    </xdr:to>
    <xdr:pic>
      <xdr:nvPicPr>
        <xdr:cNvPr id="381" name="Picture 18">
          <a:extLst>
            <a:ext uri="{FF2B5EF4-FFF2-40B4-BE49-F238E27FC236}">
              <a16:creationId xmlns:a16="http://schemas.microsoft.com/office/drawing/2014/main" id="{736F8AF4-1DEC-435F-885A-9F67A7075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22499" y="191928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335</xdr:row>
      <xdr:rowOff>21166</xdr:rowOff>
    </xdr:from>
    <xdr:to>
      <xdr:col>3</xdr:col>
      <xdr:colOff>497416</xdr:colOff>
      <xdr:row>335</xdr:row>
      <xdr:rowOff>354541</xdr:rowOff>
    </xdr:to>
    <xdr:pic>
      <xdr:nvPicPr>
        <xdr:cNvPr id="362" name="Picture 1">
          <a:extLst>
            <a:ext uri="{FF2B5EF4-FFF2-40B4-BE49-F238E27FC236}">
              <a16:creationId xmlns:a16="http://schemas.microsoft.com/office/drawing/2014/main" id="{AC97C2D9-65FE-484F-A2A9-BE24E2DB6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22499" y="190140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31750</xdr:colOff>
      <xdr:row>336</xdr:row>
      <xdr:rowOff>52918</xdr:rowOff>
    </xdr:from>
    <xdr:to>
      <xdr:col>3</xdr:col>
      <xdr:colOff>497476</xdr:colOff>
      <xdr:row>336</xdr:row>
      <xdr:rowOff>378926</xdr:rowOff>
    </xdr:to>
    <xdr:pic>
      <xdr:nvPicPr>
        <xdr:cNvPr id="378" name="Picture 82">
          <a:extLst>
            <a:ext uri="{FF2B5EF4-FFF2-40B4-BE49-F238E27FC236}">
              <a16:creationId xmlns:a16="http://schemas.microsoft.com/office/drawing/2014/main" id="{22B06A4A-E5AC-4826-9910-5E50FAB82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33083" y="190743418"/>
          <a:ext cx="465726" cy="326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21167</xdr:colOff>
      <xdr:row>337</xdr:row>
      <xdr:rowOff>79376</xdr:rowOff>
    </xdr:from>
    <xdr:to>
      <xdr:col>3</xdr:col>
      <xdr:colOff>486893</xdr:colOff>
      <xdr:row>337</xdr:row>
      <xdr:rowOff>414699</xdr:rowOff>
    </xdr:to>
    <xdr:pic>
      <xdr:nvPicPr>
        <xdr:cNvPr id="382" name="Picture 85">
          <a:extLst>
            <a:ext uri="{FF2B5EF4-FFF2-40B4-BE49-F238E27FC236}">
              <a16:creationId xmlns:a16="http://schemas.microsoft.com/office/drawing/2014/main" id="{DE87AB3C-840D-4B2B-9340-FD7C423E4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22500" y="191341376"/>
          <a:ext cx="465726" cy="335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31750</xdr:colOff>
      <xdr:row>338</xdr:row>
      <xdr:rowOff>74084</xdr:rowOff>
    </xdr:from>
    <xdr:to>
      <xdr:col>3</xdr:col>
      <xdr:colOff>497417</xdr:colOff>
      <xdr:row>338</xdr:row>
      <xdr:rowOff>400051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D5C3134B-6ADF-443B-A117-2F5355FFF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233083" y="191907584"/>
          <a:ext cx="465667" cy="325967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343</xdr:row>
      <xdr:rowOff>31749</xdr:rowOff>
    </xdr:from>
    <xdr:to>
      <xdr:col>3</xdr:col>
      <xdr:colOff>497416</xdr:colOff>
      <xdr:row>343</xdr:row>
      <xdr:rowOff>365124</xdr:rowOff>
    </xdr:to>
    <xdr:pic>
      <xdr:nvPicPr>
        <xdr:cNvPr id="384" name="Picture 151">
          <a:extLst>
            <a:ext uri="{FF2B5EF4-FFF2-40B4-BE49-F238E27FC236}">
              <a16:creationId xmlns:a16="http://schemas.microsoft.com/office/drawing/2014/main" id="{12258F29-DF9D-4EFC-B676-15351B77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22499" y="1952942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31749</xdr:colOff>
      <xdr:row>304</xdr:row>
      <xdr:rowOff>52915</xdr:rowOff>
    </xdr:from>
    <xdr:to>
      <xdr:col>3</xdr:col>
      <xdr:colOff>507939</xdr:colOff>
      <xdr:row>304</xdr:row>
      <xdr:rowOff>386248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3A0738B5-953E-4A25-8E03-ABEA8B85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233082" y="175312915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137583</xdr:colOff>
      <xdr:row>344</xdr:row>
      <xdr:rowOff>105833</xdr:rowOff>
    </xdr:from>
    <xdr:to>
      <xdr:col>3</xdr:col>
      <xdr:colOff>451908</xdr:colOff>
      <xdr:row>344</xdr:row>
      <xdr:rowOff>420158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098C4B08-7F7B-48AF-BE4D-2310E8BA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338916" y="196511333"/>
          <a:ext cx="314325" cy="3143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276225</xdr:colOff>
      <xdr:row>32</xdr:row>
      <xdr:rowOff>381000</xdr:rowOff>
    </xdr:to>
    <xdr:pic>
      <xdr:nvPicPr>
        <xdr:cNvPr id="388" name="Picture 6">
          <a:extLst>
            <a:ext uri="{FF2B5EF4-FFF2-40B4-BE49-F238E27FC236}">
              <a16:creationId xmlns:a16="http://schemas.microsoft.com/office/drawing/2014/main" id="{2EDD4E09-884F-4678-B5F6-2DCD2FD9F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200275" y="17526000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345</xdr:row>
      <xdr:rowOff>127001</xdr:rowOff>
    </xdr:from>
    <xdr:to>
      <xdr:col>3</xdr:col>
      <xdr:colOff>465667</xdr:colOff>
      <xdr:row>345</xdr:row>
      <xdr:rowOff>497418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5017B8E8-97EF-42F2-B25B-5218D6C2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96583" y="195961001"/>
          <a:ext cx="370417" cy="370417"/>
        </a:xfrm>
        <a:prstGeom prst="rect">
          <a:avLst/>
        </a:prstGeom>
      </xdr:spPr>
    </xdr:pic>
    <xdr:clientData/>
  </xdr:twoCellAnchor>
  <xdr:twoCellAnchor>
    <xdr:from>
      <xdr:col>3</xdr:col>
      <xdr:colOff>42332</xdr:colOff>
      <xdr:row>346</xdr:row>
      <xdr:rowOff>42332</xdr:rowOff>
    </xdr:from>
    <xdr:to>
      <xdr:col>3</xdr:col>
      <xdr:colOff>499532</xdr:colOff>
      <xdr:row>346</xdr:row>
      <xdr:rowOff>362372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1DCA7677-AEAC-4FAE-89DC-4967C12B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5" y="196447832"/>
          <a:ext cx="457200" cy="320040"/>
        </a:xfrm>
        <a:prstGeom prst="rect">
          <a:avLst/>
        </a:prstGeom>
      </xdr:spPr>
    </xdr:pic>
    <xdr:clientData/>
  </xdr:twoCellAnchor>
  <xdr:twoCellAnchor>
    <xdr:from>
      <xdr:col>3</xdr:col>
      <xdr:colOff>52915</xdr:colOff>
      <xdr:row>9</xdr:row>
      <xdr:rowOff>63498</xdr:rowOff>
    </xdr:from>
    <xdr:to>
      <xdr:col>3</xdr:col>
      <xdr:colOff>510115</xdr:colOff>
      <xdr:row>9</xdr:row>
      <xdr:rowOff>383538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A776889E-B277-4F36-A1F2-19E0B2E9E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48" y="172465998"/>
          <a:ext cx="457200" cy="3200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3</xdr:col>
      <xdr:colOff>476190</xdr:colOff>
      <xdr:row>295</xdr:row>
      <xdr:rowOff>333333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F056768E-8C8C-4C40-93C8-67A0B5BA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200275" y="167830500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347</xdr:row>
      <xdr:rowOff>38100</xdr:rowOff>
    </xdr:from>
    <xdr:to>
      <xdr:col>3</xdr:col>
      <xdr:colOff>504825</xdr:colOff>
      <xdr:row>347</xdr:row>
      <xdr:rowOff>358140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A1EC2158-544A-4202-872A-43B66D39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98158100"/>
          <a:ext cx="457200" cy="320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7</xdr:col>
      <xdr:colOff>647700</xdr:colOff>
      <xdr:row>21</xdr:row>
      <xdr:rowOff>123825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F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5943600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38100</xdr:rowOff>
    </xdr:from>
    <xdr:to>
      <xdr:col>7</xdr:col>
      <xdr:colOff>628650</xdr:colOff>
      <xdr:row>42</xdr:row>
      <xdr:rowOff>114300</xdr:rowOff>
    </xdr:to>
    <xdr:pic>
      <xdr:nvPicPr>
        <xdr:cNvPr id="4098" name="Picture 2">
          <a:extLst>
            <a:ext uri="{FF2B5EF4-FFF2-40B4-BE49-F238E27FC236}">
              <a16:creationId xmlns:a16="http://schemas.microsoft.com/office/drawing/2014/main" id="{00000000-0008-0000-0F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600450"/>
          <a:ext cx="5962650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1</xdr:row>
      <xdr:rowOff>133350</xdr:rowOff>
    </xdr:from>
    <xdr:to>
      <xdr:col>16</xdr:col>
      <xdr:colOff>171450</xdr:colOff>
      <xdr:row>21</xdr:row>
      <xdr:rowOff>85725</xdr:rowOff>
    </xdr:to>
    <xdr:pic>
      <xdr:nvPicPr>
        <xdr:cNvPr id="4099" name="Picture 3">
          <a:extLst>
            <a:ext uri="{FF2B5EF4-FFF2-40B4-BE49-F238E27FC236}">
              <a16:creationId xmlns:a16="http://schemas.microsoft.com/office/drawing/2014/main" id="{00000000-0008-0000-0F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48425" y="295275"/>
          <a:ext cx="591502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23</xdr:row>
      <xdr:rowOff>9525</xdr:rowOff>
    </xdr:from>
    <xdr:to>
      <xdr:col>16</xdr:col>
      <xdr:colOff>238125</xdr:colOff>
      <xdr:row>38</xdr:row>
      <xdr:rowOff>85725</xdr:rowOff>
    </xdr:to>
    <xdr:pic>
      <xdr:nvPicPr>
        <xdr:cNvPr id="4100" name="Picture 1"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24575" y="3733800"/>
          <a:ext cx="630555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2</xdr:col>
      <xdr:colOff>352425</xdr:colOff>
      <xdr:row>28</xdr:row>
      <xdr:rowOff>47625</xdr:rowOff>
    </xdr:to>
    <xdr:sp macro="" textlink="">
      <xdr:nvSpPr>
        <xdr:cNvPr id="5121" name="Picture 1">
          <a:extLst>
            <a:ext uri="{FF2B5EF4-FFF2-40B4-BE49-F238E27FC236}">
              <a16:creationId xmlns:a16="http://schemas.microsoft.com/office/drawing/2014/main" id="{00000000-0008-0000-10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0" y="438150"/>
          <a:ext cx="1876425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733425</xdr:colOff>
      <xdr:row>3</xdr:row>
      <xdr:rowOff>57150</xdr:rowOff>
    </xdr:from>
    <xdr:to>
      <xdr:col>6</xdr:col>
      <xdr:colOff>466725</xdr:colOff>
      <xdr:row>27</xdr:row>
      <xdr:rowOff>76200</xdr:rowOff>
    </xdr:to>
    <xdr:sp macro="" textlink="">
      <xdr:nvSpPr>
        <xdr:cNvPr id="5122" name="Picture 2">
          <a:extLst>
            <a:ext uri="{FF2B5EF4-FFF2-40B4-BE49-F238E27FC236}">
              <a16:creationId xmlns:a16="http://schemas.microsoft.com/office/drawing/2014/main" id="{00000000-0008-0000-10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257425" y="647700"/>
          <a:ext cx="2781300" cy="390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</xdr:row>
      <xdr:rowOff>9525</xdr:rowOff>
    </xdr:from>
    <xdr:to>
      <xdr:col>2</xdr:col>
      <xdr:colOff>352425</xdr:colOff>
      <xdr:row>28</xdr:row>
      <xdr:rowOff>38100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10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1876425" cy="423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</xdr:row>
      <xdr:rowOff>19050</xdr:rowOff>
    </xdr:from>
    <xdr:to>
      <xdr:col>6</xdr:col>
      <xdr:colOff>190500</xdr:colOff>
      <xdr:row>26</xdr:row>
      <xdr:rowOff>28575</xdr:rowOff>
    </xdr:to>
    <xdr:pic>
      <xdr:nvPicPr>
        <xdr:cNvPr id="5124" name="Picture 2">
          <a:extLst>
            <a:ext uri="{FF2B5EF4-FFF2-40B4-BE49-F238E27FC236}">
              <a16:creationId xmlns:a16="http://schemas.microsoft.com/office/drawing/2014/main" id="{00000000-0008-0000-10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447675"/>
          <a:ext cx="2781300" cy="389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34636</xdr:colOff>
      <xdr:row>71</xdr:row>
      <xdr:rowOff>25977</xdr:rowOff>
    </xdr:from>
    <xdr:to>
      <xdr:col>5</xdr:col>
      <xdr:colOff>510886</xdr:colOff>
      <xdr:row>71</xdr:row>
      <xdr:rowOff>359352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01608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74</xdr:row>
      <xdr:rowOff>25977</xdr:rowOff>
    </xdr:from>
    <xdr:to>
      <xdr:col>5</xdr:col>
      <xdr:colOff>510886</xdr:colOff>
      <xdr:row>74</xdr:row>
      <xdr:rowOff>359352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1459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73</xdr:row>
      <xdr:rowOff>25977</xdr:rowOff>
    </xdr:from>
    <xdr:to>
      <xdr:col>5</xdr:col>
      <xdr:colOff>510886</xdr:colOff>
      <xdr:row>73</xdr:row>
      <xdr:rowOff>359352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1026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70</xdr:row>
      <xdr:rowOff>25977</xdr:rowOff>
    </xdr:from>
    <xdr:to>
      <xdr:col>5</xdr:col>
      <xdr:colOff>510886</xdr:colOff>
      <xdr:row>70</xdr:row>
      <xdr:rowOff>359352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39727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</xdr:row>
      <xdr:rowOff>25977</xdr:rowOff>
    </xdr:from>
    <xdr:to>
      <xdr:col>5</xdr:col>
      <xdr:colOff>510886</xdr:colOff>
      <xdr:row>37</xdr:row>
      <xdr:rowOff>359352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1232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38</xdr:row>
      <xdr:rowOff>25977</xdr:rowOff>
    </xdr:from>
    <xdr:to>
      <xdr:col>5</xdr:col>
      <xdr:colOff>510886</xdr:colOff>
      <xdr:row>38</xdr:row>
      <xdr:rowOff>359352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1803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</xdr:row>
      <xdr:rowOff>25977</xdr:rowOff>
    </xdr:from>
    <xdr:to>
      <xdr:col>5</xdr:col>
      <xdr:colOff>510886</xdr:colOff>
      <xdr:row>41</xdr:row>
      <xdr:rowOff>359352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3102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</xdr:row>
      <xdr:rowOff>25977</xdr:rowOff>
    </xdr:from>
    <xdr:to>
      <xdr:col>5</xdr:col>
      <xdr:colOff>510886</xdr:colOff>
      <xdr:row>42</xdr:row>
      <xdr:rowOff>359352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3535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</xdr:row>
      <xdr:rowOff>25977</xdr:rowOff>
    </xdr:from>
    <xdr:to>
      <xdr:col>5</xdr:col>
      <xdr:colOff>510886</xdr:colOff>
      <xdr:row>43</xdr:row>
      <xdr:rowOff>359352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3968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</xdr:row>
      <xdr:rowOff>25977</xdr:rowOff>
    </xdr:from>
    <xdr:to>
      <xdr:col>5</xdr:col>
      <xdr:colOff>510886</xdr:colOff>
      <xdr:row>44</xdr:row>
      <xdr:rowOff>359352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4401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190</xdr:row>
      <xdr:rowOff>25977</xdr:rowOff>
    </xdr:from>
    <xdr:to>
      <xdr:col>5</xdr:col>
      <xdr:colOff>510886</xdr:colOff>
      <xdr:row>190</xdr:row>
      <xdr:rowOff>359352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9692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187</xdr:row>
      <xdr:rowOff>25977</xdr:rowOff>
    </xdr:from>
    <xdr:to>
      <xdr:col>5</xdr:col>
      <xdr:colOff>510886</xdr:colOff>
      <xdr:row>187</xdr:row>
      <xdr:rowOff>359352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8826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186</xdr:row>
      <xdr:rowOff>25977</xdr:rowOff>
    </xdr:from>
    <xdr:to>
      <xdr:col>5</xdr:col>
      <xdr:colOff>510886</xdr:colOff>
      <xdr:row>186</xdr:row>
      <xdr:rowOff>359352</xdr:rowOff>
    </xdr:to>
    <xdr:pic>
      <xdr:nvPicPr>
        <xdr:cNvPr id="20" name="Picture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8254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193</xdr:row>
      <xdr:rowOff>25977</xdr:rowOff>
    </xdr:from>
    <xdr:to>
      <xdr:col>5</xdr:col>
      <xdr:colOff>510886</xdr:colOff>
      <xdr:row>193</xdr:row>
      <xdr:rowOff>359352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0990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183</xdr:row>
      <xdr:rowOff>25977</xdr:rowOff>
    </xdr:from>
    <xdr:to>
      <xdr:col>5</xdr:col>
      <xdr:colOff>510886</xdr:colOff>
      <xdr:row>183</xdr:row>
      <xdr:rowOff>359352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7111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184</xdr:row>
      <xdr:rowOff>25977</xdr:rowOff>
    </xdr:from>
    <xdr:to>
      <xdr:col>5</xdr:col>
      <xdr:colOff>510886</xdr:colOff>
      <xdr:row>184</xdr:row>
      <xdr:rowOff>359352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7683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251</xdr:row>
      <xdr:rowOff>25977</xdr:rowOff>
    </xdr:from>
    <xdr:to>
      <xdr:col>5</xdr:col>
      <xdr:colOff>510886</xdr:colOff>
      <xdr:row>251</xdr:row>
      <xdr:rowOff>359352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9661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249</xdr:row>
      <xdr:rowOff>25977</xdr:rowOff>
    </xdr:from>
    <xdr:to>
      <xdr:col>5</xdr:col>
      <xdr:colOff>510886</xdr:colOff>
      <xdr:row>249</xdr:row>
      <xdr:rowOff>359352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8518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250</xdr:row>
      <xdr:rowOff>25977</xdr:rowOff>
    </xdr:from>
    <xdr:to>
      <xdr:col>5</xdr:col>
      <xdr:colOff>510886</xdr:colOff>
      <xdr:row>250</xdr:row>
      <xdr:rowOff>359352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9089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247</xdr:row>
      <xdr:rowOff>25977</xdr:rowOff>
    </xdr:from>
    <xdr:to>
      <xdr:col>5</xdr:col>
      <xdr:colOff>510886</xdr:colOff>
      <xdr:row>247</xdr:row>
      <xdr:rowOff>359352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7652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246</xdr:row>
      <xdr:rowOff>25977</xdr:rowOff>
    </xdr:from>
    <xdr:to>
      <xdr:col>5</xdr:col>
      <xdr:colOff>510886</xdr:colOff>
      <xdr:row>246</xdr:row>
      <xdr:rowOff>359352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7219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245</xdr:row>
      <xdr:rowOff>25977</xdr:rowOff>
    </xdr:from>
    <xdr:to>
      <xdr:col>5</xdr:col>
      <xdr:colOff>510886</xdr:colOff>
      <xdr:row>245</xdr:row>
      <xdr:rowOff>359352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6786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</xdr:row>
      <xdr:rowOff>25977</xdr:rowOff>
    </xdr:from>
    <xdr:to>
      <xdr:col>5</xdr:col>
      <xdr:colOff>510886</xdr:colOff>
      <xdr:row>29</xdr:row>
      <xdr:rowOff>359352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6504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</xdr:row>
      <xdr:rowOff>25977</xdr:rowOff>
    </xdr:from>
    <xdr:to>
      <xdr:col>5</xdr:col>
      <xdr:colOff>510886</xdr:colOff>
      <xdr:row>30</xdr:row>
      <xdr:rowOff>359352</xdr:rowOff>
    </xdr:to>
    <xdr:pic>
      <xdr:nvPicPr>
        <xdr:cNvPr id="32" name="Picture 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7075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</xdr:row>
      <xdr:rowOff>25977</xdr:rowOff>
    </xdr:from>
    <xdr:to>
      <xdr:col>5</xdr:col>
      <xdr:colOff>510886</xdr:colOff>
      <xdr:row>31</xdr:row>
      <xdr:rowOff>359352</xdr:rowOff>
    </xdr:to>
    <xdr:pic>
      <xdr:nvPicPr>
        <xdr:cNvPr id="33" name="Picture 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7647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</xdr:row>
      <xdr:rowOff>25977</xdr:rowOff>
    </xdr:from>
    <xdr:to>
      <xdr:col>5</xdr:col>
      <xdr:colOff>510886</xdr:colOff>
      <xdr:row>32</xdr:row>
      <xdr:rowOff>359352</xdr:rowOff>
    </xdr:to>
    <xdr:pic>
      <xdr:nvPicPr>
        <xdr:cNvPr id="34" name="Picture 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8080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</xdr:row>
      <xdr:rowOff>25977</xdr:rowOff>
    </xdr:from>
    <xdr:to>
      <xdr:col>5</xdr:col>
      <xdr:colOff>510886</xdr:colOff>
      <xdr:row>34</xdr:row>
      <xdr:rowOff>359352</xdr:rowOff>
    </xdr:to>
    <xdr:pic>
      <xdr:nvPicPr>
        <xdr:cNvPr id="35" name="Picture 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9370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</xdr:row>
      <xdr:rowOff>25977</xdr:rowOff>
    </xdr:from>
    <xdr:to>
      <xdr:col>5</xdr:col>
      <xdr:colOff>510886</xdr:colOff>
      <xdr:row>35</xdr:row>
      <xdr:rowOff>359352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20089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</xdr:row>
      <xdr:rowOff>25977</xdr:rowOff>
    </xdr:from>
    <xdr:to>
      <xdr:col>5</xdr:col>
      <xdr:colOff>510886</xdr:colOff>
      <xdr:row>36</xdr:row>
      <xdr:rowOff>359352</xdr:rowOff>
    </xdr:to>
    <xdr:pic>
      <xdr:nvPicPr>
        <xdr:cNvPr id="37" name="Picture 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20660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295</xdr:row>
      <xdr:rowOff>35502</xdr:rowOff>
    </xdr:from>
    <xdr:to>
      <xdr:col>5</xdr:col>
      <xdr:colOff>520411</xdr:colOff>
      <xdr:row>295</xdr:row>
      <xdr:rowOff>368877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00275" y="15671309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292</xdr:row>
      <xdr:rowOff>25977</xdr:rowOff>
    </xdr:from>
    <xdr:to>
      <xdr:col>5</xdr:col>
      <xdr:colOff>510886</xdr:colOff>
      <xdr:row>292</xdr:row>
      <xdr:rowOff>359352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0" y="155266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291</xdr:row>
      <xdr:rowOff>25977</xdr:rowOff>
    </xdr:from>
    <xdr:to>
      <xdr:col>5</xdr:col>
      <xdr:colOff>510886</xdr:colOff>
      <xdr:row>291</xdr:row>
      <xdr:rowOff>359352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0" y="154547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293</xdr:row>
      <xdr:rowOff>25977</xdr:rowOff>
    </xdr:from>
    <xdr:to>
      <xdr:col>5</xdr:col>
      <xdr:colOff>510886</xdr:colOff>
      <xdr:row>293</xdr:row>
      <xdr:rowOff>359352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0" y="155699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420</xdr:row>
      <xdr:rowOff>25977</xdr:rowOff>
    </xdr:from>
    <xdr:to>
      <xdr:col>5</xdr:col>
      <xdr:colOff>510886</xdr:colOff>
      <xdr:row>420</xdr:row>
      <xdr:rowOff>359352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1239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423</xdr:row>
      <xdr:rowOff>25977</xdr:rowOff>
    </xdr:from>
    <xdr:to>
      <xdr:col>5</xdr:col>
      <xdr:colOff>510886</xdr:colOff>
      <xdr:row>423</xdr:row>
      <xdr:rowOff>359352</xdr:rowOff>
    </xdr:to>
    <xdr:pic>
      <xdr:nvPicPr>
        <xdr:cNvPr id="44" name="Picture 1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3101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421</xdr:row>
      <xdr:rowOff>25977</xdr:rowOff>
    </xdr:from>
    <xdr:to>
      <xdr:col>5</xdr:col>
      <xdr:colOff>510886</xdr:colOff>
      <xdr:row>421</xdr:row>
      <xdr:rowOff>359352</xdr:rowOff>
    </xdr:to>
    <xdr:pic>
      <xdr:nvPicPr>
        <xdr:cNvPr id="47" name="Picture 1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1811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</xdr:row>
      <xdr:rowOff>25977</xdr:rowOff>
    </xdr:from>
    <xdr:to>
      <xdr:col>5</xdr:col>
      <xdr:colOff>510886</xdr:colOff>
      <xdr:row>27</xdr:row>
      <xdr:rowOff>359352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5473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</xdr:row>
      <xdr:rowOff>25977</xdr:rowOff>
    </xdr:from>
    <xdr:to>
      <xdr:col>5</xdr:col>
      <xdr:colOff>510886</xdr:colOff>
      <xdr:row>19</xdr:row>
      <xdr:rowOff>359352</xdr:rowOff>
    </xdr:to>
    <xdr:pic>
      <xdr:nvPicPr>
        <xdr:cNvPr id="49" name="Picture 1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0460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</xdr:row>
      <xdr:rowOff>25977</xdr:rowOff>
    </xdr:from>
    <xdr:to>
      <xdr:col>5</xdr:col>
      <xdr:colOff>510886</xdr:colOff>
      <xdr:row>21</xdr:row>
      <xdr:rowOff>359352</xdr:rowOff>
    </xdr:to>
    <xdr:pic>
      <xdr:nvPicPr>
        <xdr:cNvPr id="50" name="Picture 1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1603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</xdr:row>
      <xdr:rowOff>25977</xdr:rowOff>
    </xdr:from>
    <xdr:to>
      <xdr:col>5</xdr:col>
      <xdr:colOff>510886</xdr:colOff>
      <xdr:row>24</xdr:row>
      <xdr:rowOff>359352</xdr:rowOff>
    </xdr:to>
    <xdr:pic>
      <xdr:nvPicPr>
        <xdr:cNvPr id="51" name="Picture 1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3464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</xdr:row>
      <xdr:rowOff>25977</xdr:rowOff>
    </xdr:from>
    <xdr:to>
      <xdr:col>5</xdr:col>
      <xdr:colOff>510886</xdr:colOff>
      <xdr:row>26</xdr:row>
      <xdr:rowOff>359352</xdr:rowOff>
    </xdr:to>
    <xdr:pic>
      <xdr:nvPicPr>
        <xdr:cNvPr id="52" name="Picture 1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4902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96</xdr:row>
      <xdr:rowOff>25977</xdr:rowOff>
    </xdr:from>
    <xdr:to>
      <xdr:col>5</xdr:col>
      <xdr:colOff>510886</xdr:colOff>
      <xdr:row>96</xdr:row>
      <xdr:rowOff>359352</xdr:rowOff>
    </xdr:to>
    <xdr:pic>
      <xdr:nvPicPr>
        <xdr:cNvPr id="54" name="Picture 1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3218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95</xdr:row>
      <xdr:rowOff>25977</xdr:rowOff>
    </xdr:from>
    <xdr:to>
      <xdr:col>5</xdr:col>
      <xdr:colOff>510886</xdr:colOff>
      <xdr:row>95</xdr:row>
      <xdr:rowOff>359352</xdr:rowOff>
    </xdr:to>
    <xdr:pic>
      <xdr:nvPicPr>
        <xdr:cNvPr id="55" name="Picture 1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2647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93</xdr:row>
      <xdr:rowOff>45027</xdr:rowOff>
    </xdr:from>
    <xdr:to>
      <xdr:col>5</xdr:col>
      <xdr:colOff>510886</xdr:colOff>
      <xdr:row>93</xdr:row>
      <xdr:rowOff>378402</xdr:rowOff>
    </xdr:to>
    <xdr:pic>
      <xdr:nvPicPr>
        <xdr:cNvPr id="56" name="Picture 1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15146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91</xdr:row>
      <xdr:rowOff>25977</xdr:rowOff>
    </xdr:from>
    <xdr:to>
      <xdr:col>5</xdr:col>
      <xdr:colOff>510886</xdr:colOff>
      <xdr:row>91</xdr:row>
      <xdr:rowOff>359352</xdr:rowOff>
    </xdr:to>
    <xdr:pic>
      <xdr:nvPicPr>
        <xdr:cNvPr id="57" name="Picture 1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0629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94</xdr:row>
      <xdr:rowOff>25977</xdr:rowOff>
    </xdr:from>
    <xdr:to>
      <xdr:col>5</xdr:col>
      <xdr:colOff>510886</xdr:colOff>
      <xdr:row>94</xdr:row>
      <xdr:rowOff>359352</xdr:rowOff>
    </xdr:to>
    <xdr:pic>
      <xdr:nvPicPr>
        <xdr:cNvPr id="58" name="Picture 1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19285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200</xdr:row>
      <xdr:rowOff>25977</xdr:rowOff>
    </xdr:from>
    <xdr:to>
      <xdr:col>5</xdr:col>
      <xdr:colOff>510886</xdr:colOff>
      <xdr:row>200</xdr:row>
      <xdr:rowOff>359352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2688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198</xdr:row>
      <xdr:rowOff>25977</xdr:rowOff>
    </xdr:from>
    <xdr:to>
      <xdr:col>5</xdr:col>
      <xdr:colOff>510886</xdr:colOff>
      <xdr:row>198</xdr:row>
      <xdr:rowOff>359352</xdr:rowOff>
    </xdr:to>
    <xdr:pic>
      <xdr:nvPicPr>
        <xdr:cNvPr id="60" name="Picture 1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1423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203</xdr:row>
      <xdr:rowOff>35502</xdr:rowOff>
    </xdr:from>
    <xdr:to>
      <xdr:col>5</xdr:col>
      <xdr:colOff>510886</xdr:colOff>
      <xdr:row>203</xdr:row>
      <xdr:rowOff>368877</xdr:rowOff>
    </xdr:to>
    <xdr:pic>
      <xdr:nvPicPr>
        <xdr:cNvPr id="62" name="Picture 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441218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201</xdr:row>
      <xdr:rowOff>25977</xdr:rowOff>
    </xdr:from>
    <xdr:to>
      <xdr:col>5</xdr:col>
      <xdr:colOff>510886</xdr:colOff>
      <xdr:row>201</xdr:row>
      <xdr:rowOff>359352</xdr:rowOff>
    </xdr:to>
    <xdr:pic>
      <xdr:nvPicPr>
        <xdr:cNvPr id="63" name="Picture 1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3259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199</xdr:row>
      <xdr:rowOff>25977</xdr:rowOff>
    </xdr:from>
    <xdr:to>
      <xdr:col>5</xdr:col>
      <xdr:colOff>510886</xdr:colOff>
      <xdr:row>199</xdr:row>
      <xdr:rowOff>359352</xdr:rowOff>
    </xdr:to>
    <xdr:pic>
      <xdr:nvPicPr>
        <xdr:cNvPr id="64" name="Picture 1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2056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84</xdr:row>
      <xdr:rowOff>25977</xdr:rowOff>
    </xdr:from>
    <xdr:to>
      <xdr:col>5</xdr:col>
      <xdr:colOff>510886</xdr:colOff>
      <xdr:row>84</xdr:row>
      <xdr:rowOff>359352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6049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81</xdr:row>
      <xdr:rowOff>25977</xdr:rowOff>
    </xdr:from>
    <xdr:to>
      <xdr:col>5</xdr:col>
      <xdr:colOff>510886</xdr:colOff>
      <xdr:row>81</xdr:row>
      <xdr:rowOff>359352</xdr:rowOff>
    </xdr:to>
    <xdr:pic>
      <xdr:nvPicPr>
        <xdr:cNvPr id="66" name="Picture 1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4611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90</xdr:row>
      <xdr:rowOff>25977</xdr:rowOff>
    </xdr:from>
    <xdr:to>
      <xdr:col>5</xdr:col>
      <xdr:colOff>510886</xdr:colOff>
      <xdr:row>90</xdr:row>
      <xdr:rowOff>359352</xdr:rowOff>
    </xdr:to>
    <xdr:pic>
      <xdr:nvPicPr>
        <xdr:cNvPr id="67" name="Picture 1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9772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86</xdr:row>
      <xdr:rowOff>25977</xdr:rowOff>
    </xdr:from>
    <xdr:to>
      <xdr:col>5</xdr:col>
      <xdr:colOff>510886</xdr:colOff>
      <xdr:row>86</xdr:row>
      <xdr:rowOff>359352</xdr:rowOff>
    </xdr:to>
    <xdr:pic>
      <xdr:nvPicPr>
        <xdr:cNvPr id="69" name="Picture 1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7192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80</xdr:row>
      <xdr:rowOff>25977</xdr:rowOff>
    </xdr:from>
    <xdr:to>
      <xdr:col>5</xdr:col>
      <xdr:colOff>510886</xdr:colOff>
      <xdr:row>80</xdr:row>
      <xdr:rowOff>359352</xdr:rowOff>
    </xdr:to>
    <xdr:pic>
      <xdr:nvPicPr>
        <xdr:cNvPr id="70" name="Picture 1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4178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83</xdr:row>
      <xdr:rowOff>25977</xdr:rowOff>
    </xdr:from>
    <xdr:to>
      <xdr:col>5</xdr:col>
      <xdr:colOff>510886</xdr:colOff>
      <xdr:row>83</xdr:row>
      <xdr:rowOff>359352</xdr:rowOff>
    </xdr:to>
    <xdr:pic>
      <xdr:nvPicPr>
        <xdr:cNvPr id="71" name="Picture 1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5616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85</xdr:row>
      <xdr:rowOff>25977</xdr:rowOff>
    </xdr:from>
    <xdr:to>
      <xdr:col>5</xdr:col>
      <xdr:colOff>510886</xdr:colOff>
      <xdr:row>85</xdr:row>
      <xdr:rowOff>359352</xdr:rowOff>
    </xdr:to>
    <xdr:pic>
      <xdr:nvPicPr>
        <xdr:cNvPr id="72" name="Picture 15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6620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204</xdr:row>
      <xdr:rowOff>25977</xdr:rowOff>
    </xdr:from>
    <xdr:to>
      <xdr:col>5</xdr:col>
      <xdr:colOff>510886</xdr:colOff>
      <xdr:row>204</xdr:row>
      <xdr:rowOff>359352</xdr:rowOff>
    </xdr:to>
    <xdr:pic>
      <xdr:nvPicPr>
        <xdr:cNvPr id="74" name="Picture 16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90750" y="104835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375</xdr:row>
      <xdr:rowOff>45027</xdr:rowOff>
    </xdr:from>
    <xdr:to>
      <xdr:col>5</xdr:col>
      <xdr:colOff>510886</xdr:colOff>
      <xdr:row>375</xdr:row>
      <xdr:rowOff>378402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90750" y="1964418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172</xdr:row>
      <xdr:rowOff>25977</xdr:rowOff>
    </xdr:from>
    <xdr:to>
      <xdr:col>5</xdr:col>
      <xdr:colOff>510886</xdr:colOff>
      <xdr:row>172</xdr:row>
      <xdr:rowOff>359352</xdr:rowOff>
    </xdr:to>
    <xdr:pic>
      <xdr:nvPicPr>
        <xdr:cNvPr id="80" name="Picture 18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93821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601</xdr:row>
      <xdr:rowOff>25977</xdr:rowOff>
    </xdr:from>
    <xdr:to>
      <xdr:col>5</xdr:col>
      <xdr:colOff>510886</xdr:colOff>
      <xdr:row>601</xdr:row>
      <xdr:rowOff>359352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0" y="329478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235</xdr:row>
      <xdr:rowOff>25977</xdr:rowOff>
    </xdr:from>
    <xdr:to>
      <xdr:col>5</xdr:col>
      <xdr:colOff>510886</xdr:colOff>
      <xdr:row>235</xdr:row>
      <xdr:rowOff>359352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23054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317</xdr:row>
      <xdr:rowOff>25977</xdr:rowOff>
    </xdr:from>
    <xdr:to>
      <xdr:col>5</xdr:col>
      <xdr:colOff>510886</xdr:colOff>
      <xdr:row>317</xdr:row>
      <xdr:rowOff>359352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6600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366</xdr:row>
      <xdr:rowOff>25977</xdr:rowOff>
    </xdr:from>
    <xdr:to>
      <xdr:col>5</xdr:col>
      <xdr:colOff>510886</xdr:colOff>
      <xdr:row>366</xdr:row>
      <xdr:rowOff>359352</xdr:rowOff>
    </xdr:to>
    <xdr:pic>
      <xdr:nvPicPr>
        <xdr:cNvPr id="91" name="Picture 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90829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171</xdr:row>
      <xdr:rowOff>25977</xdr:rowOff>
    </xdr:from>
    <xdr:to>
      <xdr:col>5</xdr:col>
      <xdr:colOff>510886</xdr:colOff>
      <xdr:row>171</xdr:row>
      <xdr:rowOff>359352</xdr:rowOff>
    </xdr:to>
    <xdr:pic>
      <xdr:nvPicPr>
        <xdr:cNvPr id="92" name="Picture 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93388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284</xdr:row>
      <xdr:rowOff>25977</xdr:rowOff>
    </xdr:from>
    <xdr:to>
      <xdr:col>5</xdr:col>
      <xdr:colOff>510886</xdr:colOff>
      <xdr:row>284</xdr:row>
      <xdr:rowOff>359352</xdr:rowOff>
    </xdr:to>
    <xdr:pic>
      <xdr:nvPicPr>
        <xdr:cNvPr id="106" name="Picture 3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51257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106</xdr:row>
      <xdr:rowOff>25977</xdr:rowOff>
    </xdr:from>
    <xdr:to>
      <xdr:col>5</xdr:col>
      <xdr:colOff>510886</xdr:colOff>
      <xdr:row>106</xdr:row>
      <xdr:rowOff>359352</xdr:rowOff>
    </xdr:to>
    <xdr:pic>
      <xdr:nvPicPr>
        <xdr:cNvPr id="107" name="Picture 3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58951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103</xdr:row>
      <xdr:rowOff>25977</xdr:rowOff>
    </xdr:from>
    <xdr:to>
      <xdr:col>5</xdr:col>
      <xdr:colOff>510886</xdr:colOff>
      <xdr:row>103</xdr:row>
      <xdr:rowOff>359352</xdr:rowOff>
    </xdr:to>
    <xdr:pic>
      <xdr:nvPicPr>
        <xdr:cNvPr id="111" name="Picture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57513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99</xdr:row>
      <xdr:rowOff>25977</xdr:rowOff>
    </xdr:from>
    <xdr:to>
      <xdr:col>5</xdr:col>
      <xdr:colOff>510886</xdr:colOff>
      <xdr:row>99</xdr:row>
      <xdr:rowOff>359352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55080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147</xdr:row>
      <xdr:rowOff>25977</xdr:rowOff>
    </xdr:from>
    <xdr:to>
      <xdr:col>5</xdr:col>
      <xdr:colOff>510886</xdr:colOff>
      <xdr:row>147</xdr:row>
      <xdr:rowOff>359352</xdr:rowOff>
    </xdr:to>
    <xdr:pic>
      <xdr:nvPicPr>
        <xdr:cNvPr id="114" name="Picture 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80919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138</xdr:row>
      <xdr:rowOff>25977</xdr:rowOff>
    </xdr:from>
    <xdr:to>
      <xdr:col>5</xdr:col>
      <xdr:colOff>510886</xdr:colOff>
      <xdr:row>138</xdr:row>
      <xdr:rowOff>359352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76044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356</xdr:row>
      <xdr:rowOff>25977</xdr:rowOff>
    </xdr:from>
    <xdr:to>
      <xdr:col>5</xdr:col>
      <xdr:colOff>510886</xdr:colOff>
      <xdr:row>356</xdr:row>
      <xdr:rowOff>359352</xdr:rowOff>
    </xdr:to>
    <xdr:pic>
      <xdr:nvPicPr>
        <xdr:cNvPr id="31" name="Picture 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85096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115</xdr:row>
      <xdr:rowOff>25977</xdr:rowOff>
    </xdr:from>
    <xdr:to>
      <xdr:col>5</xdr:col>
      <xdr:colOff>510886</xdr:colOff>
      <xdr:row>115</xdr:row>
      <xdr:rowOff>359352</xdr:rowOff>
    </xdr:to>
    <xdr:pic>
      <xdr:nvPicPr>
        <xdr:cNvPr id="123" name="Picture 7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3982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334</xdr:row>
      <xdr:rowOff>25977</xdr:rowOff>
    </xdr:from>
    <xdr:to>
      <xdr:col>5</xdr:col>
      <xdr:colOff>510886</xdr:colOff>
      <xdr:row>334</xdr:row>
      <xdr:rowOff>359352</xdr:rowOff>
    </xdr:to>
    <xdr:pic>
      <xdr:nvPicPr>
        <xdr:cNvPr id="124" name="Picture 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73623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354</xdr:row>
      <xdr:rowOff>25977</xdr:rowOff>
    </xdr:from>
    <xdr:to>
      <xdr:col>5</xdr:col>
      <xdr:colOff>510886</xdr:colOff>
      <xdr:row>354</xdr:row>
      <xdr:rowOff>359352</xdr:rowOff>
    </xdr:to>
    <xdr:pic>
      <xdr:nvPicPr>
        <xdr:cNvPr id="125" name="Picture 7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83806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116</xdr:row>
      <xdr:rowOff>25977</xdr:rowOff>
    </xdr:from>
    <xdr:to>
      <xdr:col>5</xdr:col>
      <xdr:colOff>510886</xdr:colOff>
      <xdr:row>116</xdr:row>
      <xdr:rowOff>359352</xdr:rowOff>
    </xdr:to>
    <xdr:pic>
      <xdr:nvPicPr>
        <xdr:cNvPr id="126" name="Picture 7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4414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112</xdr:row>
      <xdr:rowOff>25977</xdr:rowOff>
    </xdr:from>
    <xdr:to>
      <xdr:col>5</xdr:col>
      <xdr:colOff>510886</xdr:colOff>
      <xdr:row>112</xdr:row>
      <xdr:rowOff>359352</xdr:rowOff>
    </xdr:to>
    <xdr:pic>
      <xdr:nvPicPr>
        <xdr:cNvPr id="127" name="Picture 7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2683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113</xdr:row>
      <xdr:rowOff>25977</xdr:rowOff>
    </xdr:from>
    <xdr:to>
      <xdr:col>5</xdr:col>
      <xdr:colOff>510886</xdr:colOff>
      <xdr:row>113</xdr:row>
      <xdr:rowOff>359352</xdr:rowOff>
    </xdr:to>
    <xdr:pic>
      <xdr:nvPicPr>
        <xdr:cNvPr id="128" name="Picture 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3116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118</xdr:row>
      <xdr:rowOff>25977</xdr:rowOff>
    </xdr:from>
    <xdr:to>
      <xdr:col>5</xdr:col>
      <xdr:colOff>510886</xdr:colOff>
      <xdr:row>118</xdr:row>
      <xdr:rowOff>359352</xdr:rowOff>
    </xdr:to>
    <xdr:pic>
      <xdr:nvPicPr>
        <xdr:cNvPr id="130" name="Picture 7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5419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68</xdr:row>
      <xdr:rowOff>25977</xdr:rowOff>
    </xdr:from>
    <xdr:to>
      <xdr:col>5</xdr:col>
      <xdr:colOff>510886</xdr:colOff>
      <xdr:row>68</xdr:row>
      <xdr:rowOff>359352</xdr:rowOff>
    </xdr:to>
    <xdr:pic>
      <xdr:nvPicPr>
        <xdr:cNvPr id="132" name="Picture 7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38584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355</xdr:row>
      <xdr:rowOff>25977</xdr:rowOff>
    </xdr:from>
    <xdr:to>
      <xdr:col>5</xdr:col>
      <xdr:colOff>510886</xdr:colOff>
      <xdr:row>355</xdr:row>
      <xdr:rowOff>359352</xdr:rowOff>
    </xdr:to>
    <xdr:pic>
      <xdr:nvPicPr>
        <xdr:cNvPr id="134" name="Picture 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84378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231</xdr:row>
      <xdr:rowOff>25977</xdr:rowOff>
    </xdr:from>
    <xdr:to>
      <xdr:col>5</xdr:col>
      <xdr:colOff>510886</xdr:colOff>
      <xdr:row>231</xdr:row>
      <xdr:rowOff>359352</xdr:rowOff>
    </xdr:to>
    <xdr:pic>
      <xdr:nvPicPr>
        <xdr:cNvPr id="39" name="Picture 9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0750" y="120898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233</xdr:row>
      <xdr:rowOff>25977</xdr:rowOff>
    </xdr:from>
    <xdr:to>
      <xdr:col>5</xdr:col>
      <xdr:colOff>510886</xdr:colOff>
      <xdr:row>233</xdr:row>
      <xdr:rowOff>359352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0750" y="121764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232</xdr:row>
      <xdr:rowOff>35502</xdr:rowOff>
    </xdr:from>
    <xdr:to>
      <xdr:col>5</xdr:col>
      <xdr:colOff>510886</xdr:colOff>
      <xdr:row>232</xdr:row>
      <xdr:rowOff>368877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0750" y="12134070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165</xdr:row>
      <xdr:rowOff>25977</xdr:rowOff>
    </xdr:from>
    <xdr:to>
      <xdr:col>5</xdr:col>
      <xdr:colOff>510886</xdr:colOff>
      <xdr:row>165</xdr:row>
      <xdr:rowOff>359352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90089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280</xdr:row>
      <xdr:rowOff>25977</xdr:rowOff>
    </xdr:from>
    <xdr:to>
      <xdr:col>5</xdr:col>
      <xdr:colOff>510886</xdr:colOff>
      <xdr:row>280</xdr:row>
      <xdr:rowOff>359352</xdr:rowOff>
    </xdr:to>
    <xdr:pic>
      <xdr:nvPicPr>
        <xdr:cNvPr id="143" name="Picture 10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49542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337</xdr:row>
      <xdr:rowOff>25977</xdr:rowOff>
    </xdr:from>
    <xdr:to>
      <xdr:col>5</xdr:col>
      <xdr:colOff>510886</xdr:colOff>
      <xdr:row>337</xdr:row>
      <xdr:rowOff>359352</xdr:rowOff>
    </xdr:to>
    <xdr:pic>
      <xdr:nvPicPr>
        <xdr:cNvPr id="146" name="Picture 10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75493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100</xdr:row>
      <xdr:rowOff>25977</xdr:rowOff>
    </xdr:from>
    <xdr:to>
      <xdr:col>5</xdr:col>
      <xdr:colOff>510886</xdr:colOff>
      <xdr:row>100</xdr:row>
      <xdr:rowOff>359352</xdr:rowOff>
    </xdr:to>
    <xdr:pic>
      <xdr:nvPicPr>
        <xdr:cNvPr id="147" name="Picture 10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55651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166</xdr:row>
      <xdr:rowOff>25977</xdr:rowOff>
    </xdr:from>
    <xdr:to>
      <xdr:col>5</xdr:col>
      <xdr:colOff>510886</xdr:colOff>
      <xdr:row>166</xdr:row>
      <xdr:rowOff>359352</xdr:rowOff>
    </xdr:to>
    <xdr:pic>
      <xdr:nvPicPr>
        <xdr:cNvPr id="149" name="Picture 10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90522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336</xdr:row>
      <xdr:rowOff>25977</xdr:rowOff>
    </xdr:from>
    <xdr:to>
      <xdr:col>5</xdr:col>
      <xdr:colOff>510886</xdr:colOff>
      <xdr:row>336</xdr:row>
      <xdr:rowOff>359352</xdr:rowOff>
    </xdr:to>
    <xdr:pic>
      <xdr:nvPicPr>
        <xdr:cNvPr id="150" name="Picture 10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74489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160</xdr:row>
      <xdr:rowOff>25977</xdr:rowOff>
    </xdr:from>
    <xdr:to>
      <xdr:col>5</xdr:col>
      <xdr:colOff>510886</xdr:colOff>
      <xdr:row>160</xdr:row>
      <xdr:rowOff>359352</xdr:rowOff>
    </xdr:to>
    <xdr:pic>
      <xdr:nvPicPr>
        <xdr:cNvPr id="41" name="Picture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87794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159</xdr:row>
      <xdr:rowOff>25977</xdr:rowOff>
    </xdr:from>
    <xdr:to>
      <xdr:col>5</xdr:col>
      <xdr:colOff>510886</xdr:colOff>
      <xdr:row>159</xdr:row>
      <xdr:rowOff>359352</xdr:rowOff>
    </xdr:to>
    <xdr:pic>
      <xdr:nvPicPr>
        <xdr:cNvPr id="157" name="Picture 11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87223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161</xdr:row>
      <xdr:rowOff>25977</xdr:rowOff>
    </xdr:from>
    <xdr:to>
      <xdr:col>5</xdr:col>
      <xdr:colOff>510886</xdr:colOff>
      <xdr:row>161</xdr:row>
      <xdr:rowOff>359352</xdr:rowOff>
    </xdr:to>
    <xdr:pic>
      <xdr:nvPicPr>
        <xdr:cNvPr id="158" name="Picture 1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88513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322</xdr:row>
      <xdr:rowOff>25977</xdr:rowOff>
    </xdr:from>
    <xdr:to>
      <xdr:col>5</xdr:col>
      <xdr:colOff>510886</xdr:colOff>
      <xdr:row>322</xdr:row>
      <xdr:rowOff>359352</xdr:rowOff>
    </xdr:to>
    <xdr:pic>
      <xdr:nvPicPr>
        <xdr:cNvPr id="42" name="Picture 1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693198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140</xdr:row>
      <xdr:rowOff>25977</xdr:rowOff>
    </xdr:from>
    <xdr:to>
      <xdr:col>5</xdr:col>
      <xdr:colOff>510886</xdr:colOff>
      <xdr:row>140</xdr:row>
      <xdr:rowOff>359352</xdr:rowOff>
    </xdr:to>
    <xdr:pic>
      <xdr:nvPicPr>
        <xdr:cNvPr id="164" name="Picture 12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77187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229</xdr:row>
      <xdr:rowOff>25977</xdr:rowOff>
    </xdr:from>
    <xdr:to>
      <xdr:col>5</xdr:col>
      <xdr:colOff>510886</xdr:colOff>
      <xdr:row>229</xdr:row>
      <xdr:rowOff>359352</xdr:rowOff>
    </xdr:to>
    <xdr:pic>
      <xdr:nvPicPr>
        <xdr:cNvPr id="165" name="Picture 12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19599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109</xdr:row>
      <xdr:rowOff>25977</xdr:rowOff>
    </xdr:from>
    <xdr:to>
      <xdr:col>5</xdr:col>
      <xdr:colOff>510886</xdr:colOff>
      <xdr:row>109</xdr:row>
      <xdr:rowOff>359352</xdr:rowOff>
    </xdr:to>
    <xdr:pic>
      <xdr:nvPicPr>
        <xdr:cNvPr id="167" name="Picture 1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60674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110</xdr:row>
      <xdr:rowOff>25977</xdr:rowOff>
    </xdr:from>
    <xdr:to>
      <xdr:col>5</xdr:col>
      <xdr:colOff>510886</xdr:colOff>
      <xdr:row>110</xdr:row>
      <xdr:rowOff>359352</xdr:rowOff>
    </xdr:to>
    <xdr:pic>
      <xdr:nvPicPr>
        <xdr:cNvPr id="168" name="Picture 1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61392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277</xdr:row>
      <xdr:rowOff>25977</xdr:rowOff>
    </xdr:from>
    <xdr:to>
      <xdr:col>5</xdr:col>
      <xdr:colOff>510886</xdr:colOff>
      <xdr:row>277</xdr:row>
      <xdr:rowOff>359352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0" y="148105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324</xdr:row>
      <xdr:rowOff>25977</xdr:rowOff>
    </xdr:from>
    <xdr:to>
      <xdr:col>5</xdr:col>
      <xdr:colOff>510886</xdr:colOff>
      <xdr:row>324</xdr:row>
      <xdr:rowOff>359352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0" y="170610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150</xdr:row>
      <xdr:rowOff>25977</xdr:rowOff>
    </xdr:from>
    <xdr:to>
      <xdr:col>5</xdr:col>
      <xdr:colOff>510886</xdr:colOff>
      <xdr:row>150</xdr:row>
      <xdr:rowOff>359352</xdr:rowOff>
    </xdr:to>
    <xdr:pic>
      <xdr:nvPicPr>
        <xdr:cNvPr id="194" name="Picture 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82633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241</xdr:row>
      <xdr:rowOff>25977</xdr:rowOff>
    </xdr:from>
    <xdr:to>
      <xdr:col>5</xdr:col>
      <xdr:colOff>510886</xdr:colOff>
      <xdr:row>241</xdr:row>
      <xdr:rowOff>359352</xdr:rowOff>
    </xdr:to>
    <xdr:pic>
      <xdr:nvPicPr>
        <xdr:cNvPr id="195" name="Picture 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125063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290</xdr:row>
      <xdr:rowOff>25977</xdr:rowOff>
    </xdr:from>
    <xdr:to>
      <xdr:col>5</xdr:col>
      <xdr:colOff>510886</xdr:colOff>
      <xdr:row>290</xdr:row>
      <xdr:rowOff>359352</xdr:rowOff>
    </xdr:to>
    <xdr:pic>
      <xdr:nvPicPr>
        <xdr:cNvPr id="196" name="Picture 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153975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66</xdr:row>
      <xdr:rowOff>25977</xdr:rowOff>
    </xdr:from>
    <xdr:to>
      <xdr:col>5</xdr:col>
      <xdr:colOff>510886</xdr:colOff>
      <xdr:row>66</xdr:row>
      <xdr:rowOff>359352</xdr:rowOff>
    </xdr:to>
    <xdr:pic>
      <xdr:nvPicPr>
        <xdr:cNvPr id="200" name="Picture 4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0" y="37294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143</xdr:row>
      <xdr:rowOff>25977</xdr:rowOff>
    </xdr:from>
    <xdr:to>
      <xdr:col>5</xdr:col>
      <xdr:colOff>510886</xdr:colOff>
      <xdr:row>143</xdr:row>
      <xdr:rowOff>359352</xdr:rowOff>
    </xdr:to>
    <xdr:pic>
      <xdr:nvPicPr>
        <xdr:cNvPr id="59" name="Picture 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78763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238</xdr:row>
      <xdr:rowOff>25977</xdr:rowOff>
    </xdr:from>
    <xdr:to>
      <xdr:col>5</xdr:col>
      <xdr:colOff>510886</xdr:colOff>
      <xdr:row>238</xdr:row>
      <xdr:rowOff>359352</xdr:rowOff>
    </xdr:to>
    <xdr:pic>
      <xdr:nvPicPr>
        <xdr:cNvPr id="203" name="Picture 5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124197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142</xdr:row>
      <xdr:rowOff>25977</xdr:rowOff>
    </xdr:from>
    <xdr:to>
      <xdr:col>5</xdr:col>
      <xdr:colOff>510886</xdr:colOff>
      <xdr:row>142</xdr:row>
      <xdr:rowOff>359352</xdr:rowOff>
    </xdr:to>
    <xdr:pic>
      <xdr:nvPicPr>
        <xdr:cNvPr id="204" name="Picture 5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78330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144</xdr:row>
      <xdr:rowOff>25977</xdr:rowOff>
    </xdr:from>
    <xdr:to>
      <xdr:col>5</xdr:col>
      <xdr:colOff>510886</xdr:colOff>
      <xdr:row>144</xdr:row>
      <xdr:rowOff>359352</xdr:rowOff>
    </xdr:to>
    <xdr:pic>
      <xdr:nvPicPr>
        <xdr:cNvPr id="207" name="Picture 5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79481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351</xdr:row>
      <xdr:rowOff>25977</xdr:rowOff>
    </xdr:from>
    <xdr:to>
      <xdr:col>5</xdr:col>
      <xdr:colOff>510886</xdr:colOff>
      <xdr:row>351</xdr:row>
      <xdr:rowOff>359352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0" y="181797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392</xdr:row>
      <xdr:rowOff>45027</xdr:rowOff>
    </xdr:from>
    <xdr:to>
      <xdr:col>5</xdr:col>
      <xdr:colOff>539461</xdr:colOff>
      <xdr:row>392</xdr:row>
      <xdr:rowOff>378402</xdr:rowOff>
    </xdr:to>
    <xdr:pic>
      <xdr:nvPicPr>
        <xdr:cNvPr id="116" name="Picture 6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19325" y="2036289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395</xdr:row>
      <xdr:rowOff>45027</xdr:rowOff>
    </xdr:from>
    <xdr:to>
      <xdr:col>5</xdr:col>
      <xdr:colOff>539461</xdr:colOff>
      <xdr:row>395</xdr:row>
      <xdr:rowOff>378402</xdr:rowOff>
    </xdr:to>
    <xdr:pic>
      <xdr:nvPicPr>
        <xdr:cNvPr id="119" name="Picture 7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19325" y="2050663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390</xdr:row>
      <xdr:rowOff>45027</xdr:rowOff>
    </xdr:from>
    <xdr:to>
      <xdr:col>5</xdr:col>
      <xdr:colOff>539461</xdr:colOff>
      <xdr:row>390</xdr:row>
      <xdr:rowOff>378402</xdr:rowOff>
    </xdr:to>
    <xdr:pic>
      <xdr:nvPicPr>
        <xdr:cNvPr id="120" name="Picture 8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19325" y="2023387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384</xdr:row>
      <xdr:rowOff>45027</xdr:rowOff>
    </xdr:from>
    <xdr:to>
      <xdr:col>5</xdr:col>
      <xdr:colOff>548986</xdr:colOff>
      <xdr:row>384</xdr:row>
      <xdr:rowOff>378402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00353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391</xdr:row>
      <xdr:rowOff>45027</xdr:rowOff>
    </xdr:from>
    <xdr:to>
      <xdr:col>5</xdr:col>
      <xdr:colOff>548986</xdr:colOff>
      <xdr:row>391</xdr:row>
      <xdr:rowOff>378402</xdr:rowOff>
    </xdr:to>
    <xdr:pic>
      <xdr:nvPicPr>
        <xdr:cNvPr id="1044" name="Picture 10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29102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396</xdr:row>
      <xdr:rowOff>64077</xdr:rowOff>
    </xdr:from>
    <xdr:to>
      <xdr:col>5</xdr:col>
      <xdr:colOff>548986</xdr:colOff>
      <xdr:row>396</xdr:row>
      <xdr:rowOff>397452</xdr:rowOff>
    </xdr:to>
    <xdr:pic>
      <xdr:nvPicPr>
        <xdr:cNvPr id="1045" name="Picture 1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56568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389</xdr:row>
      <xdr:rowOff>45027</xdr:rowOff>
    </xdr:from>
    <xdr:to>
      <xdr:col>5</xdr:col>
      <xdr:colOff>548986</xdr:colOff>
      <xdr:row>389</xdr:row>
      <xdr:rowOff>378402</xdr:rowOff>
    </xdr:to>
    <xdr:pic>
      <xdr:nvPicPr>
        <xdr:cNvPr id="1046" name="Picture 1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19057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393</xdr:row>
      <xdr:rowOff>45027</xdr:rowOff>
    </xdr:from>
    <xdr:to>
      <xdr:col>5</xdr:col>
      <xdr:colOff>548986</xdr:colOff>
      <xdr:row>393</xdr:row>
      <xdr:rowOff>378402</xdr:rowOff>
    </xdr:to>
    <xdr:pic>
      <xdr:nvPicPr>
        <xdr:cNvPr id="1047" name="Picture 13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40618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385</xdr:row>
      <xdr:rowOff>45027</xdr:rowOff>
    </xdr:from>
    <xdr:to>
      <xdr:col>5</xdr:col>
      <xdr:colOff>548986</xdr:colOff>
      <xdr:row>385</xdr:row>
      <xdr:rowOff>378402</xdr:rowOff>
    </xdr:to>
    <xdr:pic>
      <xdr:nvPicPr>
        <xdr:cNvPr id="1048" name="Picture 1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04683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380</xdr:row>
      <xdr:rowOff>45027</xdr:rowOff>
    </xdr:from>
    <xdr:to>
      <xdr:col>5</xdr:col>
      <xdr:colOff>548986</xdr:colOff>
      <xdr:row>380</xdr:row>
      <xdr:rowOff>378402</xdr:rowOff>
    </xdr:to>
    <xdr:pic>
      <xdr:nvPicPr>
        <xdr:cNvPr id="1049" name="Picture 15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1987365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381</xdr:row>
      <xdr:rowOff>45027</xdr:rowOff>
    </xdr:from>
    <xdr:to>
      <xdr:col>5</xdr:col>
      <xdr:colOff>548986</xdr:colOff>
      <xdr:row>381</xdr:row>
      <xdr:rowOff>378402</xdr:rowOff>
    </xdr:to>
    <xdr:pic>
      <xdr:nvPicPr>
        <xdr:cNvPr id="1050" name="Picture 16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1991694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382</xdr:row>
      <xdr:rowOff>45027</xdr:rowOff>
    </xdr:from>
    <xdr:to>
      <xdr:col>5</xdr:col>
      <xdr:colOff>548986</xdr:colOff>
      <xdr:row>382</xdr:row>
      <xdr:rowOff>378402</xdr:rowOff>
    </xdr:to>
    <xdr:pic>
      <xdr:nvPicPr>
        <xdr:cNvPr id="1051" name="Picture 1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1996024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386</xdr:row>
      <xdr:rowOff>45027</xdr:rowOff>
    </xdr:from>
    <xdr:to>
      <xdr:col>5</xdr:col>
      <xdr:colOff>548986</xdr:colOff>
      <xdr:row>386</xdr:row>
      <xdr:rowOff>378402</xdr:rowOff>
    </xdr:to>
    <xdr:pic>
      <xdr:nvPicPr>
        <xdr:cNvPr id="1052" name="Picture 1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09013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12</xdr:row>
      <xdr:rowOff>25977</xdr:rowOff>
    </xdr:from>
    <xdr:to>
      <xdr:col>5</xdr:col>
      <xdr:colOff>510886</xdr:colOff>
      <xdr:row>12</xdr:row>
      <xdr:rowOff>359352</xdr:rowOff>
    </xdr:to>
    <xdr:pic>
      <xdr:nvPicPr>
        <xdr:cNvPr id="1054" name="Picture 20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6511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</xdr:row>
      <xdr:rowOff>25977</xdr:rowOff>
    </xdr:from>
    <xdr:to>
      <xdr:col>5</xdr:col>
      <xdr:colOff>510886</xdr:colOff>
      <xdr:row>15</xdr:row>
      <xdr:rowOff>359352</xdr:rowOff>
    </xdr:to>
    <xdr:pic>
      <xdr:nvPicPr>
        <xdr:cNvPr id="1055" name="Picture 21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8087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</xdr:row>
      <xdr:rowOff>25977</xdr:rowOff>
    </xdr:from>
    <xdr:to>
      <xdr:col>5</xdr:col>
      <xdr:colOff>510886</xdr:colOff>
      <xdr:row>14</xdr:row>
      <xdr:rowOff>359352</xdr:rowOff>
    </xdr:to>
    <xdr:pic>
      <xdr:nvPicPr>
        <xdr:cNvPr id="135" name="Picture 22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7516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</xdr:row>
      <xdr:rowOff>25977</xdr:rowOff>
    </xdr:from>
    <xdr:to>
      <xdr:col>5</xdr:col>
      <xdr:colOff>510886</xdr:colOff>
      <xdr:row>13</xdr:row>
      <xdr:rowOff>359352</xdr:rowOff>
    </xdr:to>
    <xdr:pic>
      <xdr:nvPicPr>
        <xdr:cNvPr id="137" name="Picture 2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7083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</xdr:row>
      <xdr:rowOff>25977</xdr:rowOff>
    </xdr:from>
    <xdr:to>
      <xdr:col>5</xdr:col>
      <xdr:colOff>510886</xdr:colOff>
      <xdr:row>17</xdr:row>
      <xdr:rowOff>359352</xdr:rowOff>
    </xdr:to>
    <xdr:pic>
      <xdr:nvPicPr>
        <xdr:cNvPr id="142" name="Picture 24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90750" y="9230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</xdr:row>
      <xdr:rowOff>25977</xdr:rowOff>
    </xdr:from>
    <xdr:to>
      <xdr:col>5</xdr:col>
      <xdr:colOff>510886</xdr:colOff>
      <xdr:row>18</xdr:row>
      <xdr:rowOff>359352</xdr:rowOff>
    </xdr:to>
    <xdr:pic>
      <xdr:nvPicPr>
        <xdr:cNvPr id="155" name="Picture 25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90750" y="9888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257</xdr:row>
      <xdr:rowOff>25977</xdr:rowOff>
    </xdr:from>
    <xdr:to>
      <xdr:col>5</xdr:col>
      <xdr:colOff>510886</xdr:colOff>
      <xdr:row>257</xdr:row>
      <xdr:rowOff>359352</xdr:rowOff>
    </xdr:to>
    <xdr:pic>
      <xdr:nvPicPr>
        <xdr:cNvPr id="1058" name="Picture 26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90750" y="133670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362</xdr:row>
      <xdr:rowOff>25977</xdr:rowOff>
    </xdr:from>
    <xdr:to>
      <xdr:col>5</xdr:col>
      <xdr:colOff>510886</xdr:colOff>
      <xdr:row>362</xdr:row>
      <xdr:rowOff>359352</xdr:rowOff>
    </xdr:to>
    <xdr:pic>
      <xdr:nvPicPr>
        <xdr:cNvPr id="1063" name="Picture 31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90750" y="187954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344</xdr:row>
      <xdr:rowOff>25977</xdr:rowOff>
    </xdr:from>
    <xdr:to>
      <xdr:col>5</xdr:col>
      <xdr:colOff>510886</xdr:colOff>
      <xdr:row>344</xdr:row>
      <xdr:rowOff>359352</xdr:rowOff>
    </xdr:to>
    <xdr:pic>
      <xdr:nvPicPr>
        <xdr:cNvPr id="1065" name="Picture 3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78645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127</xdr:row>
      <xdr:rowOff>25977</xdr:rowOff>
    </xdr:from>
    <xdr:to>
      <xdr:col>5</xdr:col>
      <xdr:colOff>510886</xdr:colOff>
      <xdr:row>127</xdr:row>
      <xdr:rowOff>359352</xdr:rowOff>
    </xdr:to>
    <xdr:pic>
      <xdr:nvPicPr>
        <xdr:cNvPr id="1068" name="Picture 36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717405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225</xdr:row>
      <xdr:rowOff>25977</xdr:rowOff>
    </xdr:from>
    <xdr:to>
      <xdr:col>5</xdr:col>
      <xdr:colOff>510886</xdr:colOff>
      <xdr:row>225</xdr:row>
      <xdr:rowOff>359352</xdr:rowOff>
    </xdr:to>
    <xdr:pic>
      <xdr:nvPicPr>
        <xdr:cNvPr id="1069" name="Picture 37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18309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22513</xdr:colOff>
      <xdr:row>287</xdr:row>
      <xdr:rowOff>45027</xdr:rowOff>
    </xdr:from>
    <xdr:to>
      <xdr:col>5</xdr:col>
      <xdr:colOff>501361</xdr:colOff>
      <xdr:row>287</xdr:row>
      <xdr:rowOff>378402</xdr:rowOff>
    </xdr:to>
    <xdr:pic>
      <xdr:nvPicPr>
        <xdr:cNvPr id="1071" name="Picture 39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78627" y="151994754"/>
          <a:ext cx="478848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319</xdr:row>
      <xdr:rowOff>25977</xdr:rowOff>
    </xdr:from>
    <xdr:to>
      <xdr:col>5</xdr:col>
      <xdr:colOff>510886</xdr:colOff>
      <xdr:row>319</xdr:row>
      <xdr:rowOff>359352</xdr:rowOff>
    </xdr:to>
    <xdr:pic>
      <xdr:nvPicPr>
        <xdr:cNvPr id="1076" name="Picture 44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67605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146</xdr:row>
      <xdr:rowOff>25977</xdr:rowOff>
    </xdr:from>
    <xdr:to>
      <xdr:col>5</xdr:col>
      <xdr:colOff>510886</xdr:colOff>
      <xdr:row>146</xdr:row>
      <xdr:rowOff>359352</xdr:rowOff>
    </xdr:to>
    <xdr:pic>
      <xdr:nvPicPr>
        <xdr:cNvPr id="1081" name="Picture 49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80486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314</xdr:row>
      <xdr:rowOff>25977</xdr:rowOff>
    </xdr:from>
    <xdr:to>
      <xdr:col>5</xdr:col>
      <xdr:colOff>510886</xdr:colOff>
      <xdr:row>314</xdr:row>
      <xdr:rowOff>359352</xdr:rowOff>
    </xdr:to>
    <xdr:pic>
      <xdr:nvPicPr>
        <xdr:cNvPr id="1085" name="Picture 53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0" y="165449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311</xdr:row>
      <xdr:rowOff>25977</xdr:rowOff>
    </xdr:from>
    <xdr:to>
      <xdr:col>5</xdr:col>
      <xdr:colOff>510886</xdr:colOff>
      <xdr:row>311</xdr:row>
      <xdr:rowOff>359352</xdr:rowOff>
    </xdr:to>
    <xdr:pic>
      <xdr:nvPicPr>
        <xdr:cNvPr id="1086" name="Picture 54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0" y="164159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516</xdr:row>
      <xdr:rowOff>45027</xdr:rowOff>
    </xdr:from>
    <xdr:to>
      <xdr:col>5</xdr:col>
      <xdr:colOff>539461</xdr:colOff>
      <xdr:row>516</xdr:row>
      <xdr:rowOff>378402</xdr:rowOff>
    </xdr:to>
    <xdr:pic>
      <xdr:nvPicPr>
        <xdr:cNvPr id="1108" name="Picture 13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74142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518</xdr:row>
      <xdr:rowOff>45027</xdr:rowOff>
    </xdr:from>
    <xdr:to>
      <xdr:col>5</xdr:col>
      <xdr:colOff>539461</xdr:colOff>
      <xdr:row>518</xdr:row>
      <xdr:rowOff>378402</xdr:rowOff>
    </xdr:to>
    <xdr:pic>
      <xdr:nvPicPr>
        <xdr:cNvPr id="384" name="Picture 14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87044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535</xdr:row>
      <xdr:rowOff>45027</xdr:rowOff>
    </xdr:from>
    <xdr:to>
      <xdr:col>5</xdr:col>
      <xdr:colOff>539461</xdr:colOff>
      <xdr:row>535</xdr:row>
      <xdr:rowOff>378402</xdr:rowOff>
    </xdr:to>
    <xdr:pic>
      <xdr:nvPicPr>
        <xdr:cNvPr id="385" name="Picture 15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77878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531</xdr:row>
      <xdr:rowOff>45027</xdr:rowOff>
    </xdr:from>
    <xdr:to>
      <xdr:col>5</xdr:col>
      <xdr:colOff>539461</xdr:colOff>
      <xdr:row>531</xdr:row>
      <xdr:rowOff>378402</xdr:rowOff>
    </xdr:to>
    <xdr:pic>
      <xdr:nvPicPr>
        <xdr:cNvPr id="386" name="Picture 16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57789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530</xdr:row>
      <xdr:rowOff>45027</xdr:rowOff>
    </xdr:from>
    <xdr:to>
      <xdr:col>5</xdr:col>
      <xdr:colOff>539461</xdr:colOff>
      <xdr:row>530</xdr:row>
      <xdr:rowOff>378402</xdr:rowOff>
    </xdr:to>
    <xdr:pic>
      <xdr:nvPicPr>
        <xdr:cNvPr id="387" name="Picture 17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52074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532</xdr:row>
      <xdr:rowOff>45027</xdr:rowOff>
    </xdr:from>
    <xdr:to>
      <xdr:col>5</xdr:col>
      <xdr:colOff>539461</xdr:colOff>
      <xdr:row>532</xdr:row>
      <xdr:rowOff>378402</xdr:rowOff>
    </xdr:to>
    <xdr:pic>
      <xdr:nvPicPr>
        <xdr:cNvPr id="388" name="Picture 18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63504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515</xdr:row>
      <xdr:rowOff>45027</xdr:rowOff>
    </xdr:from>
    <xdr:to>
      <xdr:col>5</xdr:col>
      <xdr:colOff>539461</xdr:colOff>
      <xdr:row>515</xdr:row>
      <xdr:rowOff>378402</xdr:rowOff>
    </xdr:to>
    <xdr:pic>
      <xdr:nvPicPr>
        <xdr:cNvPr id="389" name="Picture 19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68427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511</xdr:row>
      <xdr:rowOff>45027</xdr:rowOff>
    </xdr:from>
    <xdr:to>
      <xdr:col>5</xdr:col>
      <xdr:colOff>539461</xdr:colOff>
      <xdr:row>511</xdr:row>
      <xdr:rowOff>378402</xdr:rowOff>
    </xdr:to>
    <xdr:pic>
      <xdr:nvPicPr>
        <xdr:cNvPr id="390" name="Picture 20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45481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513</xdr:row>
      <xdr:rowOff>45027</xdr:rowOff>
    </xdr:from>
    <xdr:to>
      <xdr:col>5</xdr:col>
      <xdr:colOff>539461</xdr:colOff>
      <xdr:row>513</xdr:row>
      <xdr:rowOff>378402</xdr:rowOff>
    </xdr:to>
    <xdr:pic>
      <xdr:nvPicPr>
        <xdr:cNvPr id="391" name="Picture 21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58383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507</xdr:row>
      <xdr:rowOff>45027</xdr:rowOff>
    </xdr:from>
    <xdr:to>
      <xdr:col>5</xdr:col>
      <xdr:colOff>539461</xdr:colOff>
      <xdr:row>507</xdr:row>
      <xdr:rowOff>378402</xdr:rowOff>
    </xdr:to>
    <xdr:pic>
      <xdr:nvPicPr>
        <xdr:cNvPr id="392" name="Picture 22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49286" y="3025018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509</xdr:row>
      <xdr:rowOff>45027</xdr:rowOff>
    </xdr:from>
    <xdr:to>
      <xdr:col>5</xdr:col>
      <xdr:colOff>539461</xdr:colOff>
      <xdr:row>509</xdr:row>
      <xdr:rowOff>378402</xdr:rowOff>
    </xdr:to>
    <xdr:pic>
      <xdr:nvPicPr>
        <xdr:cNvPr id="393" name="Picture 23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348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527</xdr:row>
      <xdr:rowOff>45027</xdr:rowOff>
    </xdr:from>
    <xdr:to>
      <xdr:col>5</xdr:col>
      <xdr:colOff>539461</xdr:colOff>
      <xdr:row>527</xdr:row>
      <xdr:rowOff>378402</xdr:rowOff>
    </xdr:to>
    <xdr:pic>
      <xdr:nvPicPr>
        <xdr:cNvPr id="395" name="Picture 24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357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534</xdr:row>
      <xdr:rowOff>45027</xdr:rowOff>
    </xdr:from>
    <xdr:to>
      <xdr:col>5</xdr:col>
      <xdr:colOff>529936</xdr:colOff>
      <xdr:row>534</xdr:row>
      <xdr:rowOff>378402</xdr:rowOff>
    </xdr:to>
    <xdr:pic>
      <xdr:nvPicPr>
        <xdr:cNvPr id="396" name="Picture 2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9800" y="2973549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524</xdr:row>
      <xdr:rowOff>45027</xdr:rowOff>
    </xdr:from>
    <xdr:to>
      <xdr:col>5</xdr:col>
      <xdr:colOff>539461</xdr:colOff>
      <xdr:row>524</xdr:row>
      <xdr:rowOff>378402</xdr:rowOff>
    </xdr:to>
    <xdr:pic>
      <xdr:nvPicPr>
        <xdr:cNvPr id="397" name="Picture 26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17178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512</xdr:row>
      <xdr:rowOff>45027</xdr:rowOff>
    </xdr:from>
    <xdr:to>
      <xdr:col>5</xdr:col>
      <xdr:colOff>539461</xdr:colOff>
      <xdr:row>512</xdr:row>
      <xdr:rowOff>378402</xdr:rowOff>
    </xdr:to>
    <xdr:pic>
      <xdr:nvPicPr>
        <xdr:cNvPr id="398" name="Picture 2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51196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525</xdr:row>
      <xdr:rowOff>64077</xdr:rowOff>
    </xdr:from>
    <xdr:to>
      <xdr:col>5</xdr:col>
      <xdr:colOff>539461</xdr:colOff>
      <xdr:row>525</xdr:row>
      <xdr:rowOff>397452</xdr:rowOff>
    </xdr:to>
    <xdr:pic>
      <xdr:nvPicPr>
        <xdr:cNvPr id="409" name="Picture 28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23083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519</xdr:row>
      <xdr:rowOff>45027</xdr:rowOff>
    </xdr:from>
    <xdr:to>
      <xdr:col>5</xdr:col>
      <xdr:colOff>539461</xdr:colOff>
      <xdr:row>519</xdr:row>
      <xdr:rowOff>378402</xdr:rowOff>
    </xdr:to>
    <xdr:pic>
      <xdr:nvPicPr>
        <xdr:cNvPr id="410" name="Picture 29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91374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517</xdr:row>
      <xdr:rowOff>45027</xdr:rowOff>
    </xdr:from>
    <xdr:to>
      <xdr:col>5</xdr:col>
      <xdr:colOff>539461</xdr:colOff>
      <xdr:row>517</xdr:row>
      <xdr:rowOff>378402</xdr:rowOff>
    </xdr:to>
    <xdr:pic>
      <xdr:nvPicPr>
        <xdr:cNvPr id="411" name="Picture 30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81329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514</xdr:row>
      <xdr:rowOff>45027</xdr:rowOff>
    </xdr:from>
    <xdr:to>
      <xdr:col>5</xdr:col>
      <xdr:colOff>539461</xdr:colOff>
      <xdr:row>514</xdr:row>
      <xdr:rowOff>378402</xdr:rowOff>
    </xdr:to>
    <xdr:pic>
      <xdr:nvPicPr>
        <xdr:cNvPr id="412" name="Picture 3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64098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528</xdr:row>
      <xdr:rowOff>45027</xdr:rowOff>
    </xdr:from>
    <xdr:to>
      <xdr:col>5</xdr:col>
      <xdr:colOff>539461</xdr:colOff>
      <xdr:row>528</xdr:row>
      <xdr:rowOff>378402</xdr:rowOff>
    </xdr:to>
    <xdr:pic>
      <xdr:nvPicPr>
        <xdr:cNvPr id="413" name="Picture 3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40125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520</xdr:row>
      <xdr:rowOff>45027</xdr:rowOff>
    </xdr:from>
    <xdr:to>
      <xdr:col>5</xdr:col>
      <xdr:colOff>539461</xdr:colOff>
      <xdr:row>520</xdr:row>
      <xdr:rowOff>378402</xdr:rowOff>
    </xdr:to>
    <xdr:pic>
      <xdr:nvPicPr>
        <xdr:cNvPr id="414" name="Picture 3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97089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529</xdr:row>
      <xdr:rowOff>45027</xdr:rowOff>
    </xdr:from>
    <xdr:to>
      <xdr:col>5</xdr:col>
      <xdr:colOff>539461</xdr:colOff>
      <xdr:row>529</xdr:row>
      <xdr:rowOff>378402</xdr:rowOff>
    </xdr:to>
    <xdr:pic>
      <xdr:nvPicPr>
        <xdr:cNvPr id="415" name="Picture 34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46359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510</xdr:row>
      <xdr:rowOff>45027</xdr:rowOff>
    </xdr:from>
    <xdr:to>
      <xdr:col>5</xdr:col>
      <xdr:colOff>539461</xdr:colOff>
      <xdr:row>510</xdr:row>
      <xdr:rowOff>378402</xdr:rowOff>
    </xdr:to>
    <xdr:pic>
      <xdr:nvPicPr>
        <xdr:cNvPr id="1187" name="Picture 35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39766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526</xdr:row>
      <xdr:rowOff>45027</xdr:rowOff>
    </xdr:from>
    <xdr:to>
      <xdr:col>5</xdr:col>
      <xdr:colOff>539461</xdr:colOff>
      <xdr:row>526</xdr:row>
      <xdr:rowOff>378402</xdr:rowOff>
    </xdr:to>
    <xdr:pic>
      <xdr:nvPicPr>
        <xdr:cNvPr id="1206" name="Picture 36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300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508</xdr:row>
      <xdr:rowOff>45027</xdr:rowOff>
    </xdr:from>
    <xdr:to>
      <xdr:col>5</xdr:col>
      <xdr:colOff>539461</xdr:colOff>
      <xdr:row>508</xdr:row>
      <xdr:rowOff>378402</xdr:rowOff>
    </xdr:to>
    <xdr:pic>
      <xdr:nvPicPr>
        <xdr:cNvPr id="1208" name="Picture 37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8291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523</xdr:row>
      <xdr:rowOff>45027</xdr:rowOff>
    </xdr:from>
    <xdr:to>
      <xdr:col>5</xdr:col>
      <xdr:colOff>539461</xdr:colOff>
      <xdr:row>523</xdr:row>
      <xdr:rowOff>378402</xdr:rowOff>
    </xdr:to>
    <xdr:pic>
      <xdr:nvPicPr>
        <xdr:cNvPr id="1209" name="Picture 38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19325" y="2911463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522</xdr:row>
      <xdr:rowOff>45027</xdr:rowOff>
    </xdr:from>
    <xdr:to>
      <xdr:col>5</xdr:col>
      <xdr:colOff>539461</xdr:colOff>
      <xdr:row>522</xdr:row>
      <xdr:rowOff>378402</xdr:rowOff>
    </xdr:to>
    <xdr:pic>
      <xdr:nvPicPr>
        <xdr:cNvPr id="1210" name="Picture 39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19325" y="2907133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521</xdr:row>
      <xdr:rowOff>45027</xdr:rowOff>
    </xdr:from>
    <xdr:to>
      <xdr:col>5</xdr:col>
      <xdr:colOff>539461</xdr:colOff>
      <xdr:row>521</xdr:row>
      <xdr:rowOff>378402</xdr:rowOff>
    </xdr:to>
    <xdr:pic>
      <xdr:nvPicPr>
        <xdr:cNvPr id="443" name="Picture 21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2902804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541</xdr:row>
      <xdr:rowOff>45027</xdr:rowOff>
    </xdr:from>
    <xdr:to>
      <xdr:col>5</xdr:col>
      <xdr:colOff>539461</xdr:colOff>
      <xdr:row>541</xdr:row>
      <xdr:rowOff>378402</xdr:rowOff>
    </xdr:to>
    <xdr:pic>
      <xdr:nvPicPr>
        <xdr:cNvPr id="1211" name="Picture 40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19325" y="3016671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542</xdr:row>
      <xdr:rowOff>45027</xdr:rowOff>
    </xdr:from>
    <xdr:to>
      <xdr:col>5</xdr:col>
      <xdr:colOff>539461</xdr:colOff>
      <xdr:row>542</xdr:row>
      <xdr:rowOff>378402</xdr:rowOff>
    </xdr:to>
    <xdr:pic>
      <xdr:nvPicPr>
        <xdr:cNvPr id="1212" name="Picture 41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19325" y="3021000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558</xdr:row>
      <xdr:rowOff>45027</xdr:rowOff>
    </xdr:from>
    <xdr:to>
      <xdr:col>5</xdr:col>
      <xdr:colOff>539461</xdr:colOff>
      <xdr:row>558</xdr:row>
      <xdr:rowOff>378402</xdr:rowOff>
    </xdr:to>
    <xdr:pic>
      <xdr:nvPicPr>
        <xdr:cNvPr id="1214" name="Picture 43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958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560</xdr:row>
      <xdr:rowOff>45027</xdr:rowOff>
    </xdr:from>
    <xdr:to>
      <xdr:col>5</xdr:col>
      <xdr:colOff>539461</xdr:colOff>
      <xdr:row>560</xdr:row>
      <xdr:rowOff>378402</xdr:rowOff>
    </xdr:to>
    <xdr:pic>
      <xdr:nvPicPr>
        <xdr:cNvPr id="1215" name="Picture 44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100145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552</xdr:row>
      <xdr:rowOff>45027</xdr:rowOff>
    </xdr:from>
    <xdr:to>
      <xdr:col>5</xdr:col>
      <xdr:colOff>539461</xdr:colOff>
      <xdr:row>552</xdr:row>
      <xdr:rowOff>378402</xdr:rowOff>
    </xdr:to>
    <xdr:pic>
      <xdr:nvPicPr>
        <xdr:cNvPr id="416" name="Picture 4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65681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549</xdr:row>
      <xdr:rowOff>45027</xdr:rowOff>
    </xdr:from>
    <xdr:to>
      <xdr:col>5</xdr:col>
      <xdr:colOff>539461</xdr:colOff>
      <xdr:row>549</xdr:row>
      <xdr:rowOff>378402</xdr:rowOff>
    </xdr:to>
    <xdr:pic>
      <xdr:nvPicPr>
        <xdr:cNvPr id="417" name="Picture 46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52693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539</xdr:row>
      <xdr:rowOff>45027</xdr:rowOff>
    </xdr:from>
    <xdr:to>
      <xdr:col>5</xdr:col>
      <xdr:colOff>539461</xdr:colOff>
      <xdr:row>539</xdr:row>
      <xdr:rowOff>378402</xdr:rowOff>
    </xdr:to>
    <xdr:pic>
      <xdr:nvPicPr>
        <xdr:cNvPr id="418" name="Picture 47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08012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540</xdr:row>
      <xdr:rowOff>45027</xdr:rowOff>
    </xdr:from>
    <xdr:to>
      <xdr:col>5</xdr:col>
      <xdr:colOff>539461</xdr:colOff>
      <xdr:row>540</xdr:row>
      <xdr:rowOff>378402</xdr:rowOff>
    </xdr:to>
    <xdr:pic>
      <xdr:nvPicPr>
        <xdr:cNvPr id="419" name="Picture 4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12341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544</xdr:row>
      <xdr:rowOff>45027</xdr:rowOff>
    </xdr:from>
    <xdr:to>
      <xdr:col>5</xdr:col>
      <xdr:colOff>539461</xdr:colOff>
      <xdr:row>544</xdr:row>
      <xdr:rowOff>378402</xdr:rowOff>
    </xdr:to>
    <xdr:pic>
      <xdr:nvPicPr>
        <xdr:cNvPr id="420" name="Picture 4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29660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556</xdr:row>
      <xdr:rowOff>45027</xdr:rowOff>
    </xdr:from>
    <xdr:to>
      <xdr:col>5</xdr:col>
      <xdr:colOff>539461</xdr:colOff>
      <xdr:row>556</xdr:row>
      <xdr:rowOff>378402</xdr:rowOff>
    </xdr:to>
    <xdr:pic>
      <xdr:nvPicPr>
        <xdr:cNvPr id="421" name="Picture 5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85770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557</xdr:row>
      <xdr:rowOff>45027</xdr:rowOff>
    </xdr:from>
    <xdr:to>
      <xdr:col>5</xdr:col>
      <xdr:colOff>539461</xdr:colOff>
      <xdr:row>557</xdr:row>
      <xdr:rowOff>378402</xdr:rowOff>
    </xdr:to>
    <xdr:pic>
      <xdr:nvPicPr>
        <xdr:cNvPr id="422" name="Picture 5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91485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543</xdr:row>
      <xdr:rowOff>45027</xdr:rowOff>
    </xdr:from>
    <xdr:to>
      <xdr:col>5</xdr:col>
      <xdr:colOff>539461</xdr:colOff>
      <xdr:row>543</xdr:row>
      <xdr:rowOff>378402</xdr:rowOff>
    </xdr:to>
    <xdr:pic>
      <xdr:nvPicPr>
        <xdr:cNvPr id="423" name="Picture 52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253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550</xdr:row>
      <xdr:rowOff>45027</xdr:rowOff>
    </xdr:from>
    <xdr:to>
      <xdr:col>5</xdr:col>
      <xdr:colOff>539461</xdr:colOff>
      <xdr:row>550</xdr:row>
      <xdr:rowOff>378402</xdr:rowOff>
    </xdr:to>
    <xdr:pic>
      <xdr:nvPicPr>
        <xdr:cNvPr id="424" name="Picture 5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57022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553</xdr:row>
      <xdr:rowOff>45027</xdr:rowOff>
    </xdr:from>
    <xdr:to>
      <xdr:col>5</xdr:col>
      <xdr:colOff>539461</xdr:colOff>
      <xdr:row>553</xdr:row>
      <xdr:rowOff>378402</xdr:rowOff>
    </xdr:to>
    <xdr:pic>
      <xdr:nvPicPr>
        <xdr:cNvPr id="425" name="Picture 5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70011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551</xdr:row>
      <xdr:rowOff>45027</xdr:rowOff>
    </xdr:from>
    <xdr:to>
      <xdr:col>5</xdr:col>
      <xdr:colOff>539461</xdr:colOff>
      <xdr:row>551</xdr:row>
      <xdr:rowOff>378402</xdr:rowOff>
    </xdr:to>
    <xdr:pic>
      <xdr:nvPicPr>
        <xdr:cNvPr id="426" name="Picture 5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61352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82261</xdr:colOff>
      <xdr:row>554</xdr:row>
      <xdr:rowOff>45027</xdr:rowOff>
    </xdr:from>
    <xdr:to>
      <xdr:col>6</xdr:col>
      <xdr:colOff>4330</xdr:colOff>
      <xdr:row>554</xdr:row>
      <xdr:rowOff>378402</xdr:rowOff>
    </xdr:to>
    <xdr:pic>
      <xdr:nvPicPr>
        <xdr:cNvPr id="427" name="Picture 5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38375" y="3074340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555</xdr:row>
      <xdr:rowOff>45027</xdr:rowOff>
    </xdr:from>
    <xdr:to>
      <xdr:col>5</xdr:col>
      <xdr:colOff>539461</xdr:colOff>
      <xdr:row>555</xdr:row>
      <xdr:rowOff>378402</xdr:rowOff>
    </xdr:to>
    <xdr:pic>
      <xdr:nvPicPr>
        <xdr:cNvPr id="428" name="Picture 5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80055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545</xdr:row>
      <xdr:rowOff>45027</xdr:rowOff>
    </xdr:from>
    <xdr:to>
      <xdr:col>5</xdr:col>
      <xdr:colOff>539461</xdr:colOff>
      <xdr:row>545</xdr:row>
      <xdr:rowOff>378402</xdr:rowOff>
    </xdr:to>
    <xdr:pic>
      <xdr:nvPicPr>
        <xdr:cNvPr id="430" name="Picture 59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35375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591</xdr:row>
      <xdr:rowOff>45027</xdr:rowOff>
    </xdr:from>
    <xdr:to>
      <xdr:col>5</xdr:col>
      <xdr:colOff>539461</xdr:colOff>
      <xdr:row>591</xdr:row>
      <xdr:rowOff>378402</xdr:rowOff>
    </xdr:to>
    <xdr:pic>
      <xdr:nvPicPr>
        <xdr:cNvPr id="431" name="Picture 6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243799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546</xdr:row>
      <xdr:rowOff>45027</xdr:rowOff>
    </xdr:from>
    <xdr:to>
      <xdr:col>5</xdr:col>
      <xdr:colOff>539461</xdr:colOff>
      <xdr:row>546</xdr:row>
      <xdr:rowOff>378402</xdr:rowOff>
    </xdr:to>
    <xdr:pic>
      <xdr:nvPicPr>
        <xdr:cNvPr id="433" name="Picture 62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39704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547</xdr:row>
      <xdr:rowOff>45027</xdr:rowOff>
    </xdr:from>
    <xdr:to>
      <xdr:col>5</xdr:col>
      <xdr:colOff>539461</xdr:colOff>
      <xdr:row>547</xdr:row>
      <xdr:rowOff>378402</xdr:rowOff>
    </xdr:to>
    <xdr:pic>
      <xdr:nvPicPr>
        <xdr:cNvPr id="434" name="Picture 6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44034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548</xdr:row>
      <xdr:rowOff>45027</xdr:rowOff>
    </xdr:from>
    <xdr:to>
      <xdr:col>5</xdr:col>
      <xdr:colOff>539461</xdr:colOff>
      <xdr:row>548</xdr:row>
      <xdr:rowOff>378402</xdr:rowOff>
    </xdr:to>
    <xdr:pic>
      <xdr:nvPicPr>
        <xdr:cNvPr id="435" name="Picture 6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19325" y="3048363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169</xdr:row>
      <xdr:rowOff>25977</xdr:rowOff>
    </xdr:from>
    <xdr:to>
      <xdr:col>5</xdr:col>
      <xdr:colOff>520411</xdr:colOff>
      <xdr:row>169</xdr:row>
      <xdr:rowOff>359352</xdr:rowOff>
    </xdr:to>
    <xdr:pic>
      <xdr:nvPicPr>
        <xdr:cNvPr id="440" name="Picture 6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200275" y="92383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595</xdr:row>
      <xdr:rowOff>25977</xdr:rowOff>
    </xdr:from>
    <xdr:to>
      <xdr:col>5</xdr:col>
      <xdr:colOff>510886</xdr:colOff>
      <xdr:row>595</xdr:row>
      <xdr:rowOff>359352</xdr:rowOff>
    </xdr:to>
    <xdr:pic>
      <xdr:nvPicPr>
        <xdr:cNvPr id="444" name="Picture 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90750" y="326084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</xdr:row>
      <xdr:rowOff>25977</xdr:rowOff>
    </xdr:from>
    <xdr:to>
      <xdr:col>5</xdr:col>
      <xdr:colOff>510886</xdr:colOff>
      <xdr:row>45</xdr:row>
      <xdr:rowOff>359352</xdr:rowOff>
    </xdr:to>
    <xdr:pic>
      <xdr:nvPicPr>
        <xdr:cNvPr id="513" name="Picture 25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4972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51</xdr:row>
      <xdr:rowOff>25977</xdr:rowOff>
    </xdr:from>
    <xdr:to>
      <xdr:col>5</xdr:col>
      <xdr:colOff>510886</xdr:colOff>
      <xdr:row>51</xdr:row>
      <xdr:rowOff>359352</xdr:rowOff>
    </xdr:to>
    <xdr:pic>
      <xdr:nvPicPr>
        <xdr:cNvPr id="514" name="Picture 25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8549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</xdr:row>
      <xdr:rowOff>25977</xdr:rowOff>
    </xdr:from>
    <xdr:to>
      <xdr:col>5</xdr:col>
      <xdr:colOff>510886</xdr:colOff>
      <xdr:row>60</xdr:row>
      <xdr:rowOff>359352</xdr:rowOff>
    </xdr:to>
    <xdr:pic>
      <xdr:nvPicPr>
        <xdr:cNvPr id="515" name="Picture 25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3848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</xdr:row>
      <xdr:rowOff>25977</xdr:rowOff>
    </xdr:from>
    <xdr:to>
      <xdr:col>5</xdr:col>
      <xdr:colOff>510886</xdr:colOff>
      <xdr:row>59</xdr:row>
      <xdr:rowOff>359352</xdr:rowOff>
    </xdr:to>
    <xdr:pic>
      <xdr:nvPicPr>
        <xdr:cNvPr id="516" name="Picture 2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3276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</xdr:row>
      <xdr:rowOff>25977</xdr:rowOff>
    </xdr:from>
    <xdr:to>
      <xdr:col>5</xdr:col>
      <xdr:colOff>510886</xdr:colOff>
      <xdr:row>58</xdr:row>
      <xdr:rowOff>359352</xdr:rowOff>
    </xdr:to>
    <xdr:pic>
      <xdr:nvPicPr>
        <xdr:cNvPr id="517" name="Picture 25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2705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</xdr:row>
      <xdr:rowOff>25977</xdr:rowOff>
    </xdr:from>
    <xdr:to>
      <xdr:col>5</xdr:col>
      <xdr:colOff>510886</xdr:colOff>
      <xdr:row>56</xdr:row>
      <xdr:rowOff>359352</xdr:rowOff>
    </xdr:to>
    <xdr:pic>
      <xdr:nvPicPr>
        <xdr:cNvPr id="518" name="Picture 25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1562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57</xdr:row>
      <xdr:rowOff>25977</xdr:rowOff>
    </xdr:from>
    <xdr:to>
      <xdr:col>5</xdr:col>
      <xdr:colOff>510886</xdr:colOff>
      <xdr:row>57</xdr:row>
      <xdr:rowOff>359352</xdr:rowOff>
    </xdr:to>
    <xdr:pic>
      <xdr:nvPicPr>
        <xdr:cNvPr id="519" name="Picture 25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2133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53</xdr:row>
      <xdr:rowOff>25977</xdr:rowOff>
    </xdr:from>
    <xdr:to>
      <xdr:col>5</xdr:col>
      <xdr:colOff>510886</xdr:colOff>
      <xdr:row>53</xdr:row>
      <xdr:rowOff>359352</xdr:rowOff>
    </xdr:to>
    <xdr:pic>
      <xdr:nvPicPr>
        <xdr:cNvPr id="520" name="Picture 25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9847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</xdr:row>
      <xdr:rowOff>25977</xdr:rowOff>
    </xdr:from>
    <xdr:to>
      <xdr:col>5</xdr:col>
      <xdr:colOff>510886</xdr:colOff>
      <xdr:row>10</xdr:row>
      <xdr:rowOff>359352</xdr:rowOff>
    </xdr:to>
    <xdr:pic>
      <xdr:nvPicPr>
        <xdr:cNvPr id="522" name="Picture 27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5940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</xdr:row>
      <xdr:rowOff>25977</xdr:rowOff>
    </xdr:from>
    <xdr:to>
      <xdr:col>5</xdr:col>
      <xdr:colOff>510886</xdr:colOff>
      <xdr:row>8</xdr:row>
      <xdr:rowOff>359352</xdr:rowOff>
    </xdr:to>
    <xdr:pic>
      <xdr:nvPicPr>
        <xdr:cNvPr id="523" name="Picture 27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4710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</xdr:row>
      <xdr:rowOff>25977</xdr:rowOff>
    </xdr:from>
    <xdr:to>
      <xdr:col>5</xdr:col>
      <xdr:colOff>510886</xdr:colOff>
      <xdr:row>9</xdr:row>
      <xdr:rowOff>359352</xdr:rowOff>
    </xdr:to>
    <xdr:pic>
      <xdr:nvPicPr>
        <xdr:cNvPr id="524" name="Picture 27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5368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</xdr:row>
      <xdr:rowOff>25977</xdr:rowOff>
    </xdr:from>
    <xdr:to>
      <xdr:col>5</xdr:col>
      <xdr:colOff>510886</xdr:colOff>
      <xdr:row>2</xdr:row>
      <xdr:rowOff>359352</xdr:rowOff>
    </xdr:to>
    <xdr:pic>
      <xdr:nvPicPr>
        <xdr:cNvPr id="525" name="Picture 27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1246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</xdr:row>
      <xdr:rowOff>25977</xdr:rowOff>
    </xdr:from>
    <xdr:to>
      <xdr:col>5</xdr:col>
      <xdr:colOff>510886</xdr:colOff>
      <xdr:row>7</xdr:row>
      <xdr:rowOff>359352</xdr:rowOff>
    </xdr:to>
    <xdr:pic>
      <xdr:nvPicPr>
        <xdr:cNvPr id="526" name="Picture 27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4139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</xdr:row>
      <xdr:rowOff>25977</xdr:rowOff>
    </xdr:from>
    <xdr:to>
      <xdr:col>5</xdr:col>
      <xdr:colOff>510886</xdr:colOff>
      <xdr:row>5</xdr:row>
      <xdr:rowOff>359352</xdr:rowOff>
    </xdr:to>
    <xdr:pic>
      <xdr:nvPicPr>
        <xdr:cNvPr id="528" name="Picture 27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2848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153</xdr:row>
      <xdr:rowOff>25977</xdr:rowOff>
    </xdr:from>
    <xdr:to>
      <xdr:col>5</xdr:col>
      <xdr:colOff>510886</xdr:colOff>
      <xdr:row>153</xdr:row>
      <xdr:rowOff>359352</xdr:rowOff>
    </xdr:to>
    <xdr:pic>
      <xdr:nvPicPr>
        <xdr:cNvPr id="93" name="Picture 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0" y="84209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608</xdr:row>
      <xdr:rowOff>25977</xdr:rowOff>
    </xdr:from>
    <xdr:to>
      <xdr:col>5</xdr:col>
      <xdr:colOff>510886</xdr:colOff>
      <xdr:row>608</xdr:row>
      <xdr:rowOff>511752</xdr:rowOff>
    </xdr:to>
    <xdr:pic>
      <xdr:nvPicPr>
        <xdr:cNvPr id="497" name="Picture 1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90750" y="333357682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</xdr:row>
      <xdr:rowOff>25977</xdr:rowOff>
    </xdr:from>
    <xdr:to>
      <xdr:col>5</xdr:col>
      <xdr:colOff>510886</xdr:colOff>
      <xdr:row>3</xdr:row>
      <xdr:rowOff>359352</xdr:rowOff>
    </xdr:to>
    <xdr:pic>
      <xdr:nvPicPr>
        <xdr:cNvPr id="502" name="Picture 27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1705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</xdr:row>
      <xdr:rowOff>25977</xdr:rowOff>
    </xdr:from>
    <xdr:to>
      <xdr:col>5</xdr:col>
      <xdr:colOff>510886</xdr:colOff>
      <xdr:row>4</xdr:row>
      <xdr:rowOff>359352</xdr:rowOff>
    </xdr:to>
    <xdr:pic>
      <xdr:nvPicPr>
        <xdr:cNvPr id="503" name="Picture 27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2277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</xdr:row>
      <xdr:rowOff>25977</xdr:rowOff>
    </xdr:from>
    <xdr:to>
      <xdr:col>5</xdr:col>
      <xdr:colOff>510886</xdr:colOff>
      <xdr:row>6</xdr:row>
      <xdr:rowOff>359352</xdr:rowOff>
    </xdr:to>
    <xdr:pic>
      <xdr:nvPicPr>
        <xdr:cNvPr id="504" name="Picture 27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3420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248</xdr:row>
      <xdr:rowOff>25977</xdr:rowOff>
    </xdr:from>
    <xdr:to>
      <xdr:col>5</xdr:col>
      <xdr:colOff>510886</xdr:colOff>
      <xdr:row>248</xdr:row>
      <xdr:rowOff>359352</xdr:rowOff>
    </xdr:to>
    <xdr:pic>
      <xdr:nvPicPr>
        <xdr:cNvPr id="505" name="Picture 4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8085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</xdr:row>
      <xdr:rowOff>25977</xdr:rowOff>
    </xdr:from>
    <xdr:to>
      <xdr:col>5</xdr:col>
      <xdr:colOff>510886</xdr:colOff>
      <xdr:row>16</xdr:row>
      <xdr:rowOff>359352</xdr:rowOff>
    </xdr:to>
    <xdr:pic>
      <xdr:nvPicPr>
        <xdr:cNvPr id="506" name="Picture 21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8659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359</xdr:row>
      <xdr:rowOff>25977</xdr:rowOff>
    </xdr:from>
    <xdr:to>
      <xdr:col>5</xdr:col>
      <xdr:colOff>510886</xdr:colOff>
      <xdr:row>359</xdr:row>
      <xdr:rowOff>359352</xdr:rowOff>
    </xdr:to>
    <xdr:pic>
      <xdr:nvPicPr>
        <xdr:cNvPr id="527" name="Picture 10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86811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533</xdr:row>
      <xdr:rowOff>45027</xdr:rowOff>
    </xdr:from>
    <xdr:to>
      <xdr:col>5</xdr:col>
      <xdr:colOff>529936</xdr:colOff>
      <xdr:row>533</xdr:row>
      <xdr:rowOff>378402</xdr:rowOff>
    </xdr:to>
    <xdr:pic>
      <xdr:nvPicPr>
        <xdr:cNvPr id="530" name="Picture 25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9800" y="2967834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</xdr:row>
      <xdr:rowOff>25977</xdr:rowOff>
    </xdr:from>
    <xdr:to>
      <xdr:col>5</xdr:col>
      <xdr:colOff>510886</xdr:colOff>
      <xdr:row>20</xdr:row>
      <xdr:rowOff>359352</xdr:rowOff>
    </xdr:to>
    <xdr:pic>
      <xdr:nvPicPr>
        <xdr:cNvPr id="532" name="Picture 12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1031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</xdr:row>
      <xdr:rowOff>25977</xdr:rowOff>
    </xdr:from>
    <xdr:to>
      <xdr:col>5</xdr:col>
      <xdr:colOff>510886</xdr:colOff>
      <xdr:row>22</xdr:row>
      <xdr:rowOff>359352</xdr:rowOff>
    </xdr:to>
    <xdr:pic>
      <xdr:nvPicPr>
        <xdr:cNvPr id="533" name="Picture 12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2174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</xdr:row>
      <xdr:rowOff>25977</xdr:rowOff>
    </xdr:from>
    <xdr:to>
      <xdr:col>5</xdr:col>
      <xdr:colOff>510886</xdr:colOff>
      <xdr:row>23</xdr:row>
      <xdr:rowOff>359352</xdr:rowOff>
    </xdr:to>
    <xdr:pic>
      <xdr:nvPicPr>
        <xdr:cNvPr id="534" name="Picture 12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2893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</xdr:row>
      <xdr:rowOff>25977</xdr:rowOff>
    </xdr:from>
    <xdr:to>
      <xdr:col>5</xdr:col>
      <xdr:colOff>510886</xdr:colOff>
      <xdr:row>25</xdr:row>
      <xdr:rowOff>359352</xdr:rowOff>
    </xdr:to>
    <xdr:pic>
      <xdr:nvPicPr>
        <xdr:cNvPr id="535" name="Picture 12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0" y="14183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63</xdr:row>
      <xdr:rowOff>25977</xdr:rowOff>
    </xdr:from>
    <xdr:to>
      <xdr:col>5</xdr:col>
      <xdr:colOff>510886</xdr:colOff>
      <xdr:row>63</xdr:row>
      <xdr:rowOff>359352</xdr:rowOff>
    </xdr:to>
    <xdr:pic>
      <xdr:nvPicPr>
        <xdr:cNvPr id="536" name="Picture 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35857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62</xdr:row>
      <xdr:rowOff>25977</xdr:rowOff>
    </xdr:from>
    <xdr:to>
      <xdr:col>5</xdr:col>
      <xdr:colOff>510886</xdr:colOff>
      <xdr:row>62</xdr:row>
      <xdr:rowOff>359352</xdr:rowOff>
    </xdr:to>
    <xdr:pic>
      <xdr:nvPicPr>
        <xdr:cNvPr id="537" name="Picture 3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35424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</xdr:row>
      <xdr:rowOff>25977</xdr:rowOff>
    </xdr:from>
    <xdr:to>
      <xdr:col>5</xdr:col>
      <xdr:colOff>510886</xdr:colOff>
      <xdr:row>28</xdr:row>
      <xdr:rowOff>359352</xdr:rowOff>
    </xdr:to>
    <xdr:pic>
      <xdr:nvPicPr>
        <xdr:cNvPr id="539" name="Picture 5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5932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</xdr:row>
      <xdr:rowOff>25977</xdr:rowOff>
    </xdr:from>
    <xdr:to>
      <xdr:col>5</xdr:col>
      <xdr:colOff>510886</xdr:colOff>
      <xdr:row>33</xdr:row>
      <xdr:rowOff>359352</xdr:rowOff>
    </xdr:to>
    <xdr:pic>
      <xdr:nvPicPr>
        <xdr:cNvPr id="540" name="Picture 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0" y="18651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192</xdr:row>
      <xdr:rowOff>25977</xdr:rowOff>
    </xdr:from>
    <xdr:to>
      <xdr:col>5</xdr:col>
      <xdr:colOff>510886</xdr:colOff>
      <xdr:row>192</xdr:row>
      <xdr:rowOff>359352</xdr:rowOff>
    </xdr:to>
    <xdr:pic>
      <xdr:nvPicPr>
        <xdr:cNvPr id="542" name="Picture 3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0558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394</xdr:row>
      <xdr:rowOff>45027</xdr:rowOff>
    </xdr:from>
    <xdr:to>
      <xdr:col>5</xdr:col>
      <xdr:colOff>548986</xdr:colOff>
      <xdr:row>394</xdr:row>
      <xdr:rowOff>378402</xdr:rowOff>
    </xdr:to>
    <xdr:pic>
      <xdr:nvPicPr>
        <xdr:cNvPr id="543" name="Picture 12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28850" y="2044948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610</xdr:row>
      <xdr:rowOff>35502</xdr:rowOff>
    </xdr:from>
    <xdr:to>
      <xdr:col>5</xdr:col>
      <xdr:colOff>520411</xdr:colOff>
      <xdr:row>610</xdr:row>
      <xdr:rowOff>368877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0275" y="33437166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</xdr:row>
      <xdr:rowOff>25977</xdr:rowOff>
    </xdr:from>
    <xdr:to>
      <xdr:col>5</xdr:col>
      <xdr:colOff>510886</xdr:colOff>
      <xdr:row>40</xdr:row>
      <xdr:rowOff>359352</xdr:rowOff>
    </xdr:to>
    <xdr:pic>
      <xdr:nvPicPr>
        <xdr:cNvPr id="544" name="Picture 2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2669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39</xdr:row>
      <xdr:rowOff>25977</xdr:rowOff>
    </xdr:from>
    <xdr:to>
      <xdr:col>5</xdr:col>
      <xdr:colOff>510886</xdr:colOff>
      <xdr:row>39</xdr:row>
      <xdr:rowOff>359352</xdr:rowOff>
    </xdr:to>
    <xdr:pic>
      <xdr:nvPicPr>
        <xdr:cNvPr id="545" name="Picture 2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22236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69</xdr:row>
      <xdr:rowOff>25977</xdr:rowOff>
    </xdr:from>
    <xdr:to>
      <xdr:col>5</xdr:col>
      <xdr:colOff>510886</xdr:colOff>
      <xdr:row>69</xdr:row>
      <xdr:rowOff>359352</xdr:rowOff>
    </xdr:to>
    <xdr:pic>
      <xdr:nvPicPr>
        <xdr:cNvPr id="546" name="Picture 7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39156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72</xdr:row>
      <xdr:rowOff>25977</xdr:rowOff>
    </xdr:from>
    <xdr:to>
      <xdr:col>5</xdr:col>
      <xdr:colOff>510886</xdr:colOff>
      <xdr:row>72</xdr:row>
      <xdr:rowOff>359352</xdr:rowOff>
    </xdr:to>
    <xdr:pic>
      <xdr:nvPicPr>
        <xdr:cNvPr id="548" name="Picture 1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0593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75</xdr:row>
      <xdr:rowOff>25977</xdr:rowOff>
    </xdr:from>
    <xdr:to>
      <xdr:col>5</xdr:col>
      <xdr:colOff>510886</xdr:colOff>
      <xdr:row>75</xdr:row>
      <xdr:rowOff>359352</xdr:rowOff>
    </xdr:to>
    <xdr:pic>
      <xdr:nvPicPr>
        <xdr:cNvPr id="549" name="Picture 1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2031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76</xdr:row>
      <xdr:rowOff>25977</xdr:rowOff>
    </xdr:from>
    <xdr:to>
      <xdr:col>5</xdr:col>
      <xdr:colOff>510886</xdr:colOff>
      <xdr:row>76</xdr:row>
      <xdr:rowOff>359352</xdr:rowOff>
    </xdr:to>
    <xdr:pic>
      <xdr:nvPicPr>
        <xdr:cNvPr id="550" name="Picture 1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2602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82</xdr:row>
      <xdr:rowOff>25977</xdr:rowOff>
    </xdr:from>
    <xdr:to>
      <xdr:col>5</xdr:col>
      <xdr:colOff>510886</xdr:colOff>
      <xdr:row>82</xdr:row>
      <xdr:rowOff>359352</xdr:rowOff>
    </xdr:to>
    <xdr:pic>
      <xdr:nvPicPr>
        <xdr:cNvPr id="552" name="Picture 1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5183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88</xdr:row>
      <xdr:rowOff>25977</xdr:rowOff>
    </xdr:from>
    <xdr:to>
      <xdr:col>5</xdr:col>
      <xdr:colOff>510886</xdr:colOff>
      <xdr:row>88</xdr:row>
      <xdr:rowOff>359352</xdr:rowOff>
    </xdr:to>
    <xdr:pic>
      <xdr:nvPicPr>
        <xdr:cNvPr id="553" name="Picture 15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8482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87</xdr:row>
      <xdr:rowOff>35502</xdr:rowOff>
    </xdr:from>
    <xdr:to>
      <xdr:col>5</xdr:col>
      <xdr:colOff>510886</xdr:colOff>
      <xdr:row>87</xdr:row>
      <xdr:rowOff>368877</xdr:rowOff>
    </xdr:to>
    <xdr:pic>
      <xdr:nvPicPr>
        <xdr:cNvPr id="554" name="Picture 15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777307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98</xdr:row>
      <xdr:rowOff>25977</xdr:rowOff>
    </xdr:from>
    <xdr:to>
      <xdr:col>5</xdr:col>
      <xdr:colOff>510886</xdr:colOff>
      <xdr:row>98</xdr:row>
      <xdr:rowOff>359352</xdr:rowOff>
    </xdr:to>
    <xdr:pic>
      <xdr:nvPicPr>
        <xdr:cNvPr id="555" name="Picture 4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54361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419</xdr:row>
      <xdr:rowOff>25977</xdr:rowOff>
    </xdr:from>
    <xdr:to>
      <xdr:col>5</xdr:col>
      <xdr:colOff>510886</xdr:colOff>
      <xdr:row>419</xdr:row>
      <xdr:rowOff>359352</xdr:rowOff>
    </xdr:to>
    <xdr:pic>
      <xdr:nvPicPr>
        <xdr:cNvPr id="556" name="Picture 11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0668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422</xdr:row>
      <xdr:rowOff>25977</xdr:rowOff>
    </xdr:from>
    <xdr:to>
      <xdr:col>5</xdr:col>
      <xdr:colOff>510886</xdr:colOff>
      <xdr:row>422</xdr:row>
      <xdr:rowOff>359352</xdr:rowOff>
    </xdr:to>
    <xdr:pic>
      <xdr:nvPicPr>
        <xdr:cNvPr id="557" name="Picture 11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2382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151</xdr:row>
      <xdr:rowOff>25977</xdr:rowOff>
    </xdr:from>
    <xdr:to>
      <xdr:col>5</xdr:col>
      <xdr:colOff>510886</xdr:colOff>
      <xdr:row>151</xdr:row>
      <xdr:rowOff>359352</xdr:rowOff>
    </xdr:to>
    <xdr:pic>
      <xdr:nvPicPr>
        <xdr:cNvPr id="560" name="Picture 3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83205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154</xdr:row>
      <xdr:rowOff>25977</xdr:rowOff>
    </xdr:from>
    <xdr:to>
      <xdr:col>5</xdr:col>
      <xdr:colOff>510886</xdr:colOff>
      <xdr:row>154</xdr:row>
      <xdr:rowOff>359352</xdr:rowOff>
    </xdr:to>
    <xdr:pic>
      <xdr:nvPicPr>
        <xdr:cNvPr id="562" name="Picture 1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0" y="84781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104</xdr:row>
      <xdr:rowOff>25977</xdr:rowOff>
    </xdr:from>
    <xdr:to>
      <xdr:col>5</xdr:col>
      <xdr:colOff>510886</xdr:colOff>
      <xdr:row>104</xdr:row>
      <xdr:rowOff>359352</xdr:rowOff>
    </xdr:to>
    <xdr:pic>
      <xdr:nvPicPr>
        <xdr:cNvPr id="564" name="Picture 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57946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105</xdr:row>
      <xdr:rowOff>25977</xdr:rowOff>
    </xdr:from>
    <xdr:to>
      <xdr:col>5</xdr:col>
      <xdr:colOff>510886</xdr:colOff>
      <xdr:row>105</xdr:row>
      <xdr:rowOff>359352</xdr:rowOff>
    </xdr:to>
    <xdr:pic>
      <xdr:nvPicPr>
        <xdr:cNvPr id="565" name="Picture 3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58379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43295</xdr:colOff>
      <xdr:row>108</xdr:row>
      <xdr:rowOff>34636</xdr:rowOff>
    </xdr:from>
    <xdr:to>
      <xdr:col>5</xdr:col>
      <xdr:colOff>518495</xdr:colOff>
      <xdr:row>108</xdr:row>
      <xdr:rowOff>367276</xdr:rowOff>
    </xdr:to>
    <xdr:pic>
      <xdr:nvPicPr>
        <xdr:cNvPr id="567" name="Picture 1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99409" y="60249954"/>
          <a:ext cx="475200" cy="3326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34636</xdr:colOff>
      <xdr:row>47</xdr:row>
      <xdr:rowOff>25977</xdr:rowOff>
    </xdr:from>
    <xdr:to>
      <xdr:col>5</xdr:col>
      <xdr:colOff>510886</xdr:colOff>
      <xdr:row>47</xdr:row>
      <xdr:rowOff>359352</xdr:rowOff>
    </xdr:to>
    <xdr:pic>
      <xdr:nvPicPr>
        <xdr:cNvPr id="569" name="Picture 25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6115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</xdr:row>
      <xdr:rowOff>25977</xdr:rowOff>
    </xdr:from>
    <xdr:to>
      <xdr:col>5</xdr:col>
      <xdr:colOff>510886</xdr:colOff>
      <xdr:row>46</xdr:row>
      <xdr:rowOff>359352</xdr:rowOff>
    </xdr:to>
    <xdr:pic>
      <xdr:nvPicPr>
        <xdr:cNvPr id="570" name="Picture 25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5544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</xdr:row>
      <xdr:rowOff>25977</xdr:rowOff>
    </xdr:from>
    <xdr:to>
      <xdr:col>5</xdr:col>
      <xdr:colOff>510886</xdr:colOff>
      <xdr:row>48</xdr:row>
      <xdr:rowOff>359352</xdr:rowOff>
    </xdr:to>
    <xdr:pic>
      <xdr:nvPicPr>
        <xdr:cNvPr id="571" name="Picture 25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6687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</xdr:row>
      <xdr:rowOff>25977</xdr:rowOff>
    </xdr:from>
    <xdr:to>
      <xdr:col>5</xdr:col>
      <xdr:colOff>510886</xdr:colOff>
      <xdr:row>49</xdr:row>
      <xdr:rowOff>359352</xdr:rowOff>
    </xdr:to>
    <xdr:pic>
      <xdr:nvPicPr>
        <xdr:cNvPr id="572" name="Picture 25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54136" y="281533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</xdr:row>
      <xdr:rowOff>25977</xdr:rowOff>
    </xdr:from>
    <xdr:to>
      <xdr:col>5</xdr:col>
      <xdr:colOff>510886</xdr:colOff>
      <xdr:row>50</xdr:row>
      <xdr:rowOff>359352</xdr:rowOff>
    </xdr:to>
    <xdr:pic>
      <xdr:nvPicPr>
        <xdr:cNvPr id="573" name="Picture 25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7977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52</xdr:row>
      <xdr:rowOff>25977</xdr:rowOff>
    </xdr:from>
    <xdr:to>
      <xdr:col>5</xdr:col>
      <xdr:colOff>510886</xdr:colOff>
      <xdr:row>52</xdr:row>
      <xdr:rowOff>359352</xdr:rowOff>
    </xdr:to>
    <xdr:pic>
      <xdr:nvPicPr>
        <xdr:cNvPr id="574" name="Picture 25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29276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54</xdr:row>
      <xdr:rowOff>25977</xdr:rowOff>
    </xdr:from>
    <xdr:to>
      <xdr:col>5</xdr:col>
      <xdr:colOff>510886</xdr:colOff>
      <xdr:row>54</xdr:row>
      <xdr:rowOff>359352</xdr:rowOff>
    </xdr:to>
    <xdr:pic>
      <xdr:nvPicPr>
        <xdr:cNvPr id="575" name="Picture 25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0419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55</xdr:row>
      <xdr:rowOff>25977</xdr:rowOff>
    </xdr:from>
    <xdr:to>
      <xdr:col>5</xdr:col>
      <xdr:colOff>510886</xdr:colOff>
      <xdr:row>55</xdr:row>
      <xdr:rowOff>359352</xdr:rowOff>
    </xdr:to>
    <xdr:pic>
      <xdr:nvPicPr>
        <xdr:cNvPr id="576" name="Picture 2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0" y="30990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117</xdr:row>
      <xdr:rowOff>25977</xdr:rowOff>
    </xdr:from>
    <xdr:to>
      <xdr:col>5</xdr:col>
      <xdr:colOff>510886</xdr:colOff>
      <xdr:row>117</xdr:row>
      <xdr:rowOff>359352</xdr:rowOff>
    </xdr:to>
    <xdr:pic>
      <xdr:nvPicPr>
        <xdr:cNvPr id="578" name="Picture 7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4847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114</xdr:row>
      <xdr:rowOff>25977</xdr:rowOff>
    </xdr:from>
    <xdr:to>
      <xdr:col>5</xdr:col>
      <xdr:colOff>510886</xdr:colOff>
      <xdr:row>114</xdr:row>
      <xdr:rowOff>359352</xdr:rowOff>
    </xdr:to>
    <xdr:pic>
      <xdr:nvPicPr>
        <xdr:cNvPr id="579" name="Picture 7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63549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126</xdr:row>
      <xdr:rowOff>25977</xdr:rowOff>
    </xdr:from>
    <xdr:to>
      <xdr:col>5</xdr:col>
      <xdr:colOff>310861</xdr:colOff>
      <xdr:row>126</xdr:row>
      <xdr:rowOff>406977</xdr:rowOff>
    </xdr:to>
    <xdr:pic>
      <xdr:nvPicPr>
        <xdr:cNvPr id="581" name="Picture 6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0" y="70450363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34636</xdr:colOff>
      <xdr:row>128</xdr:row>
      <xdr:rowOff>25977</xdr:rowOff>
    </xdr:from>
    <xdr:to>
      <xdr:col>5</xdr:col>
      <xdr:colOff>510886</xdr:colOff>
      <xdr:row>128</xdr:row>
      <xdr:rowOff>359352</xdr:rowOff>
    </xdr:to>
    <xdr:pic>
      <xdr:nvPicPr>
        <xdr:cNvPr id="582" name="Picture 4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72173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61</xdr:row>
      <xdr:rowOff>25977</xdr:rowOff>
    </xdr:from>
    <xdr:to>
      <xdr:col>5</xdr:col>
      <xdr:colOff>510886</xdr:colOff>
      <xdr:row>61</xdr:row>
      <xdr:rowOff>359352</xdr:rowOff>
    </xdr:to>
    <xdr:pic>
      <xdr:nvPicPr>
        <xdr:cNvPr id="584" name="Picture 124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90750" y="34567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64</xdr:row>
      <xdr:rowOff>25977</xdr:rowOff>
    </xdr:from>
    <xdr:to>
      <xdr:col>5</xdr:col>
      <xdr:colOff>510886</xdr:colOff>
      <xdr:row>64</xdr:row>
      <xdr:rowOff>359352</xdr:rowOff>
    </xdr:to>
    <xdr:pic>
      <xdr:nvPicPr>
        <xdr:cNvPr id="585" name="Picture 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36428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65</xdr:row>
      <xdr:rowOff>25977</xdr:rowOff>
    </xdr:from>
    <xdr:to>
      <xdr:col>5</xdr:col>
      <xdr:colOff>510886</xdr:colOff>
      <xdr:row>65</xdr:row>
      <xdr:rowOff>359352</xdr:rowOff>
    </xdr:to>
    <xdr:pic>
      <xdr:nvPicPr>
        <xdr:cNvPr id="586" name="Picture 4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0" y="36861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67</xdr:row>
      <xdr:rowOff>25977</xdr:rowOff>
    </xdr:from>
    <xdr:to>
      <xdr:col>5</xdr:col>
      <xdr:colOff>510886</xdr:colOff>
      <xdr:row>67</xdr:row>
      <xdr:rowOff>359352</xdr:rowOff>
    </xdr:to>
    <xdr:pic>
      <xdr:nvPicPr>
        <xdr:cNvPr id="587" name="Picture 7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37866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77</xdr:row>
      <xdr:rowOff>25977</xdr:rowOff>
    </xdr:from>
    <xdr:to>
      <xdr:col>5</xdr:col>
      <xdr:colOff>510886</xdr:colOff>
      <xdr:row>77</xdr:row>
      <xdr:rowOff>359352</xdr:rowOff>
    </xdr:to>
    <xdr:pic>
      <xdr:nvPicPr>
        <xdr:cNvPr id="588" name="Picture 1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0" y="43174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89</xdr:row>
      <xdr:rowOff>25977</xdr:rowOff>
    </xdr:from>
    <xdr:to>
      <xdr:col>5</xdr:col>
      <xdr:colOff>510886</xdr:colOff>
      <xdr:row>89</xdr:row>
      <xdr:rowOff>359352</xdr:rowOff>
    </xdr:to>
    <xdr:pic>
      <xdr:nvPicPr>
        <xdr:cNvPr id="589" name="Picture 15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0" y="49200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97</xdr:row>
      <xdr:rowOff>25977</xdr:rowOff>
    </xdr:from>
    <xdr:to>
      <xdr:col>5</xdr:col>
      <xdr:colOff>510886</xdr:colOff>
      <xdr:row>97</xdr:row>
      <xdr:rowOff>359352</xdr:rowOff>
    </xdr:to>
    <xdr:pic>
      <xdr:nvPicPr>
        <xdr:cNvPr id="590" name="Picture 4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53790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101</xdr:row>
      <xdr:rowOff>25977</xdr:rowOff>
    </xdr:from>
    <xdr:to>
      <xdr:col>5</xdr:col>
      <xdr:colOff>510886</xdr:colOff>
      <xdr:row>101</xdr:row>
      <xdr:rowOff>359352</xdr:rowOff>
    </xdr:to>
    <xdr:pic>
      <xdr:nvPicPr>
        <xdr:cNvPr id="591" name="Picture 10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56223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102</xdr:row>
      <xdr:rowOff>25977</xdr:rowOff>
    </xdr:from>
    <xdr:to>
      <xdr:col>5</xdr:col>
      <xdr:colOff>510886</xdr:colOff>
      <xdr:row>102</xdr:row>
      <xdr:rowOff>359352</xdr:rowOff>
    </xdr:to>
    <xdr:pic>
      <xdr:nvPicPr>
        <xdr:cNvPr id="592" name="Picture 3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56942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107</xdr:row>
      <xdr:rowOff>25977</xdr:rowOff>
    </xdr:from>
    <xdr:to>
      <xdr:col>5</xdr:col>
      <xdr:colOff>509836</xdr:colOff>
      <xdr:row>107</xdr:row>
      <xdr:rowOff>358617</xdr:rowOff>
    </xdr:to>
    <xdr:pic>
      <xdr:nvPicPr>
        <xdr:cNvPr id="593" name="Picture 1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90750" y="59522591"/>
          <a:ext cx="475200" cy="3326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34636</xdr:colOff>
      <xdr:row>111</xdr:row>
      <xdr:rowOff>25977</xdr:rowOff>
    </xdr:from>
    <xdr:to>
      <xdr:col>5</xdr:col>
      <xdr:colOff>510886</xdr:colOff>
      <xdr:row>111</xdr:row>
      <xdr:rowOff>359352</xdr:rowOff>
    </xdr:to>
    <xdr:pic>
      <xdr:nvPicPr>
        <xdr:cNvPr id="594" name="Picture 12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62111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119</xdr:row>
      <xdr:rowOff>25977</xdr:rowOff>
    </xdr:from>
    <xdr:to>
      <xdr:col>5</xdr:col>
      <xdr:colOff>510886</xdr:colOff>
      <xdr:row>119</xdr:row>
      <xdr:rowOff>359352</xdr:rowOff>
    </xdr:to>
    <xdr:pic>
      <xdr:nvPicPr>
        <xdr:cNvPr id="595" name="Picture 12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65852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121</xdr:row>
      <xdr:rowOff>35502</xdr:rowOff>
    </xdr:from>
    <xdr:to>
      <xdr:col>5</xdr:col>
      <xdr:colOff>520411</xdr:colOff>
      <xdr:row>121</xdr:row>
      <xdr:rowOff>368877</xdr:rowOff>
    </xdr:to>
    <xdr:pic>
      <xdr:nvPicPr>
        <xdr:cNvPr id="597" name="Picture 12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00275" y="6700491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611</xdr:row>
      <xdr:rowOff>25977</xdr:rowOff>
    </xdr:from>
    <xdr:to>
      <xdr:col>5</xdr:col>
      <xdr:colOff>510886</xdr:colOff>
      <xdr:row>611</xdr:row>
      <xdr:rowOff>359352</xdr:rowOff>
    </xdr:to>
    <xdr:pic>
      <xdr:nvPicPr>
        <xdr:cNvPr id="600" name="Picture 120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90750" y="334933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613</xdr:row>
      <xdr:rowOff>25977</xdr:rowOff>
    </xdr:from>
    <xdr:to>
      <xdr:col>5</xdr:col>
      <xdr:colOff>510886</xdr:colOff>
      <xdr:row>613</xdr:row>
      <xdr:rowOff>359352</xdr:rowOff>
    </xdr:to>
    <xdr:pic>
      <xdr:nvPicPr>
        <xdr:cNvPr id="602" name="Picture 121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90750" y="336942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612</xdr:row>
      <xdr:rowOff>54552</xdr:rowOff>
    </xdr:from>
    <xdr:to>
      <xdr:col>5</xdr:col>
      <xdr:colOff>529936</xdr:colOff>
      <xdr:row>612</xdr:row>
      <xdr:rowOff>387927</xdr:rowOff>
    </xdr:to>
    <xdr:pic>
      <xdr:nvPicPr>
        <xdr:cNvPr id="604" name="Picture 125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673186" y="365881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92</xdr:row>
      <xdr:rowOff>25977</xdr:rowOff>
    </xdr:from>
    <xdr:to>
      <xdr:col>5</xdr:col>
      <xdr:colOff>510886</xdr:colOff>
      <xdr:row>92</xdr:row>
      <xdr:rowOff>359352</xdr:rowOff>
    </xdr:to>
    <xdr:pic>
      <xdr:nvPicPr>
        <xdr:cNvPr id="566" name="Picture 13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1062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244</xdr:row>
      <xdr:rowOff>25977</xdr:rowOff>
    </xdr:from>
    <xdr:to>
      <xdr:col>5</xdr:col>
      <xdr:colOff>510886</xdr:colOff>
      <xdr:row>244</xdr:row>
      <xdr:rowOff>359352</xdr:rowOff>
    </xdr:to>
    <xdr:pic>
      <xdr:nvPicPr>
        <xdr:cNvPr id="568" name="Picture 4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0" y="126353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205</xdr:row>
      <xdr:rowOff>25977</xdr:rowOff>
    </xdr:from>
    <xdr:to>
      <xdr:col>5</xdr:col>
      <xdr:colOff>510886</xdr:colOff>
      <xdr:row>205</xdr:row>
      <xdr:rowOff>359352</xdr:rowOff>
    </xdr:to>
    <xdr:pic>
      <xdr:nvPicPr>
        <xdr:cNvPr id="596" name="Picture 16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90750" y="105407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202</xdr:row>
      <xdr:rowOff>25977</xdr:rowOff>
    </xdr:from>
    <xdr:to>
      <xdr:col>5</xdr:col>
      <xdr:colOff>510886</xdr:colOff>
      <xdr:row>202</xdr:row>
      <xdr:rowOff>359352</xdr:rowOff>
    </xdr:to>
    <xdr:pic>
      <xdr:nvPicPr>
        <xdr:cNvPr id="598" name="Picture 14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3831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191</xdr:row>
      <xdr:rowOff>25977</xdr:rowOff>
    </xdr:from>
    <xdr:to>
      <xdr:col>5</xdr:col>
      <xdr:colOff>510886</xdr:colOff>
      <xdr:row>191</xdr:row>
      <xdr:rowOff>359352</xdr:rowOff>
    </xdr:to>
    <xdr:pic>
      <xdr:nvPicPr>
        <xdr:cNvPr id="599" name="Picture 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0125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189</xdr:row>
      <xdr:rowOff>25977</xdr:rowOff>
    </xdr:from>
    <xdr:to>
      <xdr:col>5</xdr:col>
      <xdr:colOff>510886</xdr:colOff>
      <xdr:row>189</xdr:row>
      <xdr:rowOff>359352</xdr:rowOff>
    </xdr:to>
    <xdr:pic>
      <xdr:nvPicPr>
        <xdr:cNvPr id="601" name="Picture 3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9259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167</xdr:row>
      <xdr:rowOff>25977</xdr:rowOff>
    </xdr:from>
    <xdr:to>
      <xdr:col>5</xdr:col>
      <xdr:colOff>510886</xdr:colOff>
      <xdr:row>167</xdr:row>
      <xdr:rowOff>359352</xdr:rowOff>
    </xdr:to>
    <xdr:pic>
      <xdr:nvPicPr>
        <xdr:cNvPr id="605" name="Picture 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91093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168</xdr:row>
      <xdr:rowOff>25977</xdr:rowOff>
    </xdr:from>
    <xdr:to>
      <xdr:col>5</xdr:col>
      <xdr:colOff>510886</xdr:colOff>
      <xdr:row>168</xdr:row>
      <xdr:rowOff>359352</xdr:rowOff>
    </xdr:to>
    <xdr:pic>
      <xdr:nvPicPr>
        <xdr:cNvPr id="606" name="Picture 69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90750" y="91812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163</xdr:row>
      <xdr:rowOff>25977</xdr:rowOff>
    </xdr:from>
    <xdr:to>
      <xdr:col>5</xdr:col>
      <xdr:colOff>510886</xdr:colOff>
      <xdr:row>163</xdr:row>
      <xdr:rowOff>359352</xdr:rowOff>
    </xdr:to>
    <xdr:pic>
      <xdr:nvPicPr>
        <xdr:cNvPr id="607" name="Picture 10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89517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162</xdr:row>
      <xdr:rowOff>25977</xdr:rowOff>
    </xdr:from>
    <xdr:to>
      <xdr:col>5</xdr:col>
      <xdr:colOff>510886</xdr:colOff>
      <xdr:row>162</xdr:row>
      <xdr:rowOff>359352</xdr:rowOff>
    </xdr:to>
    <xdr:pic>
      <xdr:nvPicPr>
        <xdr:cNvPr id="608" name="Picture 11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89084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158</xdr:row>
      <xdr:rowOff>25977</xdr:rowOff>
    </xdr:from>
    <xdr:to>
      <xdr:col>5</xdr:col>
      <xdr:colOff>510886</xdr:colOff>
      <xdr:row>158</xdr:row>
      <xdr:rowOff>359352</xdr:rowOff>
    </xdr:to>
    <xdr:pic>
      <xdr:nvPicPr>
        <xdr:cNvPr id="609" name="Picture 1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90750" y="86651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145</xdr:row>
      <xdr:rowOff>25977</xdr:rowOff>
    </xdr:from>
    <xdr:to>
      <xdr:col>5</xdr:col>
      <xdr:colOff>510886</xdr:colOff>
      <xdr:row>145</xdr:row>
      <xdr:rowOff>359352</xdr:rowOff>
    </xdr:to>
    <xdr:pic>
      <xdr:nvPicPr>
        <xdr:cNvPr id="610" name="Picture 49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80053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141</xdr:row>
      <xdr:rowOff>25977</xdr:rowOff>
    </xdr:from>
    <xdr:to>
      <xdr:col>5</xdr:col>
      <xdr:colOff>510886</xdr:colOff>
      <xdr:row>141</xdr:row>
      <xdr:rowOff>359352</xdr:rowOff>
    </xdr:to>
    <xdr:pic>
      <xdr:nvPicPr>
        <xdr:cNvPr id="611" name="Picture 5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77758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139</xdr:row>
      <xdr:rowOff>25977</xdr:rowOff>
    </xdr:from>
    <xdr:to>
      <xdr:col>5</xdr:col>
      <xdr:colOff>510886</xdr:colOff>
      <xdr:row>139</xdr:row>
      <xdr:rowOff>359352</xdr:rowOff>
    </xdr:to>
    <xdr:pic>
      <xdr:nvPicPr>
        <xdr:cNvPr id="612" name="Picture 12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76615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136</xdr:row>
      <xdr:rowOff>25977</xdr:rowOff>
    </xdr:from>
    <xdr:to>
      <xdr:col>5</xdr:col>
      <xdr:colOff>510886</xdr:colOff>
      <xdr:row>136</xdr:row>
      <xdr:rowOff>359352</xdr:rowOff>
    </xdr:to>
    <xdr:pic>
      <xdr:nvPicPr>
        <xdr:cNvPr id="613" name="Picture 5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75472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132</xdr:row>
      <xdr:rowOff>25977</xdr:rowOff>
    </xdr:from>
    <xdr:to>
      <xdr:col>5</xdr:col>
      <xdr:colOff>510886</xdr:colOff>
      <xdr:row>132</xdr:row>
      <xdr:rowOff>359352</xdr:rowOff>
    </xdr:to>
    <xdr:pic>
      <xdr:nvPicPr>
        <xdr:cNvPr id="614" name="Picture 155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90750" y="72745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133</xdr:row>
      <xdr:rowOff>25977</xdr:rowOff>
    </xdr:from>
    <xdr:to>
      <xdr:col>5</xdr:col>
      <xdr:colOff>510886</xdr:colOff>
      <xdr:row>133</xdr:row>
      <xdr:rowOff>359352</xdr:rowOff>
    </xdr:to>
    <xdr:pic>
      <xdr:nvPicPr>
        <xdr:cNvPr id="615" name="Picture 156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90750" y="73463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134</xdr:row>
      <xdr:rowOff>25977</xdr:rowOff>
    </xdr:from>
    <xdr:to>
      <xdr:col>5</xdr:col>
      <xdr:colOff>510886</xdr:colOff>
      <xdr:row>134</xdr:row>
      <xdr:rowOff>359352</xdr:rowOff>
    </xdr:to>
    <xdr:pic>
      <xdr:nvPicPr>
        <xdr:cNvPr id="616" name="Picture 153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90750" y="74035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178</xdr:row>
      <xdr:rowOff>25977</xdr:rowOff>
    </xdr:from>
    <xdr:to>
      <xdr:col>5</xdr:col>
      <xdr:colOff>510886</xdr:colOff>
      <xdr:row>178</xdr:row>
      <xdr:rowOff>359352</xdr:rowOff>
    </xdr:to>
    <xdr:pic>
      <xdr:nvPicPr>
        <xdr:cNvPr id="617" name="Picture 1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90750" y="95250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175</xdr:row>
      <xdr:rowOff>25977</xdr:rowOff>
    </xdr:from>
    <xdr:to>
      <xdr:col>5</xdr:col>
      <xdr:colOff>510886</xdr:colOff>
      <xdr:row>175</xdr:row>
      <xdr:rowOff>359352</xdr:rowOff>
    </xdr:to>
    <xdr:pic>
      <xdr:nvPicPr>
        <xdr:cNvPr id="618" name="Picture 18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94392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182</xdr:row>
      <xdr:rowOff>25977</xdr:rowOff>
    </xdr:from>
    <xdr:to>
      <xdr:col>5</xdr:col>
      <xdr:colOff>510886</xdr:colOff>
      <xdr:row>182</xdr:row>
      <xdr:rowOff>359352</xdr:rowOff>
    </xdr:to>
    <xdr:pic>
      <xdr:nvPicPr>
        <xdr:cNvPr id="619" name="Picture 49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96540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148</xdr:row>
      <xdr:rowOff>25977</xdr:rowOff>
    </xdr:from>
    <xdr:to>
      <xdr:col>5</xdr:col>
      <xdr:colOff>510886</xdr:colOff>
      <xdr:row>148</xdr:row>
      <xdr:rowOff>359352</xdr:rowOff>
    </xdr:to>
    <xdr:pic>
      <xdr:nvPicPr>
        <xdr:cNvPr id="620" name="Picture 4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81490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125</xdr:row>
      <xdr:rowOff>25977</xdr:rowOff>
    </xdr:from>
    <xdr:to>
      <xdr:col>5</xdr:col>
      <xdr:colOff>415636</xdr:colOff>
      <xdr:row>125</xdr:row>
      <xdr:rowOff>368877</xdr:rowOff>
    </xdr:to>
    <xdr:pic>
      <xdr:nvPicPr>
        <xdr:cNvPr id="621" name="Picture 4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90750" y="69584454"/>
          <a:ext cx="3810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44161</xdr:colOff>
      <xdr:row>609</xdr:row>
      <xdr:rowOff>35502</xdr:rowOff>
    </xdr:from>
    <xdr:to>
      <xdr:col>5</xdr:col>
      <xdr:colOff>520411</xdr:colOff>
      <xdr:row>609</xdr:row>
      <xdr:rowOff>368877</xdr:rowOff>
    </xdr:to>
    <xdr:pic>
      <xdr:nvPicPr>
        <xdr:cNvPr id="622" name="Picture 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0275" y="33393870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122</xdr:row>
      <xdr:rowOff>35502</xdr:rowOff>
    </xdr:from>
    <xdr:to>
      <xdr:col>5</xdr:col>
      <xdr:colOff>520411</xdr:colOff>
      <xdr:row>122</xdr:row>
      <xdr:rowOff>368877</xdr:rowOff>
    </xdr:to>
    <xdr:pic>
      <xdr:nvPicPr>
        <xdr:cNvPr id="623" name="Picture 20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00275" y="6772361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123</xdr:row>
      <xdr:rowOff>35502</xdr:rowOff>
    </xdr:from>
    <xdr:to>
      <xdr:col>5</xdr:col>
      <xdr:colOff>520411</xdr:colOff>
      <xdr:row>123</xdr:row>
      <xdr:rowOff>368877</xdr:rowOff>
    </xdr:to>
    <xdr:pic>
      <xdr:nvPicPr>
        <xdr:cNvPr id="624" name="Picture 21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00275" y="6844232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124</xdr:row>
      <xdr:rowOff>35502</xdr:rowOff>
    </xdr:from>
    <xdr:to>
      <xdr:col>5</xdr:col>
      <xdr:colOff>520411</xdr:colOff>
      <xdr:row>124</xdr:row>
      <xdr:rowOff>368877</xdr:rowOff>
    </xdr:to>
    <xdr:pic>
      <xdr:nvPicPr>
        <xdr:cNvPr id="625" name="Picture 22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00275" y="691610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497</xdr:row>
      <xdr:rowOff>25977</xdr:rowOff>
    </xdr:from>
    <xdr:to>
      <xdr:col>5</xdr:col>
      <xdr:colOff>510886</xdr:colOff>
      <xdr:row>497</xdr:row>
      <xdr:rowOff>359352</xdr:rowOff>
    </xdr:to>
    <xdr:pic>
      <xdr:nvPicPr>
        <xdr:cNvPr id="626" name="Picture 78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90750" y="274441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498</xdr:row>
      <xdr:rowOff>25977</xdr:rowOff>
    </xdr:from>
    <xdr:to>
      <xdr:col>5</xdr:col>
      <xdr:colOff>510886</xdr:colOff>
      <xdr:row>498</xdr:row>
      <xdr:rowOff>359352</xdr:rowOff>
    </xdr:to>
    <xdr:pic>
      <xdr:nvPicPr>
        <xdr:cNvPr id="627" name="Picture 82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0" y="275445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499</xdr:row>
      <xdr:rowOff>25977</xdr:rowOff>
    </xdr:from>
    <xdr:to>
      <xdr:col>5</xdr:col>
      <xdr:colOff>510886</xdr:colOff>
      <xdr:row>499</xdr:row>
      <xdr:rowOff>359352</xdr:rowOff>
    </xdr:to>
    <xdr:pic>
      <xdr:nvPicPr>
        <xdr:cNvPr id="628" name="Picture 87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90750" y="276588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500</xdr:row>
      <xdr:rowOff>25977</xdr:rowOff>
    </xdr:from>
    <xdr:to>
      <xdr:col>5</xdr:col>
      <xdr:colOff>510886</xdr:colOff>
      <xdr:row>500</xdr:row>
      <xdr:rowOff>359352</xdr:rowOff>
    </xdr:to>
    <xdr:pic>
      <xdr:nvPicPr>
        <xdr:cNvPr id="629" name="Picture 12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277307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501</xdr:row>
      <xdr:rowOff>25977</xdr:rowOff>
    </xdr:from>
    <xdr:to>
      <xdr:col>5</xdr:col>
      <xdr:colOff>510886</xdr:colOff>
      <xdr:row>501</xdr:row>
      <xdr:rowOff>359352</xdr:rowOff>
    </xdr:to>
    <xdr:pic>
      <xdr:nvPicPr>
        <xdr:cNvPr id="630" name="Picture 4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0" y="277878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506</xdr:row>
      <xdr:rowOff>45027</xdr:rowOff>
    </xdr:from>
    <xdr:to>
      <xdr:col>5</xdr:col>
      <xdr:colOff>529936</xdr:colOff>
      <xdr:row>506</xdr:row>
      <xdr:rowOff>378402</xdr:rowOff>
    </xdr:to>
    <xdr:pic>
      <xdr:nvPicPr>
        <xdr:cNvPr id="631" name="Picture 22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9800" y="28176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502</xdr:row>
      <xdr:rowOff>25977</xdr:rowOff>
    </xdr:from>
    <xdr:to>
      <xdr:col>5</xdr:col>
      <xdr:colOff>510886</xdr:colOff>
      <xdr:row>502</xdr:row>
      <xdr:rowOff>359352</xdr:rowOff>
    </xdr:to>
    <xdr:pic>
      <xdr:nvPicPr>
        <xdr:cNvPr id="632" name="Picture 1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90750" y="278883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503</xdr:row>
      <xdr:rowOff>25977</xdr:rowOff>
    </xdr:from>
    <xdr:to>
      <xdr:col>5</xdr:col>
      <xdr:colOff>510886</xdr:colOff>
      <xdr:row>503</xdr:row>
      <xdr:rowOff>359352</xdr:rowOff>
    </xdr:to>
    <xdr:pic>
      <xdr:nvPicPr>
        <xdr:cNvPr id="633" name="Picture 11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0" y="279740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504</xdr:row>
      <xdr:rowOff>25977</xdr:rowOff>
    </xdr:from>
    <xdr:to>
      <xdr:col>5</xdr:col>
      <xdr:colOff>510886</xdr:colOff>
      <xdr:row>504</xdr:row>
      <xdr:rowOff>359352</xdr:rowOff>
    </xdr:to>
    <xdr:pic>
      <xdr:nvPicPr>
        <xdr:cNvPr id="634" name="Picture 56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90750" y="280459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505</xdr:row>
      <xdr:rowOff>25977</xdr:rowOff>
    </xdr:from>
    <xdr:to>
      <xdr:col>5</xdr:col>
      <xdr:colOff>510886</xdr:colOff>
      <xdr:row>505</xdr:row>
      <xdr:rowOff>359352</xdr:rowOff>
    </xdr:to>
    <xdr:pic>
      <xdr:nvPicPr>
        <xdr:cNvPr id="635" name="Picture 11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0" y="281178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536</xdr:row>
      <xdr:rowOff>25977</xdr:rowOff>
    </xdr:from>
    <xdr:to>
      <xdr:col>5</xdr:col>
      <xdr:colOff>510886</xdr:colOff>
      <xdr:row>536</xdr:row>
      <xdr:rowOff>359352</xdr:rowOff>
    </xdr:to>
    <xdr:pic>
      <xdr:nvPicPr>
        <xdr:cNvPr id="636" name="Picture 66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90750" y="298340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537</xdr:row>
      <xdr:rowOff>25977</xdr:rowOff>
    </xdr:from>
    <xdr:to>
      <xdr:col>5</xdr:col>
      <xdr:colOff>510886</xdr:colOff>
      <xdr:row>537</xdr:row>
      <xdr:rowOff>359352</xdr:rowOff>
    </xdr:to>
    <xdr:pic>
      <xdr:nvPicPr>
        <xdr:cNvPr id="637" name="Picture 65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90750" y="298773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538</xdr:row>
      <xdr:rowOff>45027</xdr:rowOff>
    </xdr:from>
    <xdr:to>
      <xdr:col>5</xdr:col>
      <xdr:colOff>529936</xdr:colOff>
      <xdr:row>538</xdr:row>
      <xdr:rowOff>378402</xdr:rowOff>
    </xdr:to>
    <xdr:pic>
      <xdr:nvPicPr>
        <xdr:cNvPr id="639" name="Picture 58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09800" y="3003682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561</xdr:row>
      <xdr:rowOff>25977</xdr:rowOff>
    </xdr:from>
    <xdr:to>
      <xdr:col>5</xdr:col>
      <xdr:colOff>510886</xdr:colOff>
      <xdr:row>561</xdr:row>
      <xdr:rowOff>359352</xdr:rowOff>
    </xdr:to>
    <xdr:pic>
      <xdr:nvPicPr>
        <xdr:cNvPr id="640" name="Picture 28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90750" y="310428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562</xdr:row>
      <xdr:rowOff>25977</xdr:rowOff>
    </xdr:from>
    <xdr:to>
      <xdr:col>5</xdr:col>
      <xdr:colOff>510886</xdr:colOff>
      <xdr:row>562</xdr:row>
      <xdr:rowOff>321252</xdr:rowOff>
    </xdr:to>
    <xdr:pic>
      <xdr:nvPicPr>
        <xdr:cNvPr id="641" name="Picture 42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90750" y="310999909"/>
          <a:ext cx="476250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564</xdr:row>
      <xdr:rowOff>25977</xdr:rowOff>
    </xdr:from>
    <xdr:to>
      <xdr:col>5</xdr:col>
      <xdr:colOff>510886</xdr:colOff>
      <xdr:row>564</xdr:row>
      <xdr:rowOff>359352</xdr:rowOff>
    </xdr:to>
    <xdr:pic>
      <xdr:nvPicPr>
        <xdr:cNvPr id="642" name="Picture 133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311753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565</xdr:row>
      <xdr:rowOff>25977</xdr:rowOff>
    </xdr:from>
    <xdr:to>
      <xdr:col>5</xdr:col>
      <xdr:colOff>510886</xdr:colOff>
      <xdr:row>565</xdr:row>
      <xdr:rowOff>359352</xdr:rowOff>
    </xdr:to>
    <xdr:pic>
      <xdr:nvPicPr>
        <xdr:cNvPr id="643" name="Picture 90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90750" y="312471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566</xdr:row>
      <xdr:rowOff>25977</xdr:rowOff>
    </xdr:from>
    <xdr:to>
      <xdr:col>5</xdr:col>
      <xdr:colOff>510886</xdr:colOff>
      <xdr:row>566</xdr:row>
      <xdr:rowOff>359352</xdr:rowOff>
    </xdr:to>
    <xdr:pic>
      <xdr:nvPicPr>
        <xdr:cNvPr id="644" name="Picture 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190750" y="313190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567</xdr:row>
      <xdr:rowOff>25977</xdr:rowOff>
    </xdr:from>
    <xdr:to>
      <xdr:col>5</xdr:col>
      <xdr:colOff>510886</xdr:colOff>
      <xdr:row>567</xdr:row>
      <xdr:rowOff>359352</xdr:rowOff>
    </xdr:to>
    <xdr:pic>
      <xdr:nvPicPr>
        <xdr:cNvPr id="645" name="Picture 164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90750" y="313909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568</xdr:row>
      <xdr:rowOff>25977</xdr:rowOff>
    </xdr:from>
    <xdr:to>
      <xdr:col>5</xdr:col>
      <xdr:colOff>510886</xdr:colOff>
      <xdr:row>568</xdr:row>
      <xdr:rowOff>359352</xdr:rowOff>
    </xdr:to>
    <xdr:pic>
      <xdr:nvPicPr>
        <xdr:cNvPr id="646" name="Picture 170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90750" y="314628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569</xdr:row>
      <xdr:rowOff>25977</xdr:rowOff>
    </xdr:from>
    <xdr:to>
      <xdr:col>5</xdr:col>
      <xdr:colOff>510886</xdr:colOff>
      <xdr:row>569</xdr:row>
      <xdr:rowOff>359352</xdr:rowOff>
    </xdr:to>
    <xdr:pic>
      <xdr:nvPicPr>
        <xdr:cNvPr id="647" name="Picture 119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90750" y="315346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570</xdr:row>
      <xdr:rowOff>25977</xdr:rowOff>
    </xdr:from>
    <xdr:to>
      <xdr:col>5</xdr:col>
      <xdr:colOff>510886</xdr:colOff>
      <xdr:row>570</xdr:row>
      <xdr:rowOff>359352</xdr:rowOff>
    </xdr:to>
    <xdr:pic>
      <xdr:nvPicPr>
        <xdr:cNvPr id="648" name="Picture 76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90750" y="315918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581</xdr:row>
      <xdr:rowOff>25977</xdr:rowOff>
    </xdr:from>
    <xdr:to>
      <xdr:col>5</xdr:col>
      <xdr:colOff>510886</xdr:colOff>
      <xdr:row>581</xdr:row>
      <xdr:rowOff>359352</xdr:rowOff>
    </xdr:to>
    <xdr:pic>
      <xdr:nvPicPr>
        <xdr:cNvPr id="650" name="Picture 29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90750" y="317494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582</xdr:row>
      <xdr:rowOff>25977</xdr:rowOff>
    </xdr:from>
    <xdr:to>
      <xdr:col>5</xdr:col>
      <xdr:colOff>510886</xdr:colOff>
      <xdr:row>582</xdr:row>
      <xdr:rowOff>359352</xdr:rowOff>
    </xdr:to>
    <xdr:pic>
      <xdr:nvPicPr>
        <xdr:cNvPr id="651" name="Picture 1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90750" y="318212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584</xdr:row>
      <xdr:rowOff>25977</xdr:rowOff>
    </xdr:from>
    <xdr:to>
      <xdr:col>5</xdr:col>
      <xdr:colOff>510886</xdr:colOff>
      <xdr:row>584</xdr:row>
      <xdr:rowOff>359352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90750" y="319641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585</xdr:row>
      <xdr:rowOff>25977</xdr:rowOff>
    </xdr:from>
    <xdr:to>
      <xdr:col>5</xdr:col>
      <xdr:colOff>510886</xdr:colOff>
      <xdr:row>585</xdr:row>
      <xdr:rowOff>359352</xdr:rowOff>
    </xdr:to>
    <xdr:pic>
      <xdr:nvPicPr>
        <xdr:cNvPr id="654" name="Picture 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320498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586</xdr:row>
      <xdr:rowOff>25977</xdr:rowOff>
    </xdr:from>
    <xdr:to>
      <xdr:col>5</xdr:col>
      <xdr:colOff>510886</xdr:colOff>
      <xdr:row>586</xdr:row>
      <xdr:rowOff>359352</xdr:rowOff>
    </xdr:to>
    <xdr:pic>
      <xdr:nvPicPr>
        <xdr:cNvPr id="655" name="Picture 8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90750" y="321070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587</xdr:row>
      <xdr:rowOff>25977</xdr:rowOff>
    </xdr:from>
    <xdr:to>
      <xdr:col>5</xdr:col>
      <xdr:colOff>510886</xdr:colOff>
      <xdr:row>587</xdr:row>
      <xdr:rowOff>359352</xdr:rowOff>
    </xdr:to>
    <xdr:pic>
      <xdr:nvPicPr>
        <xdr:cNvPr id="656" name="Picture 7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90750" y="321927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588</xdr:row>
      <xdr:rowOff>25977</xdr:rowOff>
    </xdr:from>
    <xdr:to>
      <xdr:col>5</xdr:col>
      <xdr:colOff>510886</xdr:colOff>
      <xdr:row>588</xdr:row>
      <xdr:rowOff>359352</xdr:rowOff>
    </xdr:to>
    <xdr:pic>
      <xdr:nvPicPr>
        <xdr:cNvPr id="657" name="Picture 51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322784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589</xdr:row>
      <xdr:rowOff>25977</xdr:rowOff>
    </xdr:from>
    <xdr:to>
      <xdr:col>5</xdr:col>
      <xdr:colOff>510886</xdr:colOff>
      <xdr:row>589</xdr:row>
      <xdr:rowOff>359352</xdr:rowOff>
    </xdr:to>
    <xdr:pic>
      <xdr:nvPicPr>
        <xdr:cNvPr id="658" name="Picture 3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323356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590</xdr:row>
      <xdr:rowOff>25977</xdr:rowOff>
    </xdr:from>
    <xdr:to>
      <xdr:col>5</xdr:col>
      <xdr:colOff>510886</xdr:colOff>
      <xdr:row>590</xdr:row>
      <xdr:rowOff>359352</xdr:rowOff>
    </xdr:to>
    <xdr:pic>
      <xdr:nvPicPr>
        <xdr:cNvPr id="659" name="Picture 61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90750" y="323789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594</xdr:row>
      <xdr:rowOff>25977</xdr:rowOff>
    </xdr:from>
    <xdr:to>
      <xdr:col>5</xdr:col>
      <xdr:colOff>510886</xdr:colOff>
      <xdr:row>594</xdr:row>
      <xdr:rowOff>359352</xdr:rowOff>
    </xdr:to>
    <xdr:pic>
      <xdr:nvPicPr>
        <xdr:cNvPr id="661" name="Picture 126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90750" y="325365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596</xdr:row>
      <xdr:rowOff>25977</xdr:rowOff>
    </xdr:from>
    <xdr:to>
      <xdr:col>5</xdr:col>
      <xdr:colOff>510886</xdr:colOff>
      <xdr:row>596</xdr:row>
      <xdr:rowOff>359352</xdr:rowOff>
    </xdr:to>
    <xdr:pic>
      <xdr:nvPicPr>
        <xdr:cNvPr id="662" name="Picture 3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90750" y="326776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597</xdr:row>
      <xdr:rowOff>25977</xdr:rowOff>
    </xdr:from>
    <xdr:to>
      <xdr:col>5</xdr:col>
      <xdr:colOff>482311</xdr:colOff>
      <xdr:row>597</xdr:row>
      <xdr:rowOff>397452</xdr:rowOff>
    </xdr:to>
    <xdr:pic>
      <xdr:nvPicPr>
        <xdr:cNvPr id="663" name="Grafik 4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90750" y="327460841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34636</xdr:colOff>
      <xdr:row>598</xdr:row>
      <xdr:rowOff>25977</xdr:rowOff>
    </xdr:from>
    <xdr:to>
      <xdr:col>5</xdr:col>
      <xdr:colOff>415636</xdr:colOff>
      <xdr:row>598</xdr:row>
      <xdr:rowOff>226002</xdr:rowOff>
    </xdr:to>
    <xdr:pic>
      <xdr:nvPicPr>
        <xdr:cNvPr id="664" name="Picture 32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90750" y="328179545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599</xdr:row>
      <xdr:rowOff>25977</xdr:rowOff>
    </xdr:from>
    <xdr:to>
      <xdr:col>5</xdr:col>
      <xdr:colOff>415636</xdr:colOff>
      <xdr:row>599</xdr:row>
      <xdr:rowOff>226002</xdr:rowOff>
    </xdr:to>
    <xdr:pic>
      <xdr:nvPicPr>
        <xdr:cNvPr id="665" name="Picture 67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90750" y="32861250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600</xdr:row>
      <xdr:rowOff>25977</xdr:rowOff>
    </xdr:from>
    <xdr:to>
      <xdr:col>5</xdr:col>
      <xdr:colOff>415636</xdr:colOff>
      <xdr:row>600</xdr:row>
      <xdr:rowOff>226002</xdr:rowOff>
    </xdr:to>
    <xdr:pic>
      <xdr:nvPicPr>
        <xdr:cNvPr id="666" name="Picture 672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90750" y="329045454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603</xdr:row>
      <xdr:rowOff>25977</xdr:rowOff>
    </xdr:from>
    <xdr:to>
      <xdr:col>5</xdr:col>
      <xdr:colOff>434686</xdr:colOff>
      <xdr:row>603</xdr:row>
      <xdr:rowOff>406977</xdr:rowOff>
    </xdr:to>
    <xdr:pic>
      <xdr:nvPicPr>
        <xdr:cNvPr id="669" name="Grafik 2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90750" y="330500182"/>
          <a:ext cx="400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5</xdr:col>
      <xdr:colOff>34636</xdr:colOff>
      <xdr:row>604</xdr:row>
      <xdr:rowOff>25977</xdr:rowOff>
    </xdr:from>
    <xdr:to>
      <xdr:col>5</xdr:col>
      <xdr:colOff>510886</xdr:colOff>
      <xdr:row>604</xdr:row>
      <xdr:rowOff>359352</xdr:rowOff>
    </xdr:to>
    <xdr:pic>
      <xdr:nvPicPr>
        <xdr:cNvPr id="670" name="Picture 1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190750" y="331071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605</xdr:row>
      <xdr:rowOff>25977</xdr:rowOff>
    </xdr:from>
    <xdr:to>
      <xdr:col>5</xdr:col>
      <xdr:colOff>510886</xdr:colOff>
      <xdr:row>605</xdr:row>
      <xdr:rowOff>359352</xdr:rowOff>
    </xdr:to>
    <xdr:pic>
      <xdr:nvPicPr>
        <xdr:cNvPr id="671" name="Picture 10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331643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606</xdr:row>
      <xdr:rowOff>25977</xdr:rowOff>
    </xdr:from>
    <xdr:to>
      <xdr:col>5</xdr:col>
      <xdr:colOff>510886</xdr:colOff>
      <xdr:row>606</xdr:row>
      <xdr:rowOff>511752</xdr:rowOff>
    </xdr:to>
    <xdr:pic>
      <xdr:nvPicPr>
        <xdr:cNvPr id="672" name="Picture 1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90750" y="332214682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53686</xdr:colOff>
      <xdr:row>120</xdr:row>
      <xdr:rowOff>45027</xdr:rowOff>
    </xdr:from>
    <xdr:to>
      <xdr:col>5</xdr:col>
      <xdr:colOff>529936</xdr:colOff>
      <xdr:row>120</xdr:row>
      <xdr:rowOff>378402</xdr:rowOff>
    </xdr:to>
    <xdr:pic>
      <xdr:nvPicPr>
        <xdr:cNvPr id="558" name="Picture 122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209800" y="664429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180</xdr:row>
      <xdr:rowOff>25977</xdr:rowOff>
    </xdr:from>
    <xdr:to>
      <xdr:col>5</xdr:col>
      <xdr:colOff>510886</xdr:colOff>
      <xdr:row>180</xdr:row>
      <xdr:rowOff>359352</xdr:rowOff>
    </xdr:to>
    <xdr:pic>
      <xdr:nvPicPr>
        <xdr:cNvPr id="559" name="Picture 7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95968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289</xdr:row>
      <xdr:rowOff>25977</xdr:rowOff>
    </xdr:from>
    <xdr:to>
      <xdr:col>5</xdr:col>
      <xdr:colOff>510886</xdr:colOff>
      <xdr:row>289</xdr:row>
      <xdr:rowOff>359352</xdr:rowOff>
    </xdr:to>
    <xdr:pic>
      <xdr:nvPicPr>
        <xdr:cNvPr id="668" name="Picture 3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153118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288</xdr:row>
      <xdr:rowOff>25977</xdr:rowOff>
    </xdr:from>
    <xdr:to>
      <xdr:col>5</xdr:col>
      <xdr:colOff>510886</xdr:colOff>
      <xdr:row>288</xdr:row>
      <xdr:rowOff>359352</xdr:rowOff>
    </xdr:to>
    <xdr:pic>
      <xdr:nvPicPr>
        <xdr:cNvPr id="673" name="Picture 39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52547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294</xdr:row>
      <xdr:rowOff>25977</xdr:rowOff>
    </xdr:from>
    <xdr:to>
      <xdr:col>5</xdr:col>
      <xdr:colOff>510886</xdr:colOff>
      <xdr:row>294</xdr:row>
      <xdr:rowOff>359352</xdr:rowOff>
    </xdr:to>
    <xdr:pic>
      <xdr:nvPicPr>
        <xdr:cNvPr id="674" name="Picture 10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0" y="156132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266</xdr:row>
      <xdr:rowOff>25977</xdr:rowOff>
    </xdr:from>
    <xdr:to>
      <xdr:col>5</xdr:col>
      <xdr:colOff>510886</xdr:colOff>
      <xdr:row>266</xdr:row>
      <xdr:rowOff>359352</xdr:rowOff>
    </xdr:to>
    <xdr:pic>
      <xdr:nvPicPr>
        <xdr:cNvPr id="675" name="Picture 58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90750" y="1399395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267</xdr:row>
      <xdr:rowOff>25977</xdr:rowOff>
    </xdr:from>
    <xdr:to>
      <xdr:col>5</xdr:col>
      <xdr:colOff>510886</xdr:colOff>
      <xdr:row>267</xdr:row>
      <xdr:rowOff>359352</xdr:rowOff>
    </xdr:to>
    <xdr:pic>
      <xdr:nvPicPr>
        <xdr:cNvPr id="676" name="Picture 61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90750" y="140796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268</xdr:row>
      <xdr:rowOff>25977</xdr:rowOff>
    </xdr:from>
    <xdr:to>
      <xdr:col>5</xdr:col>
      <xdr:colOff>510886</xdr:colOff>
      <xdr:row>268</xdr:row>
      <xdr:rowOff>359352</xdr:rowOff>
    </xdr:to>
    <xdr:pic>
      <xdr:nvPicPr>
        <xdr:cNvPr id="677" name="Picture 67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90750" y="141515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269</xdr:row>
      <xdr:rowOff>25977</xdr:rowOff>
    </xdr:from>
    <xdr:to>
      <xdr:col>5</xdr:col>
      <xdr:colOff>510886</xdr:colOff>
      <xdr:row>269</xdr:row>
      <xdr:rowOff>359352</xdr:rowOff>
    </xdr:to>
    <xdr:pic>
      <xdr:nvPicPr>
        <xdr:cNvPr id="678" name="Picture 64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90750" y="142372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273</xdr:row>
      <xdr:rowOff>25977</xdr:rowOff>
    </xdr:from>
    <xdr:to>
      <xdr:col>5</xdr:col>
      <xdr:colOff>510886</xdr:colOff>
      <xdr:row>273</xdr:row>
      <xdr:rowOff>359352</xdr:rowOff>
    </xdr:to>
    <xdr:pic>
      <xdr:nvPicPr>
        <xdr:cNvPr id="682" name="Picture 93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90750" y="145230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274</xdr:row>
      <xdr:rowOff>25977</xdr:rowOff>
    </xdr:from>
    <xdr:to>
      <xdr:col>5</xdr:col>
      <xdr:colOff>510886</xdr:colOff>
      <xdr:row>274</xdr:row>
      <xdr:rowOff>359352</xdr:rowOff>
    </xdr:to>
    <xdr:pic>
      <xdr:nvPicPr>
        <xdr:cNvPr id="683" name="Picture 97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90750" y="145948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275</xdr:row>
      <xdr:rowOff>25977</xdr:rowOff>
    </xdr:from>
    <xdr:to>
      <xdr:col>5</xdr:col>
      <xdr:colOff>510886</xdr:colOff>
      <xdr:row>275</xdr:row>
      <xdr:rowOff>359352</xdr:rowOff>
    </xdr:to>
    <xdr:pic>
      <xdr:nvPicPr>
        <xdr:cNvPr id="684" name="Picture 101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90750" y="146667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276</xdr:row>
      <xdr:rowOff>25977</xdr:rowOff>
    </xdr:from>
    <xdr:to>
      <xdr:col>5</xdr:col>
      <xdr:colOff>510886</xdr:colOff>
      <xdr:row>276</xdr:row>
      <xdr:rowOff>359352</xdr:rowOff>
    </xdr:to>
    <xdr:pic>
      <xdr:nvPicPr>
        <xdr:cNvPr id="685" name="Picture 69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90750" y="147386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278</xdr:row>
      <xdr:rowOff>25977</xdr:rowOff>
    </xdr:from>
    <xdr:to>
      <xdr:col>5</xdr:col>
      <xdr:colOff>510886</xdr:colOff>
      <xdr:row>278</xdr:row>
      <xdr:rowOff>359352</xdr:rowOff>
    </xdr:to>
    <xdr:pic>
      <xdr:nvPicPr>
        <xdr:cNvPr id="686" name="Picture 2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0" y="148676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279</xdr:row>
      <xdr:rowOff>25977</xdr:rowOff>
    </xdr:from>
    <xdr:to>
      <xdr:col>5</xdr:col>
      <xdr:colOff>510886</xdr:colOff>
      <xdr:row>279</xdr:row>
      <xdr:rowOff>359352</xdr:rowOff>
    </xdr:to>
    <xdr:pic>
      <xdr:nvPicPr>
        <xdr:cNvPr id="687" name="Picture 10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49109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281</xdr:row>
      <xdr:rowOff>25977</xdr:rowOff>
    </xdr:from>
    <xdr:to>
      <xdr:col>5</xdr:col>
      <xdr:colOff>510886</xdr:colOff>
      <xdr:row>281</xdr:row>
      <xdr:rowOff>359352</xdr:rowOff>
    </xdr:to>
    <xdr:pic>
      <xdr:nvPicPr>
        <xdr:cNvPr id="688" name="Picture 5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150114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283</xdr:row>
      <xdr:rowOff>25977</xdr:rowOff>
    </xdr:from>
    <xdr:to>
      <xdr:col>5</xdr:col>
      <xdr:colOff>510886</xdr:colOff>
      <xdr:row>283</xdr:row>
      <xdr:rowOff>359352</xdr:rowOff>
    </xdr:to>
    <xdr:pic>
      <xdr:nvPicPr>
        <xdr:cNvPr id="689" name="Picture 3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50685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296</xdr:row>
      <xdr:rowOff>25977</xdr:rowOff>
    </xdr:from>
    <xdr:to>
      <xdr:col>5</xdr:col>
      <xdr:colOff>510886</xdr:colOff>
      <xdr:row>296</xdr:row>
      <xdr:rowOff>359352</xdr:rowOff>
    </xdr:to>
    <xdr:pic>
      <xdr:nvPicPr>
        <xdr:cNvPr id="690" name="Picture 88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90750" y="157275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297</xdr:row>
      <xdr:rowOff>25977</xdr:rowOff>
    </xdr:from>
    <xdr:to>
      <xdr:col>5</xdr:col>
      <xdr:colOff>510886</xdr:colOff>
      <xdr:row>297</xdr:row>
      <xdr:rowOff>359352</xdr:rowOff>
    </xdr:to>
    <xdr:pic>
      <xdr:nvPicPr>
        <xdr:cNvPr id="691" name="Picture 89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90750" y="157993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298</xdr:row>
      <xdr:rowOff>25977</xdr:rowOff>
    </xdr:from>
    <xdr:to>
      <xdr:col>5</xdr:col>
      <xdr:colOff>510886</xdr:colOff>
      <xdr:row>298</xdr:row>
      <xdr:rowOff>359352</xdr:rowOff>
    </xdr:to>
    <xdr:pic>
      <xdr:nvPicPr>
        <xdr:cNvPr id="692" name="Picture 91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190750" y="158712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299</xdr:row>
      <xdr:rowOff>25977</xdr:rowOff>
    </xdr:from>
    <xdr:to>
      <xdr:col>5</xdr:col>
      <xdr:colOff>510886</xdr:colOff>
      <xdr:row>299</xdr:row>
      <xdr:rowOff>359352</xdr:rowOff>
    </xdr:to>
    <xdr:pic>
      <xdr:nvPicPr>
        <xdr:cNvPr id="693" name="Picture 94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90750" y="159431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252</xdr:row>
      <xdr:rowOff>25977</xdr:rowOff>
    </xdr:from>
    <xdr:to>
      <xdr:col>5</xdr:col>
      <xdr:colOff>510886</xdr:colOff>
      <xdr:row>252</xdr:row>
      <xdr:rowOff>359352</xdr:rowOff>
    </xdr:to>
    <xdr:pic>
      <xdr:nvPicPr>
        <xdr:cNvPr id="695" name="Picture 2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90750" y="130232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253</xdr:row>
      <xdr:rowOff>25977</xdr:rowOff>
    </xdr:from>
    <xdr:to>
      <xdr:col>5</xdr:col>
      <xdr:colOff>510886</xdr:colOff>
      <xdr:row>253</xdr:row>
      <xdr:rowOff>359352</xdr:rowOff>
    </xdr:to>
    <xdr:pic>
      <xdr:nvPicPr>
        <xdr:cNvPr id="696" name="Picture 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0" y="130951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254</xdr:row>
      <xdr:rowOff>25977</xdr:rowOff>
    </xdr:from>
    <xdr:to>
      <xdr:col>5</xdr:col>
      <xdr:colOff>510886</xdr:colOff>
      <xdr:row>254</xdr:row>
      <xdr:rowOff>359352</xdr:rowOff>
    </xdr:to>
    <xdr:pic>
      <xdr:nvPicPr>
        <xdr:cNvPr id="697" name="Picture 4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90750" y="131522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255</xdr:row>
      <xdr:rowOff>25977</xdr:rowOff>
    </xdr:from>
    <xdr:to>
      <xdr:col>5</xdr:col>
      <xdr:colOff>510886</xdr:colOff>
      <xdr:row>255</xdr:row>
      <xdr:rowOff>359352</xdr:rowOff>
    </xdr:to>
    <xdr:pic>
      <xdr:nvPicPr>
        <xdr:cNvPr id="698" name="Picture 19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190750" y="132094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256</xdr:row>
      <xdr:rowOff>25977</xdr:rowOff>
    </xdr:from>
    <xdr:to>
      <xdr:col>5</xdr:col>
      <xdr:colOff>510886</xdr:colOff>
      <xdr:row>256</xdr:row>
      <xdr:rowOff>359352</xdr:rowOff>
    </xdr:to>
    <xdr:pic>
      <xdr:nvPicPr>
        <xdr:cNvPr id="699" name="Picture 29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90750" y="132951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135</xdr:row>
      <xdr:rowOff>25977</xdr:rowOff>
    </xdr:from>
    <xdr:to>
      <xdr:col>5</xdr:col>
      <xdr:colOff>510886</xdr:colOff>
      <xdr:row>135</xdr:row>
      <xdr:rowOff>359352</xdr:rowOff>
    </xdr:to>
    <xdr:pic>
      <xdr:nvPicPr>
        <xdr:cNvPr id="700" name="Picture 177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74753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149</xdr:row>
      <xdr:rowOff>25977</xdr:rowOff>
    </xdr:from>
    <xdr:to>
      <xdr:col>5</xdr:col>
      <xdr:colOff>510886</xdr:colOff>
      <xdr:row>149</xdr:row>
      <xdr:rowOff>359352</xdr:rowOff>
    </xdr:to>
    <xdr:pic>
      <xdr:nvPicPr>
        <xdr:cNvPr id="701" name="Picture 3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82062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152</xdr:row>
      <xdr:rowOff>25977</xdr:rowOff>
    </xdr:from>
    <xdr:to>
      <xdr:col>5</xdr:col>
      <xdr:colOff>510886</xdr:colOff>
      <xdr:row>152</xdr:row>
      <xdr:rowOff>359352</xdr:rowOff>
    </xdr:to>
    <xdr:pic>
      <xdr:nvPicPr>
        <xdr:cNvPr id="702" name="Picture 1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0" y="83638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155</xdr:row>
      <xdr:rowOff>25977</xdr:rowOff>
    </xdr:from>
    <xdr:to>
      <xdr:col>5</xdr:col>
      <xdr:colOff>510886</xdr:colOff>
      <xdr:row>155</xdr:row>
      <xdr:rowOff>359352</xdr:rowOff>
    </xdr:to>
    <xdr:pic>
      <xdr:nvPicPr>
        <xdr:cNvPr id="703" name="Picture 3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85214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156</xdr:row>
      <xdr:rowOff>25977</xdr:rowOff>
    </xdr:from>
    <xdr:to>
      <xdr:col>5</xdr:col>
      <xdr:colOff>510886</xdr:colOff>
      <xdr:row>156</xdr:row>
      <xdr:rowOff>359352</xdr:rowOff>
    </xdr:to>
    <xdr:pic>
      <xdr:nvPicPr>
        <xdr:cNvPr id="704" name="Picture 49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85647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157</xdr:row>
      <xdr:rowOff>25977</xdr:rowOff>
    </xdr:from>
    <xdr:to>
      <xdr:col>5</xdr:col>
      <xdr:colOff>510886</xdr:colOff>
      <xdr:row>157</xdr:row>
      <xdr:rowOff>359352</xdr:rowOff>
    </xdr:to>
    <xdr:pic>
      <xdr:nvPicPr>
        <xdr:cNvPr id="705" name="Picture 49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86080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206</xdr:row>
      <xdr:rowOff>25977</xdr:rowOff>
    </xdr:from>
    <xdr:to>
      <xdr:col>5</xdr:col>
      <xdr:colOff>510886</xdr:colOff>
      <xdr:row>206</xdr:row>
      <xdr:rowOff>359352</xdr:rowOff>
    </xdr:to>
    <xdr:pic>
      <xdr:nvPicPr>
        <xdr:cNvPr id="706" name="Picture 171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106125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207</xdr:row>
      <xdr:rowOff>25977</xdr:rowOff>
    </xdr:from>
    <xdr:to>
      <xdr:col>5</xdr:col>
      <xdr:colOff>510886</xdr:colOff>
      <xdr:row>207</xdr:row>
      <xdr:rowOff>359352</xdr:rowOff>
    </xdr:to>
    <xdr:pic>
      <xdr:nvPicPr>
        <xdr:cNvPr id="707" name="Picture 174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90750" y="106697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208</xdr:row>
      <xdr:rowOff>25977</xdr:rowOff>
    </xdr:from>
    <xdr:to>
      <xdr:col>5</xdr:col>
      <xdr:colOff>510886</xdr:colOff>
      <xdr:row>208</xdr:row>
      <xdr:rowOff>359352</xdr:rowOff>
    </xdr:to>
    <xdr:pic>
      <xdr:nvPicPr>
        <xdr:cNvPr id="708" name="Picture 75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90750" y="107416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209</xdr:row>
      <xdr:rowOff>25977</xdr:rowOff>
    </xdr:from>
    <xdr:to>
      <xdr:col>5</xdr:col>
      <xdr:colOff>510886</xdr:colOff>
      <xdr:row>209</xdr:row>
      <xdr:rowOff>359352</xdr:rowOff>
    </xdr:to>
    <xdr:pic>
      <xdr:nvPicPr>
        <xdr:cNvPr id="709" name="Picture 79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0" y="107987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210</xdr:row>
      <xdr:rowOff>25977</xdr:rowOff>
    </xdr:from>
    <xdr:to>
      <xdr:col>5</xdr:col>
      <xdr:colOff>510886</xdr:colOff>
      <xdr:row>210</xdr:row>
      <xdr:rowOff>359352</xdr:rowOff>
    </xdr:to>
    <xdr:pic>
      <xdr:nvPicPr>
        <xdr:cNvPr id="710" name="Picture 95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90750" y="108844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211</xdr:row>
      <xdr:rowOff>25977</xdr:rowOff>
    </xdr:from>
    <xdr:to>
      <xdr:col>5</xdr:col>
      <xdr:colOff>510886</xdr:colOff>
      <xdr:row>211</xdr:row>
      <xdr:rowOff>359352</xdr:rowOff>
    </xdr:to>
    <xdr:pic>
      <xdr:nvPicPr>
        <xdr:cNvPr id="711" name="Picture 99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90750" y="109563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212</xdr:row>
      <xdr:rowOff>25977</xdr:rowOff>
    </xdr:from>
    <xdr:to>
      <xdr:col>5</xdr:col>
      <xdr:colOff>510886</xdr:colOff>
      <xdr:row>212</xdr:row>
      <xdr:rowOff>359352</xdr:rowOff>
    </xdr:to>
    <xdr:pic>
      <xdr:nvPicPr>
        <xdr:cNvPr id="712" name="Picture 102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90750" y="109996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213</xdr:row>
      <xdr:rowOff>25977</xdr:rowOff>
    </xdr:from>
    <xdr:to>
      <xdr:col>5</xdr:col>
      <xdr:colOff>510886</xdr:colOff>
      <xdr:row>213</xdr:row>
      <xdr:rowOff>359352</xdr:rowOff>
    </xdr:to>
    <xdr:pic>
      <xdr:nvPicPr>
        <xdr:cNvPr id="713" name="Picture 104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90750" y="110715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214</xdr:row>
      <xdr:rowOff>25977</xdr:rowOff>
    </xdr:from>
    <xdr:to>
      <xdr:col>5</xdr:col>
      <xdr:colOff>510886</xdr:colOff>
      <xdr:row>214</xdr:row>
      <xdr:rowOff>359352</xdr:rowOff>
    </xdr:to>
    <xdr:pic>
      <xdr:nvPicPr>
        <xdr:cNvPr id="714" name="Picture 106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90750" y="111286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215</xdr:row>
      <xdr:rowOff>25977</xdr:rowOff>
    </xdr:from>
    <xdr:to>
      <xdr:col>5</xdr:col>
      <xdr:colOff>510886</xdr:colOff>
      <xdr:row>215</xdr:row>
      <xdr:rowOff>359352</xdr:rowOff>
    </xdr:to>
    <xdr:pic>
      <xdr:nvPicPr>
        <xdr:cNvPr id="715" name="Picture 127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90750" y="112005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216</xdr:row>
      <xdr:rowOff>25977</xdr:rowOff>
    </xdr:from>
    <xdr:to>
      <xdr:col>5</xdr:col>
      <xdr:colOff>510886</xdr:colOff>
      <xdr:row>216</xdr:row>
      <xdr:rowOff>359352</xdr:rowOff>
    </xdr:to>
    <xdr:pic>
      <xdr:nvPicPr>
        <xdr:cNvPr id="716" name="Picture 128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90750" y="112724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217</xdr:row>
      <xdr:rowOff>25977</xdr:rowOff>
    </xdr:from>
    <xdr:to>
      <xdr:col>5</xdr:col>
      <xdr:colOff>510886</xdr:colOff>
      <xdr:row>217</xdr:row>
      <xdr:rowOff>359352</xdr:rowOff>
    </xdr:to>
    <xdr:pic>
      <xdr:nvPicPr>
        <xdr:cNvPr id="717" name="Picture 129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190750" y="113581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219</xdr:row>
      <xdr:rowOff>25977</xdr:rowOff>
    </xdr:from>
    <xdr:to>
      <xdr:col>5</xdr:col>
      <xdr:colOff>510886</xdr:colOff>
      <xdr:row>219</xdr:row>
      <xdr:rowOff>359352</xdr:rowOff>
    </xdr:to>
    <xdr:pic>
      <xdr:nvPicPr>
        <xdr:cNvPr id="719" name="Picture 130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190750" y="115304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220</xdr:row>
      <xdr:rowOff>25977</xdr:rowOff>
    </xdr:from>
    <xdr:to>
      <xdr:col>5</xdr:col>
      <xdr:colOff>510886</xdr:colOff>
      <xdr:row>220</xdr:row>
      <xdr:rowOff>359352</xdr:rowOff>
    </xdr:to>
    <xdr:pic>
      <xdr:nvPicPr>
        <xdr:cNvPr id="720" name="Picture 107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190750" y="115875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222</xdr:row>
      <xdr:rowOff>25977</xdr:rowOff>
    </xdr:from>
    <xdr:to>
      <xdr:col>5</xdr:col>
      <xdr:colOff>510886</xdr:colOff>
      <xdr:row>222</xdr:row>
      <xdr:rowOff>359352</xdr:rowOff>
    </xdr:to>
    <xdr:pic>
      <xdr:nvPicPr>
        <xdr:cNvPr id="721" name="Picture 18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117018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223</xdr:row>
      <xdr:rowOff>25977</xdr:rowOff>
    </xdr:from>
    <xdr:to>
      <xdr:col>5</xdr:col>
      <xdr:colOff>510886</xdr:colOff>
      <xdr:row>223</xdr:row>
      <xdr:rowOff>359352</xdr:rowOff>
    </xdr:to>
    <xdr:pic>
      <xdr:nvPicPr>
        <xdr:cNvPr id="722" name="Picture 35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17737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227</xdr:row>
      <xdr:rowOff>25977</xdr:rowOff>
    </xdr:from>
    <xdr:to>
      <xdr:col>5</xdr:col>
      <xdr:colOff>510886</xdr:colOff>
      <xdr:row>227</xdr:row>
      <xdr:rowOff>359352</xdr:rowOff>
    </xdr:to>
    <xdr:pic>
      <xdr:nvPicPr>
        <xdr:cNvPr id="723" name="Picture 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18742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230</xdr:row>
      <xdr:rowOff>25977</xdr:rowOff>
    </xdr:from>
    <xdr:to>
      <xdr:col>5</xdr:col>
      <xdr:colOff>510886</xdr:colOff>
      <xdr:row>230</xdr:row>
      <xdr:rowOff>359352</xdr:rowOff>
    </xdr:to>
    <xdr:pic>
      <xdr:nvPicPr>
        <xdr:cNvPr id="724" name="Picture 12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20032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234</xdr:row>
      <xdr:rowOff>25977</xdr:rowOff>
    </xdr:from>
    <xdr:to>
      <xdr:col>5</xdr:col>
      <xdr:colOff>510886</xdr:colOff>
      <xdr:row>234</xdr:row>
      <xdr:rowOff>359352</xdr:rowOff>
    </xdr:to>
    <xdr:pic>
      <xdr:nvPicPr>
        <xdr:cNvPr id="726" name="Picture 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22482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237</xdr:row>
      <xdr:rowOff>25977</xdr:rowOff>
    </xdr:from>
    <xdr:to>
      <xdr:col>5</xdr:col>
      <xdr:colOff>510886</xdr:colOff>
      <xdr:row>237</xdr:row>
      <xdr:rowOff>359352</xdr:rowOff>
    </xdr:to>
    <xdr:pic>
      <xdr:nvPicPr>
        <xdr:cNvPr id="727" name="Picture 40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23625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239</xdr:row>
      <xdr:rowOff>25977</xdr:rowOff>
    </xdr:from>
    <xdr:to>
      <xdr:col>5</xdr:col>
      <xdr:colOff>510886</xdr:colOff>
      <xdr:row>239</xdr:row>
      <xdr:rowOff>359352</xdr:rowOff>
    </xdr:to>
    <xdr:pic>
      <xdr:nvPicPr>
        <xdr:cNvPr id="728" name="Picture 5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124630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243</xdr:row>
      <xdr:rowOff>25977</xdr:rowOff>
    </xdr:from>
    <xdr:to>
      <xdr:col>5</xdr:col>
      <xdr:colOff>510886</xdr:colOff>
      <xdr:row>243</xdr:row>
      <xdr:rowOff>359352</xdr:rowOff>
    </xdr:to>
    <xdr:pic>
      <xdr:nvPicPr>
        <xdr:cNvPr id="729" name="Picture 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125634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258</xdr:row>
      <xdr:rowOff>25977</xdr:rowOff>
    </xdr:from>
    <xdr:to>
      <xdr:col>5</xdr:col>
      <xdr:colOff>510886</xdr:colOff>
      <xdr:row>258</xdr:row>
      <xdr:rowOff>359352</xdr:rowOff>
    </xdr:to>
    <xdr:pic>
      <xdr:nvPicPr>
        <xdr:cNvPr id="730" name="Picture 17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190750" y="134389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259</xdr:row>
      <xdr:rowOff>25977</xdr:rowOff>
    </xdr:from>
    <xdr:to>
      <xdr:col>5</xdr:col>
      <xdr:colOff>510886</xdr:colOff>
      <xdr:row>259</xdr:row>
      <xdr:rowOff>359352</xdr:rowOff>
    </xdr:to>
    <xdr:pic>
      <xdr:nvPicPr>
        <xdr:cNvPr id="731" name="Picture 175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135107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260</xdr:row>
      <xdr:rowOff>25977</xdr:rowOff>
    </xdr:from>
    <xdr:to>
      <xdr:col>5</xdr:col>
      <xdr:colOff>510886</xdr:colOff>
      <xdr:row>260</xdr:row>
      <xdr:rowOff>359352</xdr:rowOff>
    </xdr:to>
    <xdr:pic>
      <xdr:nvPicPr>
        <xdr:cNvPr id="732" name="Picture 176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135826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261</xdr:row>
      <xdr:rowOff>25977</xdr:rowOff>
    </xdr:from>
    <xdr:to>
      <xdr:col>5</xdr:col>
      <xdr:colOff>510886</xdr:colOff>
      <xdr:row>261</xdr:row>
      <xdr:rowOff>359352</xdr:rowOff>
    </xdr:to>
    <xdr:pic>
      <xdr:nvPicPr>
        <xdr:cNvPr id="733" name="Picture 177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136354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262</xdr:row>
      <xdr:rowOff>25977</xdr:rowOff>
    </xdr:from>
    <xdr:to>
      <xdr:col>5</xdr:col>
      <xdr:colOff>510886</xdr:colOff>
      <xdr:row>262</xdr:row>
      <xdr:rowOff>359352</xdr:rowOff>
    </xdr:to>
    <xdr:pic>
      <xdr:nvPicPr>
        <xdr:cNvPr id="734" name="Picture 178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90750" y="137211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303</xdr:row>
      <xdr:rowOff>25977</xdr:rowOff>
    </xdr:from>
    <xdr:to>
      <xdr:col>5</xdr:col>
      <xdr:colOff>510886</xdr:colOff>
      <xdr:row>303</xdr:row>
      <xdr:rowOff>359352</xdr:rowOff>
    </xdr:to>
    <xdr:pic>
      <xdr:nvPicPr>
        <xdr:cNvPr id="735" name="Picture 3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1578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305</xdr:row>
      <xdr:rowOff>25977</xdr:rowOff>
    </xdr:from>
    <xdr:to>
      <xdr:col>5</xdr:col>
      <xdr:colOff>510886</xdr:colOff>
      <xdr:row>305</xdr:row>
      <xdr:rowOff>359352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0750" y="162150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306</xdr:row>
      <xdr:rowOff>25977</xdr:rowOff>
    </xdr:from>
    <xdr:to>
      <xdr:col>5</xdr:col>
      <xdr:colOff>510886</xdr:colOff>
      <xdr:row>307</xdr:row>
      <xdr:rowOff>6927</xdr:rowOff>
    </xdr:to>
    <xdr:pic>
      <xdr:nvPicPr>
        <xdr:cNvPr id="737" name="Picture 1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90750" y="162868841"/>
          <a:ext cx="47625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309</xdr:row>
      <xdr:rowOff>25977</xdr:rowOff>
    </xdr:from>
    <xdr:to>
      <xdr:col>5</xdr:col>
      <xdr:colOff>510886</xdr:colOff>
      <xdr:row>309</xdr:row>
      <xdr:rowOff>359352</xdr:rowOff>
    </xdr:to>
    <xdr:pic>
      <xdr:nvPicPr>
        <xdr:cNvPr id="738" name="Picture 45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63726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312</xdr:row>
      <xdr:rowOff>25977</xdr:rowOff>
    </xdr:from>
    <xdr:to>
      <xdr:col>5</xdr:col>
      <xdr:colOff>510886</xdr:colOff>
      <xdr:row>312</xdr:row>
      <xdr:rowOff>359352</xdr:rowOff>
    </xdr:to>
    <xdr:pic>
      <xdr:nvPicPr>
        <xdr:cNvPr id="739" name="Picture 55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0" y="164730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315</xdr:row>
      <xdr:rowOff>25977</xdr:rowOff>
    </xdr:from>
    <xdr:to>
      <xdr:col>5</xdr:col>
      <xdr:colOff>510886</xdr:colOff>
      <xdr:row>315</xdr:row>
      <xdr:rowOff>359352</xdr:rowOff>
    </xdr:to>
    <xdr:pic>
      <xdr:nvPicPr>
        <xdr:cNvPr id="740" name="Picture 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5882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318</xdr:row>
      <xdr:rowOff>25977</xdr:rowOff>
    </xdr:from>
    <xdr:to>
      <xdr:col>5</xdr:col>
      <xdr:colOff>510886</xdr:colOff>
      <xdr:row>318</xdr:row>
      <xdr:rowOff>359352</xdr:rowOff>
    </xdr:to>
    <xdr:pic>
      <xdr:nvPicPr>
        <xdr:cNvPr id="741" name="Picture 46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670338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571</xdr:row>
      <xdr:rowOff>25978</xdr:rowOff>
    </xdr:from>
    <xdr:to>
      <xdr:col>5</xdr:col>
      <xdr:colOff>510886</xdr:colOff>
      <xdr:row>571</xdr:row>
      <xdr:rowOff>368878</xdr:rowOff>
    </xdr:to>
    <xdr:pic>
      <xdr:nvPicPr>
        <xdr:cNvPr id="742" name="Picture 85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90750" y="316489773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325</xdr:row>
      <xdr:rowOff>25977</xdr:rowOff>
    </xdr:from>
    <xdr:to>
      <xdr:col>5</xdr:col>
      <xdr:colOff>510886</xdr:colOff>
      <xdr:row>325</xdr:row>
      <xdr:rowOff>359352</xdr:rowOff>
    </xdr:to>
    <xdr:pic>
      <xdr:nvPicPr>
        <xdr:cNvPr id="743" name="Picture 2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0" y="171043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326</xdr:row>
      <xdr:rowOff>25977</xdr:rowOff>
    </xdr:from>
    <xdr:to>
      <xdr:col>5</xdr:col>
      <xdr:colOff>510886</xdr:colOff>
      <xdr:row>326</xdr:row>
      <xdr:rowOff>359352</xdr:rowOff>
    </xdr:to>
    <xdr:pic>
      <xdr:nvPicPr>
        <xdr:cNvPr id="744" name="Picture 52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71614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328</xdr:row>
      <xdr:rowOff>25977</xdr:rowOff>
    </xdr:from>
    <xdr:to>
      <xdr:col>5</xdr:col>
      <xdr:colOff>510886</xdr:colOff>
      <xdr:row>328</xdr:row>
      <xdr:rowOff>359352</xdr:rowOff>
    </xdr:to>
    <xdr:pic>
      <xdr:nvPicPr>
        <xdr:cNvPr id="745" name="Picture 12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0711" y="19303105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343</xdr:row>
      <xdr:rowOff>25977</xdr:rowOff>
    </xdr:from>
    <xdr:to>
      <xdr:col>5</xdr:col>
      <xdr:colOff>510886</xdr:colOff>
      <xdr:row>343</xdr:row>
      <xdr:rowOff>359352</xdr:rowOff>
    </xdr:to>
    <xdr:pic>
      <xdr:nvPicPr>
        <xdr:cNvPr id="561" name="Picture 34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78074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338</xdr:row>
      <xdr:rowOff>25977</xdr:rowOff>
    </xdr:from>
    <xdr:to>
      <xdr:col>5</xdr:col>
      <xdr:colOff>513484</xdr:colOff>
      <xdr:row>338</xdr:row>
      <xdr:rowOff>359352</xdr:rowOff>
    </xdr:to>
    <xdr:pic>
      <xdr:nvPicPr>
        <xdr:cNvPr id="577" name="Picture 8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190750" y="176065295"/>
          <a:ext cx="478848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339</xdr:row>
      <xdr:rowOff>25977</xdr:rowOff>
    </xdr:from>
    <xdr:to>
      <xdr:col>5</xdr:col>
      <xdr:colOff>510886</xdr:colOff>
      <xdr:row>339</xdr:row>
      <xdr:rowOff>359352</xdr:rowOff>
    </xdr:to>
    <xdr:pic>
      <xdr:nvPicPr>
        <xdr:cNvPr id="649" name="Picture 8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190750" y="176498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341</xdr:row>
      <xdr:rowOff>25977</xdr:rowOff>
    </xdr:from>
    <xdr:to>
      <xdr:col>5</xdr:col>
      <xdr:colOff>510886</xdr:colOff>
      <xdr:row>341</xdr:row>
      <xdr:rowOff>359352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0" y="176931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342</xdr:row>
      <xdr:rowOff>25977</xdr:rowOff>
    </xdr:from>
    <xdr:to>
      <xdr:col>5</xdr:col>
      <xdr:colOff>510886</xdr:colOff>
      <xdr:row>342</xdr:row>
      <xdr:rowOff>359352</xdr:rowOff>
    </xdr:to>
    <xdr:pic>
      <xdr:nvPicPr>
        <xdr:cNvPr id="746" name="Picture 12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77502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345</xdr:row>
      <xdr:rowOff>25977</xdr:rowOff>
    </xdr:from>
    <xdr:to>
      <xdr:col>5</xdr:col>
      <xdr:colOff>510886</xdr:colOff>
      <xdr:row>345</xdr:row>
      <xdr:rowOff>359352</xdr:rowOff>
    </xdr:to>
    <xdr:pic>
      <xdr:nvPicPr>
        <xdr:cNvPr id="747" name="Picture 3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79217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346</xdr:row>
      <xdr:rowOff>25977</xdr:rowOff>
    </xdr:from>
    <xdr:to>
      <xdr:col>5</xdr:col>
      <xdr:colOff>510886</xdr:colOff>
      <xdr:row>346</xdr:row>
      <xdr:rowOff>359352</xdr:rowOff>
    </xdr:to>
    <xdr:pic>
      <xdr:nvPicPr>
        <xdr:cNvPr id="748" name="Picture 1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90750" y="180074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332</xdr:row>
      <xdr:rowOff>25977</xdr:rowOff>
    </xdr:from>
    <xdr:to>
      <xdr:col>5</xdr:col>
      <xdr:colOff>510886</xdr:colOff>
      <xdr:row>332</xdr:row>
      <xdr:rowOff>359352</xdr:rowOff>
    </xdr:to>
    <xdr:pic>
      <xdr:nvPicPr>
        <xdr:cNvPr id="749" name="Picture 47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72766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335</xdr:row>
      <xdr:rowOff>25977</xdr:rowOff>
    </xdr:from>
    <xdr:to>
      <xdr:col>5</xdr:col>
      <xdr:colOff>510886</xdr:colOff>
      <xdr:row>335</xdr:row>
      <xdr:rowOff>359352</xdr:rowOff>
    </xdr:to>
    <xdr:pic>
      <xdr:nvPicPr>
        <xdr:cNvPr id="750" name="Picture 7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74056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320</xdr:row>
      <xdr:rowOff>25977</xdr:rowOff>
    </xdr:from>
    <xdr:to>
      <xdr:col>5</xdr:col>
      <xdr:colOff>510886</xdr:colOff>
      <xdr:row>320</xdr:row>
      <xdr:rowOff>359352</xdr:rowOff>
    </xdr:to>
    <xdr:pic>
      <xdr:nvPicPr>
        <xdr:cNvPr id="751" name="Picture 1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90750" y="1681768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323</xdr:row>
      <xdr:rowOff>25977</xdr:rowOff>
    </xdr:from>
    <xdr:to>
      <xdr:col>5</xdr:col>
      <xdr:colOff>510886</xdr:colOff>
      <xdr:row>323</xdr:row>
      <xdr:rowOff>359352</xdr:rowOff>
    </xdr:to>
    <xdr:pic>
      <xdr:nvPicPr>
        <xdr:cNvPr id="752" name="Picture 3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9891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302</xdr:row>
      <xdr:rowOff>25977</xdr:rowOff>
    </xdr:from>
    <xdr:to>
      <xdr:col>5</xdr:col>
      <xdr:colOff>510886</xdr:colOff>
      <xdr:row>302</xdr:row>
      <xdr:rowOff>359352</xdr:rowOff>
    </xdr:to>
    <xdr:pic>
      <xdr:nvPicPr>
        <xdr:cNvPr id="753" name="Picture 5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160859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321</xdr:row>
      <xdr:rowOff>25977</xdr:rowOff>
    </xdr:from>
    <xdr:to>
      <xdr:col>5</xdr:col>
      <xdr:colOff>510886</xdr:colOff>
      <xdr:row>321</xdr:row>
      <xdr:rowOff>359352</xdr:rowOff>
    </xdr:to>
    <xdr:pic>
      <xdr:nvPicPr>
        <xdr:cNvPr id="754" name="Picture 12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68748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348</xdr:row>
      <xdr:rowOff>25977</xdr:rowOff>
    </xdr:from>
    <xdr:to>
      <xdr:col>5</xdr:col>
      <xdr:colOff>510886</xdr:colOff>
      <xdr:row>348</xdr:row>
      <xdr:rowOff>359352</xdr:rowOff>
    </xdr:to>
    <xdr:pic>
      <xdr:nvPicPr>
        <xdr:cNvPr id="755" name="Picture 10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80645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350</xdr:row>
      <xdr:rowOff>25977</xdr:rowOff>
    </xdr:from>
    <xdr:to>
      <xdr:col>5</xdr:col>
      <xdr:colOff>510886</xdr:colOff>
      <xdr:row>350</xdr:row>
      <xdr:rowOff>359352</xdr:rowOff>
    </xdr:to>
    <xdr:pic>
      <xdr:nvPicPr>
        <xdr:cNvPr id="756" name="Picture 3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0" y="181364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352</xdr:row>
      <xdr:rowOff>25977</xdr:rowOff>
    </xdr:from>
    <xdr:to>
      <xdr:col>5</xdr:col>
      <xdr:colOff>510886</xdr:colOff>
      <xdr:row>352</xdr:row>
      <xdr:rowOff>359352</xdr:rowOff>
    </xdr:to>
    <xdr:pic>
      <xdr:nvPicPr>
        <xdr:cNvPr id="757" name="Picture 41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82516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353</xdr:row>
      <xdr:rowOff>25977</xdr:rowOff>
    </xdr:from>
    <xdr:to>
      <xdr:col>5</xdr:col>
      <xdr:colOff>510886</xdr:colOff>
      <xdr:row>353</xdr:row>
      <xdr:rowOff>359352</xdr:rowOff>
    </xdr:to>
    <xdr:pic>
      <xdr:nvPicPr>
        <xdr:cNvPr id="758" name="Picture 7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183235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357</xdr:row>
      <xdr:rowOff>25977</xdr:rowOff>
    </xdr:from>
    <xdr:to>
      <xdr:col>5</xdr:col>
      <xdr:colOff>510886</xdr:colOff>
      <xdr:row>357</xdr:row>
      <xdr:rowOff>359352</xdr:rowOff>
    </xdr:to>
    <xdr:pic>
      <xdr:nvPicPr>
        <xdr:cNvPr id="759" name="Picture 2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0" y="185668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358</xdr:row>
      <xdr:rowOff>25977</xdr:rowOff>
    </xdr:from>
    <xdr:to>
      <xdr:col>5</xdr:col>
      <xdr:colOff>510886</xdr:colOff>
      <xdr:row>358</xdr:row>
      <xdr:rowOff>359352</xdr:rowOff>
    </xdr:to>
    <xdr:pic>
      <xdr:nvPicPr>
        <xdr:cNvPr id="760" name="Picture 10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186239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360</xdr:row>
      <xdr:rowOff>25977</xdr:rowOff>
    </xdr:from>
    <xdr:to>
      <xdr:col>5</xdr:col>
      <xdr:colOff>510886</xdr:colOff>
      <xdr:row>360</xdr:row>
      <xdr:rowOff>359352</xdr:rowOff>
    </xdr:to>
    <xdr:pic>
      <xdr:nvPicPr>
        <xdr:cNvPr id="761" name="Picture 12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87382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363</xdr:row>
      <xdr:rowOff>25977</xdr:rowOff>
    </xdr:from>
    <xdr:to>
      <xdr:col>5</xdr:col>
      <xdr:colOff>510886</xdr:colOff>
      <xdr:row>363</xdr:row>
      <xdr:rowOff>359352</xdr:rowOff>
    </xdr:to>
    <xdr:pic>
      <xdr:nvPicPr>
        <xdr:cNvPr id="762" name="Picture 32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90750" y="188672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364</xdr:row>
      <xdr:rowOff>25977</xdr:rowOff>
    </xdr:from>
    <xdr:to>
      <xdr:col>5</xdr:col>
      <xdr:colOff>510886</xdr:colOff>
      <xdr:row>364</xdr:row>
      <xdr:rowOff>359352</xdr:rowOff>
    </xdr:to>
    <xdr:pic>
      <xdr:nvPicPr>
        <xdr:cNvPr id="763" name="Picture 11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189391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365</xdr:row>
      <xdr:rowOff>25977</xdr:rowOff>
    </xdr:from>
    <xdr:to>
      <xdr:col>5</xdr:col>
      <xdr:colOff>510886</xdr:colOff>
      <xdr:row>365</xdr:row>
      <xdr:rowOff>359352</xdr:rowOff>
    </xdr:to>
    <xdr:pic>
      <xdr:nvPicPr>
        <xdr:cNvPr id="764" name="Picture 3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90110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368</xdr:row>
      <xdr:rowOff>25977</xdr:rowOff>
    </xdr:from>
    <xdr:to>
      <xdr:col>5</xdr:col>
      <xdr:colOff>510886</xdr:colOff>
      <xdr:row>368</xdr:row>
      <xdr:rowOff>359352</xdr:rowOff>
    </xdr:to>
    <xdr:pic>
      <xdr:nvPicPr>
        <xdr:cNvPr id="765" name="Picture 18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191972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369</xdr:row>
      <xdr:rowOff>25977</xdr:rowOff>
    </xdr:from>
    <xdr:to>
      <xdr:col>5</xdr:col>
      <xdr:colOff>510886</xdr:colOff>
      <xdr:row>369</xdr:row>
      <xdr:rowOff>359352</xdr:rowOff>
    </xdr:to>
    <xdr:pic>
      <xdr:nvPicPr>
        <xdr:cNvPr id="766" name="Picture 48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92829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370</xdr:row>
      <xdr:rowOff>25977</xdr:rowOff>
    </xdr:from>
    <xdr:to>
      <xdr:col>5</xdr:col>
      <xdr:colOff>510886</xdr:colOff>
      <xdr:row>370</xdr:row>
      <xdr:rowOff>359352</xdr:rowOff>
    </xdr:to>
    <xdr:pic>
      <xdr:nvPicPr>
        <xdr:cNvPr id="767" name="Picture 5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193548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371</xdr:row>
      <xdr:rowOff>25977</xdr:rowOff>
    </xdr:from>
    <xdr:to>
      <xdr:col>5</xdr:col>
      <xdr:colOff>510886</xdr:colOff>
      <xdr:row>371</xdr:row>
      <xdr:rowOff>359352</xdr:rowOff>
    </xdr:to>
    <xdr:pic>
      <xdr:nvPicPr>
        <xdr:cNvPr id="768" name="Picture 30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90750" y="194552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373</xdr:row>
      <xdr:rowOff>25977</xdr:rowOff>
    </xdr:from>
    <xdr:to>
      <xdr:col>5</xdr:col>
      <xdr:colOff>510886</xdr:colOff>
      <xdr:row>373</xdr:row>
      <xdr:rowOff>359352</xdr:rowOff>
    </xdr:to>
    <xdr:pic>
      <xdr:nvPicPr>
        <xdr:cNvPr id="769" name="Picture 12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190750" y="195271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374</xdr:row>
      <xdr:rowOff>25977</xdr:rowOff>
    </xdr:from>
    <xdr:to>
      <xdr:col>5</xdr:col>
      <xdr:colOff>510886</xdr:colOff>
      <xdr:row>374</xdr:row>
      <xdr:rowOff>359352</xdr:rowOff>
    </xdr:to>
    <xdr:pic>
      <xdr:nvPicPr>
        <xdr:cNvPr id="770" name="Picture 17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90750" y="195704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376</xdr:row>
      <xdr:rowOff>25977</xdr:rowOff>
    </xdr:from>
    <xdr:to>
      <xdr:col>5</xdr:col>
      <xdr:colOff>510886</xdr:colOff>
      <xdr:row>376</xdr:row>
      <xdr:rowOff>359352</xdr:rowOff>
    </xdr:to>
    <xdr:pic>
      <xdr:nvPicPr>
        <xdr:cNvPr id="771" name="Picture 12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0" y="197141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377</xdr:row>
      <xdr:rowOff>25977</xdr:rowOff>
    </xdr:from>
    <xdr:to>
      <xdr:col>5</xdr:col>
      <xdr:colOff>510886</xdr:colOff>
      <xdr:row>377</xdr:row>
      <xdr:rowOff>359352</xdr:rowOff>
    </xdr:to>
    <xdr:pic>
      <xdr:nvPicPr>
        <xdr:cNvPr id="773" name="Picture 17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0" y="198284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387</xdr:row>
      <xdr:rowOff>25977</xdr:rowOff>
    </xdr:from>
    <xdr:to>
      <xdr:col>5</xdr:col>
      <xdr:colOff>510886</xdr:colOff>
      <xdr:row>387</xdr:row>
      <xdr:rowOff>359352</xdr:rowOff>
    </xdr:to>
    <xdr:pic>
      <xdr:nvPicPr>
        <xdr:cNvPr id="774" name="Picture 19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90750" y="201453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398</xdr:row>
      <xdr:rowOff>25977</xdr:rowOff>
    </xdr:from>
    <xdr:to>
      <xdr:col>5</xdr:col>
      <xdr:colOff>510886</xdr:colOff>
      <xdr:row>398</xdr:row>
      <xdr:rowOff>359352</xdr:rowOff>
    </xdr:to>
    <xdr:pic>
      <xdr:nvPicPr>
        <xdr:cNvPr id="775" name="Picture 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190750" y="206051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399</xdr:row>
      <xdr:rowOff>25977</xdr:rowOff>
    </xdr:from>
    <xdr:to>
      <xdr:col>5</xdr:col>
      <xdr:colOff>510886</xdr:colOff>
      <xdr:row>399</xdr:row>
      <xdr:rowOff>359352</xdr:rowOff>
    </xdr:to>
    <xdr:pic>
      <xdr:nvPicPr>
        <xdr:cNvPr id="776" name="Picture 159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190750" y="2067704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400</xdr:row>
      <xdr:rowOff>25977</xdr:rowOff>
    </xdr:from>
    <xdr:to>
      <xdr:col>5</xdr:col>
      <xdr:colOff>510886</xdr:colOff>
      <xdr:row>400</xdr:row>
      <xdr:rowOff>359352</xdr:rowOff>
    </xdr:to>
    <xdr:pic>
      <xdr:nvPicPr>
        <xdr:cNvPr id="777" name="Picture 2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190750" y="207489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401</xdr:row>
      <xdr:rowOff>25977</xdr:rowOff>
    </xdr:from>
    <xdr:to>
      <xdr:col>5</xdr:col>
      <xdr:colOff>510886</xdr:colOff>
      <xdr:row>401</xdr:row>
      <xdr:rowOff>359352</xdr:rowOff>
    </xdr:to>
    <xdr:pic>
      <xdr:nvPicPr>
        <xdr:cNvPr id="778" name="Picture 1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190750" y="208060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402</xdr:row>
      <xdr:rowOff>25977</xdr:rowOff>
    </xdr:from>
    <xdr:to>
      <xdr:col>5</xdr:col>
      <xdr:colOff>510886</xdr:colOff>
      <xdr:row>402</xdr:row>
      <xdr:rowOff>359352</xdr:rowOff>
    </xdr:to>
    <xdr:pic>
      <xdr:nvPicPr>
        <xdr:cNvPr id="779" name="Picture 157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190750" y="2089178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403</xdr:row>
      <xdr:rowOff>25977</xdr:rowOff>
    </xdr:from>
    <xdr:to>
      <xdr:col>5</xdr:col>
      <xdr:colOff>510886</xdr:colOff>
      <xdr:row>403</xdr:row>
      <xdr:rowOff>359352</xdr:rowOff>
    </xdr:to>
    <xdr:pic>
      <xdr:nvPicPr>
        <xdr:cNvPr id="780" name="Picture 161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90750" y="209636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404</xdr:row>
      <xdr:rowOff>25977</xdr:rowOff>
    </xdr:from>
    <xdr:to>
      <xdr:col>5</xdr:col>
      <xdr:colOff>510886</xdr:colOff>
      <xdr:row>404</xdr:row>
      <xdr:rowOff>359352</xdr:rowOff>
    </xdr:to>
    <xdr:pic>
      <xdr:nvPicPr>
        <xdr:cNvPr id="781" name="Picture 10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0" y="210355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405</xdr:row>
      <xdr:rowOff>25977</xdr:rowOff>
    </xdr:from>
    <xdr:to>
      <xdr:col>5</xdr:col>
      <xdr:colOff>510886</xdr:colOff>
      <xdr:row>405</xdr:row>
      <xdr:rowOff>359352</xdr:rowOff>
    </xdr:to>
    <xdr:pic>
      <xdr:nvPicPr>
        <xdr:cNvPr id="782" name="Picture 12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0" y="211074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406</xdr:row>
      <xdr:rowOff>25977</xdr:rowOff>
    </xdr:from>
    <xdr:to>
      <xdr:col>5</xdr:col>
      <xdr:colOff>510886</xdr:colOff>
      <xdr:row>406</xdr:row>
      <xdr:rowOff>359352</xdr:rowOff>
    </xdr:to>
    <xdr:pic>
      <xdr:nvPicPr>
        <xdr:cNvPr id="783" name="Picture 2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90750" y="211645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407</xdr:row>
      <xdr:rowOff>25977</xdr:rowOff>
    </xdr:from>
    <xdr:to>
      <xdr:col>5</xdr:col>
      <xdr:colOff>510886</xdr:colOff>
      <xdr:row>407</xdr:row>
      <xdr:rowOff>359352</xdr:rowOff>
    </xdr:to>
    <xdr:pic>
      <xdr:nvPicPr>
        <xdr:cNvPr id="784" name="Picture 5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0" y="212364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408</xdr:row>
      <xdr:rowOff>25977</xdr:rowOff>
    </xdr:from>
    <xdr:to>
      <xdr:col>5</xdr:col>
      <xdr:colOff>510886</xdr:colOff>
      <xdr:row>408</xdr:row>
      <xdr:rowOff>359352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90750" y="213221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409</xdr:row>
      <xdr:rowOff>25977</xdr:rowOff>
    </xdr:from>
    <xdr:to>
      <xdr:col>5</xdr:col>
      <xdr:colOff>510886</xdr:colOff>
      <xdr:row>409</xdr:row>
      <xdr:rowOff>359352</xdr:rowOff>
    </xdr:to>
    <xdr:pic>
      <xdr:nvPicPr>
        <xdr:cNvPr id="786" name="Picture 18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190750" y="213792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410</xdr:row>
      <xdr:rowOff>25977</xdr:rowOff>
    </xdr:from>
    <xdr:to>
      <xdr:col>5</xdr:col>
      <xdr:colOff>510886</xdr:colOff>
      <xdr:row>410</xdr:row>
      <xdr:rowOff>359352</xdr:rowOff>
    </xdr:to>
    <xdr:pic>
      <xdr:nvPicPr>
        <xdr:cNvPr id="787" name="Picture 180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90750" y="2143644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411</xdr:row>
      <xdr:rowOff>25977</xdr:rowOff>
    </xdr:from>
    <xdr:to>
      <xdr:col>5</xdr:col>
      <xdr:colOff>510886</xdr:colOff>
      <xdr:row>411</xdr:row>
      <xdr:rowOff>359352</xdr:rowOff>
    </xdr:to>
    <xdr:pic>
      <xdr:nvPicPr>
        <xdr:cNvPr id="788" name="Picture 181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90750" y="215221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412</xdr:row>
      <xdr:rowOff>25977</xdr:rowOff>
    </xdr:from>
    <xdr:to>
      <xdr:col>5</xdr:col>
      <xdr:colOff>510886</xdr:colOff>
      <xdr:row>412</xdr:row>
      <xdr:rowOff>359352</xdr:rowOff>
    </xdr:to>
    <xdr:pic>
      <xdr:nvPicPr>
        <xdr:cNvPr id="789" name="Picture 183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90750" y="215940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413</xdr:row>
      <xdr:rowOff>25977</xdr:rowOff>
    </xdr:from>
    <xdr:to>
      <xdr:col>5</xdr:col>
      <xdr:colOff>510886</xdr:colOff>
      <xdr:row>413</xdr:row>
      <xdr:rowOff>359352</xdr:rowOff>
    </xdr:to>
    <xdr:pic>
      <xdr:nvPicPr>
        <xdr:cNvPr id="790" name="Picture 68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190750" y="216659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414</xdr:row>
      <xdr:rowOff>25977</xdr:rowOff>
    </xdr:from>
    <xdr:to>
      <xdr:col>5</xdr:col>
      <xdr:colOff>510886</xdr:colOff>
      <xdr:row>414</xdr:row>
      <xdr:rowOff>359352</xdr:rowOff>
    </xdr:to>
    <xdr:pic>
      <xdr:nvPicPr>
        <xdr:cNvPr id="791" name="Picture 10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190750" y="217377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415</xdr:row>
      <xdr:rowOff>25977</xdr:rowOff>
    </xdr:from>
    <xdr:to>
      <xdr:col>5</xdr:col>
      <xdr:colOff>510886</xdr:colOff>
      <xdr:row>415</xdr:row>
      <xdr:rowOff>359352</xdr:rowOff>
    </xdr:to>
    <xdr:pic>
      <xdr:nvPicPr>
        <xdr:cNvPr id="792" name="Picture 108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190750" y="218235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416</xdr:row>
      <xdr:rowOff>25977</xdr:rowOff>
    </xdr:from>
    <xdr:to>
      <xdr:col>5</xdr:col>
      <xdr:colOff>510886</xdr:colOff>
      <xdr:row>416</xdr:row>
      <xdr:rowOff>359352</xdr:rowOff>
    </xdr:to>
    <xdr:pic>
      <xdr:nvPicPr>
        <xdr:cNvPr id="793" name="Picture 71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190750" y="219092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417</xdr:row>
      <xdr:rowOff>25977</xdr:rowOff>
    </xdr:from>
    <xdr:to>
      <xdr:col>5</xdr:col>
      <xdr:colOff>510886</xdr:colOff>
      <xdr:row>417</xdr:row>
      <xdr:rowOff>359352</xdr:rowOff>
    </xdr:to>
    <xdr:pic>
      <xdr:nvPicPr>
        <xdr:cNvPr id="794" name="Picture 117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190750" y="2196638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418</xdr:row>
      <xdr:rowOff>25977</xdr:rowOff>
    </xdr:from>
    <xdr:to>
      <xdr:col>5</xdr:col>
      <xdr:colOff>510886</xdr:colOff>
      <xdr:row>418</xdr:row>
      <xdr:rowOff>359352</xdr:rowOff>
    </xdr:to>
    <xdr:pic>
      <xdr:nvPicPr>
        <xdr:cNvPr id="795" name="Picture 11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220235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424</xdr:row>
      <xdr:rowOff>25977</xdr:rowOff>
    </xdr:from>
    <xdr:to>
      <xdr:col>5</xdr:col>
      <xdr:colOff>368011</xdr:colOff>
      <xdr:row>424</xdr:row>
      <xdr:rowOff>502227</xdr:rowOff>
    </xdr:to>
    <xdr:pic>
      <xdr:nvPicPr>
        <xdr:cNvPr id="796" name="Picture 13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190750" y="223672977"/>
          <a:ext cx="33337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425</xdr:row>
      <xdr:rowOff>25977</xdr:rowOff>
    </xdr:from>
    <xdr:to>
      <xdr:col>5</xdr:col>
      <xdr:colOff>510886</xdr:colOff>
      <xdr:row>425</xdr:row>
      <xdr:rowOff>359352</xdr:rowOff>
    </xdr:to>
    <xdr:pic>
      <xdr:nvPicPr>
        <xdr:cNvPr id="797" name="Picture 1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190750" y="22524893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426</xdr:row>
      <xdr:rowOff>25977</xdr:rowOff>
    </xdr:from>
    <xdr:to>
      <xdr:col>5</xdr:col>
      <xdr:colOff>510886</xdr:colOff>
      <xdr:row>426</xdr:row>
      <xdr:rowOff>359352</xdr:rowOff>
    </xdr:to>
    <xdr:pic>
      <xdr:nvPicPr>
        <xdr:cNvPr id="798" name="Picture 114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190750" y="225967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428</xdr:row>
      <xdr:rowOff>25977</xdr:rowOff>
    </xdr:from>
    <xdr:to>
      <xdr:col>5</xdr:col>
      <xdr:colOff>510886</xdr:colOff>
      <xdr:row>428</xdr:row>
      <xdr:rowOff>359352</xdr:rowOff>
    </xdr:to>
    <xdr:pic>
      <xdr:nvPicPr>
        <xdr:cNvPr id="799" name="Picture 73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190750" y="227829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427</xdr:row>
      <xdr:rowOff>25977</xdr:rowOff>
    </xdr:from>
    <xdr:to>
      <xdr:col>5</xdr:col>
      <xdr:colOff>510886</xdr:colOff>
      <xdr:row>427</xdr:row>
      <xdr:rowOff>359352</xdr:rowOff>
    </xdr:to>
    <xdr:pic>
      <xdr:nvPicPr>
        <xdr:cNvPr id="800" name="Picture 125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90750" y="226972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429</xdr:row>
      <xdr:rowOff>25977</xdr:rowOff>
    </xdr:from>
    <xdr:to>
      <xdr:col>5</xdr:col>
      <xdr:colOff>510886</xdr:colOff>
      <xdr:row>429</xdr:row>
      <xdr:rowOff>359352</xdr:rowOff>
    </xdr:to>
    <xdr:pic>
      <xdr:nvPicPr>
        <xdr:cNvPr id="801" name="Picture 5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190750" y="228548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430</xdr:row>
      <xdr:rowOff>25977</xdr:rowOff>
    </xdr:from>
    <xdr:to>
      <xdr:col>5</xdr:col>
      <xdr:colOff>510886</xdr:colOff>
      <xdr:row>430</xdr:row>
      <xdr:rowOff>359352</xdr:rowOff>
    </xdr:to>
    <xdr:pic>
      <xdr:nvPicPr>
        <xdr:cNvPr id="802" name="Picture 4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190750" y="229119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431</xdr:row>
      <xdr:rowOff>25977</xdr:rowOff>
    </xdr:from>
    <xdr:to>
      <xdr:col>5</xdr:col>
      <xdr:colOff>510886</xdr:colOff>
      <xdr:row>431</xdr:row>
      <xdr:rowOff>359352</xdr:rowOff>
    </xdr:to>
    <xdr:pic>
      <xdr:nvPicPr>
        <xdr:cNvPr id="803" name="Picture 4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190750" y="230124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432</xdr:row>
      <xdr:rowOff>25977</xdr:rowOff>
    </xdr:from>
    <xdr:to>
      <xdr:col>5</xdr:col>
      <xdr:colOff>510886</xdr:colOff>
      <xdr:row>432</xdr:row>
      <xdr:rowOff>359352</xdr:rowOff>
    </xdr:to>
    <xdr:pic>
      <xdr:nvPicPr>
        <xdr:cNvPr id="804" name="Picture 5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190750" y="230981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433</xdr:row>
      <xdr:rowOff>25977</xdr:rowOff>
    </xdr:from>
    <xdr:to>
      <xdr:col>5</xdr:col>
      <xdr:colOff>510886</xdr:colOff>
      <xdr:row>433</xdr:row>
      <xdr:rowOff>359352</xdr:rowOff>
    </xdr:to>
    <xdr:pic>
      <xdr:nvPicPr>
        <xdr:cNvPr id="805" name="Picture 57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90750" y="231985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434</xdr:row>
      <xdr:rowOff>25977</xdr:rowOff>
    </xdr:from>
    <xdr:to>
      <xdr:col>5</xdr:col>
      <xdr:colOff>510886</xdr:colOff>
      <xdr:row>434</xdr:row>
      <xdr:rowOff>359352</xdr:rowOff>
    </xdr:to>
    <xdr:pic>
      <xdr:nvPicPr>
        <xdr:cNvPr id="806" name="Picture 60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90750" y="2327044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435</xdr:row>
      <xdr:rowOff>25977</xdr:rowOff>
    </xdr:from>
    <xdr:to>
      <xdr:col>5</xdr:col>
      <xdr:colOff>510886</xdr:colOff>
      <xdr:row>435</xdr:row>
      <xdr:rowOff>359352</xdr:rowOff>
    </xdr:to>
    <xdr:pic>
      <xdr:nvPicPr>
        <xdr:cNvPr id="807" name="Picture 63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90750" y="233423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436</xdr:row>
      <xdr:rowOff>25977</xdr:rowOff>
    </xdr:from>
    <xdr:to>
      <xdr:col>5</xdr:col>
      <xdr:colOff>510886</xdr:colOff>
      <xdr:row>436</xdr:row>
      <xdr:rowOff>359352</xdr:rowOff>
    </xdr:to>
    <xdr:pic>
      <xdr:nvPicPr>
        <xdr:cNvPr id="808" name="Picture 66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90750" y="23428036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437</xdr:row>
      <xdr:rowOff>25977</xdr:rowOff>
    </xdr:from>
    <xdr:to>
      <xdr:col>5</xdr:col>
      <xdr:colOff>510886</xdr:colOff>
      <xdr:row>437</xdr:row>
      <xdr:rowOff>359352</xdr:rowOff>
    </xdr:to>
    <xdr:pic>
      <xdr:nvPicPr>
        <xdr:cNvPr id="809" name="Picture 112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190750" y="235137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438</xdr:row>
      <xdr:rowOff>25977</xdr:rowOff>
    </xdr:from>
    <xdr:to>
      <xdr:col>5</xdr:col>
      <xdr:colOff>510886</xdr:colOff>
      <xdr:row>438</xdr:row>
      <xdr:rowOff>359352</xdr:rowOff>
    </xdr:to>
    <xdr:pic>
      <xdr:nvPicPr>
        <xdr:cNvPr id="810" name="Picture 115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190750" y="235856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439</xdr:row>
      <xdr:rowOff>25977</xdr:rowOff>
    </xdr:from>
    <xdr:to>
      <xdr:col>5</xdr:col>
      <xdr:colOff>510886</xdr:colOff>
      <xdr:row>439</xdr:row>
      <xdr:rowOff>359352</xdr:rowOff>
    </xdr:to>
    <xdr:pic>
      <xdr:nvPicPr>
        <xdr:cNvPr id="811" name="Picture 109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190750" y="236289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440</xdr:row>
      <xdr:rowOff>25977</xdr:rowOff>
    </xdr:from>
    <xdr:to>
      <xdr:col>5</xdr:col>
      <xdr:colOff>510886</xdr:colOff>
      <xdr:row>440</xdr:row>
      <xdr:rowOff>359352</xdr:rowOff>
    </xdr:to>
    <xdr:pic>
      <xdr:nvPicPr>
        <xdr:cNvPr id="812" name="Picture 11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190750" y="237007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441</xdr:row>
      <xdr:rowOff>25977</xdr:rowOff>
    </xdr:from>
    <xdr:to>
      <xdr:col>5</xdr:col>
      <xdr:colOff>510886</xdr:colOff>
      <xdr:row>441</xdr:row>
      <xdr:rowOff>359352</xdr:rowOff>
    </xdr:to>
    <xdr:pic>
      <xdr:nvPicPr>
        <xdr:cNvPr id="813" name="Picture 7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0" y="237726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442</xdr:row>
      <xdr:rowOff>25977</xdr:rowOff>
    </xdr:from>
    <xdr:to>
      <xdr:col>5</xdr:col>
      <xdr:colOff>510886</xdr:colOff>
      <xdr:row>442</xdr:row>
      <xdr:rowOff>359352</xdr:rowOff>
    </xdr:to>
    <xdr:pic>
      <xdr:nvPicPr>
        <xdr:cNvPr id="814" name="Picture 7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2384453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444</xdr:row>
      <xdr:rowOff>25977</xdr:rowOff>
    </xdr:from>
    <xdr:to>
      <xdr:col>5</xdr:col>
      <xdr:colOff>510886</xdr:colOff>
      <xdr:row>444</xdr:row>
      <xdr:rowOff>359352</xdr:rowOff>
    </xdr:to>
    <xdr:pic>
      <xdr:nvPicPr>
        <xdr:cNvPr id="815" name="Picture 6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0" y="238878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445</xdr:row>
      <xdr:rowOff>25977</xdr:rowOff>
    </xdr:from>
    <xdr:to>
      <xdr:col>5</xdr:col>
      <xdr:colOff>510886</xdr:colOff>
      <xdr:row>445</xdr:row>
      <xdr:rowOff>359352</xdr:rowOff>
    </xdr:to>
    <xdr:pic>
      <xdr:nvPicPr>
        <xdr:cNvPr id="816" name="Picture 14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0" y="239449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446</xdr:row>
      <xdr:rowOff>25977</xdr:rowOff>
    </xdr:from>
    <xdr:to>
      <xdr:col>5</xdr:col>
      <xdr:colOff>510886</xdr:colOff>
      <xdr:row>446</xdr:row>
      <xdr:rowOff>359352</xdr:rowOff>
    </xdr:to>
    <xdr:pic>
      <xdr:nvPicPr>
        <xdr:cNvPr id="817" name="Picture 15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90750" y="240168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447</xdr:row>
      <xdr:rowOff>25977</xdr:rowOff>
    </xdr:from>
    <xdr:to>
      <xdr:col>5</xdr:col>
      <xdr:colOff>510886</xdr:colOff>
      <xdr:row>447</xdr:row>
      <xdr:rowOff>359352</xdr:rowOff>
    </xdr:to>
    <xdr:pic>
      <xdr:nvPicPr>
        <xdr:cNvPr id="818" name="Picture 8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0" y="2408872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448</xdr:row>
      <xdr:rowOff>25977</xdr:rowOff>
    </xdr:from>
    <xdr:to>
      <xdr:col>5</xdr:col>
      <xdr:colOff>510886</xdr:colOff>
      <xdr:row>448</xdr:row>
      <xdr:rowOff>359352</xdr:rowOff>
    </xdr:to>
    <xdr:pic>
      <xdr:nvPicPr>
        <xdr:cNvPr id="819" name="Picture 81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0" y="241744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449</xdr:row>
      <xdr:rowOff>25977</xdr:rowOff>
    </xdr:from>
    <xdr:to>
      <xdr:col>5</xdr:col>
      <xdr:colOff>510886</xdr:colOff>
      <xdr:row>449</xdr:row>
      <xdr:rowOff>359352</xdr:rowOff>
    </xdr:to>
    <xdr:pic>
      <xdr:nvPicPr>
        <xdr:cNvPr id="820" name="Picture 86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90750" y="242463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450</xdr:row>
      <xdr:rowOff>25977</xdr:rowOff>
    </xdr:from>
    <xdr:to>
      <xdr:col>5</xdr:col>
      <xdr:colOff>510886</xdr:colOff>
      <xdr:row>450</xdr:row>
      <xdr:rowOff>359352</xdr:rowOff>
    </xdr:to>
    <xdr:pic>
      <xdr:nvPicPr>
        <xdr:cNvPr id="821" name="Picture 137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243181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451</xdr:row>
      <xdr:rowOff>25977</xdr:rowOff>
    </xdr:from>
    <xdr:to>
      <xdr:col>5</xdr:col>
      <xdr:colOff>510886</xdr:colOff>
      <xdr:row>451</xdr:row>
      <xdr:rowOff>359352</xdr:rowOff>
    </xdr:to>
    <xdr:pic>
      <xdr:nvPicPr>
        <xdr:cNvPr id="822" name="Picture 14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243900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452</xdr:row>
      <xdr:rowOff>25977</xdr:rowOff>
    </xdr:from>
    <xdr:to>
      <xdr:col>5</xdr:col>
      <xdr:colOff>510886</xdr:colOff>
      <xdr:row>452</xdr:row>
      <xdr:rowOff>359352</xdr:rowOff>
    </xdr:to>
    <xdr:pic>
      <xdr:nvPicPr>
        <xdr:cNvPr id="823" name="Picture 145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90750" y="244619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453</xdr:row>
      <xdr:rowOff>25977</xdr:rowOff>
    </xdr:from>
    <xdr:to>
      <xdr:col>5</xdr:col>
      <xdr:colOff>510886</xdr:colOff>
      <xdr:row>453</xdr:row>
      <xdr:rowOff>359352</xdr:rowOff>
    </xdr:to>
    <xdr:pic>
      <xdr:nvPicPr>
        <xdr:cNvPr id="824" name="Picture 149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190750" y="245338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454</xdr:row>
      <xdr:rowOff>25977</xdr:rowOff>
    </xdr:from>
    <xdr:to>
      <xdr:col>5</xdr:col>
      <xdr:colOff>510886</xdr:colOff>
      <xdr:row>454</xdr:row>
      <xdr:rowOff>359352</xdr:rowOff>
    </xdr:to>
    <xdr:pic>
      <xdr:nvPicPr>
        <xdr:cNvPr id="825" name="Picture 142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246056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455</xdr:row>
      <xdr:rowOff>25977</xdr:rowOff>
    </xdr:from>
    <xdr:to>
      <xdr:col>5</xdr:col>
      <xdr:colOff>510886</xdr:colOff>
      <xdr:row>455</xdr:row>
      <xdr:rowOff>359352</xdr:rowOff>
    </xdr:to>
    <xdr:pic>
      <xdr:nvPicPr>
        <xdr:cNvPr id="826" name="Picture 77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90750" y="2469139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456</xdr:row>
      <xdr:rowOff>25977</xdr:rowOff>
    </xdr:from>
    <xdr:to>
      <xdr:col>5</xdr:col>
      <xdr:colOff>510886</xdr:colOff>
      <xdr:row>456</xdr:row>
      <xdr:rowOff>359352</xdr:rowOff>
    </xdr:to>
    <xdr:pic>
      <xdr:nvPicPr>
        <xdr:cNvPr id="827" name="Picture 72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190750" y="247632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457</xdr:row>
      <xdr:rowOff>25977</xdr:rowOff>
    </xdr:from>
    <xdr:to>
      <xdr:col>5</xdr:col>
      <xdr:colOff>510886</xdr:colOff>
      <xdr:row>457</xdr:row>
      <xdr:rowOff>359352</xdr:rowOff>
    </xdr:to>
    <xdr:pic>
      <xdr:nvPicPr>
        <xdr:cNvPr id="828" name="Picture 68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90750" y="248637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458</xdr:row>
      <xdr:rowOff>25977</xdr:rowOff>
    </xdr:from>
    <xdr:to>
      <xdr:col>5</xdr:col>
      <xdr:colOff>510886</xdr:colOff>
      <xdr:row>458</xdr:row>
      <xdr:rowOff>359352</xdr:rowOff>
    </xdr:to>
    <xdr:pic>
      <xdr:nvPicPr>
        <xdr:cNvPr id="829" name="Picture 134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249641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459</xdr:row>
      <xdr:rowOff>25977</xdr:rowOff>
    </xdr:from>
    <xdr:to>
      <xdr:col>5</xdr:col>
      <xdr:colOff>510886</xdr:colOff>
      <xdr:row>459</xdr:row>
      <xdr:rowOff>359352</xdr:rowOff>
    </xdr:to>
    <xdr:pic>
      <xdr:nvPicPr>
        <xdr:cNvPr id="830" name="Picture 138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2503602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460</xdr:row>
      <xdr:rowOff>25977</xdr:rowOff>
    </xdr:from>
    <xdr:to>
      <xdr:col>5</xdr:col>
      <xdr:colOff>510886</xdr:colOff>
      <xdr:row>460</xdr:row>
      <xdr:rowOff>359352</xdr:rowOff>
    </xdr:to>
    <xdr:pic>
      <xdr:nvPicPr>
        <xdr:cNvPr id="831" name="Picture 118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190750" y="250931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461</xdr:row>
      <xdr:rowOff>25977</xdr:rowOff>
    </xdr:from>
    <xdr:to>
      <xdr:col>5</xdr:col>
      <xdr:colOff>510886</xdr:colOff>
      <xdr:row>461</xdr:row>
      <xdr:rowOff>359352</xdr:rowOff>
    </xdr:to>
    <xdr:pic>
      <xdr:nvPicPr>
        <xdr:cNvPr id="832" name="Picture 62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90750" y="251650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462</xdr:row>
      <xdr:rowOff>25977</xdr:rowOff>
    </xdr:from>
    <xdr:to>
      <xdr:col>5</xdr:col>
      <xdr:colOff>510886</xdr:colOff>
      <xdr:row>462</xdr:row>
      <xdr:rowOff>359352</xdr:rowOff>
    </xdr:to>
    <xdr:pic>
      <xdr:nvPicPr>
        <xdr:cNvPr id="833" name="Picture 65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90750" y="252222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463</xdr:row>
      <xdr:rowOff>25977</xdr:rowOff>
    </xdr:from>
    <xdr:to>
      <xdr:col>5</xdr:col>
      <xdr:colOff>510886</xdr:colOff>
      <xdr:row>463</xdr:row>
      <xdr:rowOff>359352</xdr:rowOff>
    </xdr:to>
    <xdr:pic>
      <xdr:nvPicPr>
        <xdr:cNvPr id="834" name="Picture 148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190750" y="2529407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464</xdr:row>
      <xdr:rowOff>25977</xdr:rowOff>
    </xdr:from>
    <xdr:to>
      <xdr:col>5</xdr:col>
      <xdr:colOff>510886</xdr:colOff>
      <xdr:row>464</xdr:row>
      <xdr:rowOff>359352</xdr:rowOff>
    </xdr:to>
    <xdr:pic>
      <xdr:nvPicPr>
        <xdr:cNvPr id="835" name="Picture 154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90750" y="253512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465</xdr:row>
      <xdr:rowOff>25977</xdr:rowOff>
    </xdr:from>
    <xdr:to>
      <xdr:col>5</xdr:col>
      <xdr:colOff>510886</xdr:colOff>
      <xdr:row>465</xdr:row>
      <xdr:rowOff>359352</xdr:rowOff>
    </xdr:to>
    <xdr:pic>
      <xdr:nvPicPr>
        <xdr:cNvPr id="836" name="Picture 4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190750" y="2539451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466</xdr:row>
      <xdr:rowOff>25977</xdr:rowOff>
    </xdr:from>
    <xdr:to>
      <xdr:col>5</xdr:col>
      <xdr:colOff>510886</xdr:colOff>
      <xdr:row>466</xdr:row>
      <xdr:rowOff>359352</xdr:rowOff>
    </xdr:to>
    <xdr:pic>
      <xdr:nvPicPr>
        <xdr:cNvPr id="837" name="Picture 140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25451665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467</xdr:row>
      <xdr:rowOff>25977</xdr:rowOff>
    </xdr:from>
    <xdr:to>
      <xdr:col>5</xdr:col>
      <xdr:colOff>510886</xdr:colOff>
      <xdr:row>467</xdr:row>
      <xdr:rowOff>359352</xdr:rowOff>
    </xdr:to>
    <xdr:pic>
      <xdr:nvPicPr>
        <xdr:cNvPr id="838" name="Picture 1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0" y="254949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468</xdr:row>
      <xdr:rowOff>25977</xdr:rowOff>
    </xdr:from>
    <xdr:to>
      <xdr:col>5</xdr:col>
      <xdr:colOff>510886</xdr:colOff>
      <xdr:row>468</xdr:row>
      <xdr:rowOff>359352</xdr:rowOff>
    </xdr:to>
    <xdr:pic>
      <xdr:nvPicPr>
        <xdr:cNvPr id="839" name="Picture 3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90750" y="25566831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471</xdr:row>
      <xdr:rowOff>25976</xdr:rowOff>
    </xdr:from>
    <xdr:to>
      <xdr:col>5</xdr:col>
      <xdr:colOff>510886</xdr:colOff>
      <xdr:row>471</xdr:row>
      <xdr:rowOff>359351</xdr:rowOff>
    </xdr:to>
    <xdr:pic>
      <xdr:nvPicPr>
        <xdr:cNvPr id="840" name="Picture 113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190750" y="25782443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470</xdr:row>
      <xdr:rowOff>25977</xdr:rowOff>
    </xdr:from>
    <xdr:to>
      <xdr:col>5</xdr:col>
      <xdr:colOff>510886</xdr:colOff>
      <xdr:row>470</xdr:row>
      <xdr:rowOff>359352</xdr:rowOff>
    </xdr:to>
    <xdr:pic>
      <xdr:nvPicPr>
        <xdr:cNvPr id="841" name="Picture 116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190750" y="2571057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469</xdr:row>
      <xdr:rowOff>25977</xdr:rowOff>
    </xdr:from>
    <xdr:to>
      <xdr:col>5</xdr:col>
      <xdr:colOff>510886</xdr:colOff>
      <xdr:row>469</xdr:row>
      <xdr:rowOff>359352</xdr:rowOff>
    </xdr:to>
    <xdr:pic>
      <xdr:nvPicPr>
        <xdr:cNvPr id="842" name="Picture 16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0" y="256387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475</xdr:row>
      <xdr:rowOff>25977</xdr:rowOff>
    </xdr:from>
    <xdr:to>
      <xdr:col>5</xdr:col>
      <xdr:colOff>520411</xdr:colOff>
      <xdr:row>475</xdr:row>
      <xdr:rowOff>359352</xdr:rowOff>
    </xdr:to>
    <xdr:pic>
      <xdr:nvPicPr>
        <xdr:cNvPr id="843" name="Picture 105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00275" y="260404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472</xdr:row>
      <xdr:rowOff>25977</xdr:rowOff>
    </xdr:from>
    <xdr:to>
      <xdr:col>5</xdr:col>
      <xdr:colOff>520411</xdr:colOff>
      <xdr:row>472</xdr:row>
      <xdr:rowOff>359352</xdr:rowOff>
    </xdr:to>
    <xdr:pic>
      <xdr:nvPicPr>
        <xdr:cNvPr id="844" name="Picture 110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200275" y="258543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44161</xdr:colOff>
      <xdr:row>473</xdr:row>
      <xdr:rowOff>45027</xdr:rowOff>
    </xdr:from>
    <xdr:to>
      <xdr:col>5</xdr:col>
      <xdr:colOff>520411</xdr:colOff>
      <xdr:row>473</xdr:row>
      <xdr:rowOff>378402</xdr:rowOff>
    </xdr:to>
    <xdr:pic>
      <xdr:nvPicPr>
        <xdr:cNvPr id="845" name="Picture 147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00275" y="25913368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474</xdr:row>
      <xdr:rowOff>173182</xdr:rowOff>
    </xdr:from>
    <xdr:to>
      <xdr:col>5</xdr:col>
      <xdr:colOff>510886</xdr:colOff>
      <xdr:row>474</xdr:row>
      <xdr:rowOff>506557</xdr:rowOff>
    </xdr:to>
    <xdr:pic>
      <xdr:nvPicPr>
        <xdr:cNvPr id="846" name="Picture 172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259833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477</xdr:row>
      <xdr:rowOff>25978</xdr:rowOff>
    </xdr:from>
    <xdr:to>
      <xdr:col>5</xdr:col>
      <xdr:colOff>510886</xdr:colOff>
      <xdr:row>477</xdr:row>
      <xdr:rowOff>359353</xdr:rowOff>
    </xdr:to>
    <xdr:pic>
      <xdr:nvPicPr>
        <xdr:cNvPr id="847" name="Picture 92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90750" y="26169504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43295</xdr:colOff>
      <xdr:row>478</xdr:row>
      <xdr:rowOff>86591</xdr:rowOff>
    </xdr:from>
    <xdr:to>
      <xdr:col>5</xdr:col>
      <xdr:colOff>519545</xdr:colOff>
      <xdr:row>478</xdr:row>
      <xdr:rowOff>419966</xdr:rowOff>
    </xdr:to>
    <xdr:pic>
      <xdr:nvPicPr>
        <xdr:cNvPr id="848" name="Picture 96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99409" y="26247436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476</xdr:row>
      <xdr:rowOff>25977</xdr:rowOff>
    </xdr:from>
    <xdr:to>
      <xdr:col>5</xdr:col>
      <xdr:colOff>510886</xdr:colOff>
      <xdr:row>476</xdr:row>
      <xdr:rowOff>359352</xdr:rowOff>
    </xdr:to>
    <xdr:pic>
      <xdr:nvPicPr>
        <xdr:cNvPr id="849" name="Picture 100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90750" y="260976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43295</xdr:colOff>
      <xdr:row>479</xdr:row>
      <xdr:rowOff>51955</xdr:rowOff>
    </xdr:from>
    <xdr:to>
      <xdr:col>5</xdr:col>
      <xdr:colOff>519545</xdr:colOff>
      <xdr:row>479</xdr:row>
      <xdr:rowOff>385330</xdr:rowOff>
    </xdr:to>
    <xdr:pic>
      <xdr:nvPicPr>
        <xdr:cNvPr id="850" name="Picture 103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199409" y="26329697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484</xdr:row>
      <xdr:rowOff>43294</xdr:rowOff>
    </xdr:from>
    <xdr:to>
      <xdr:col>5</xdr:col>
      <xdr:colOff>510886</xdr:colOff>
      <xdr:row>484</xdr:row>
      <xdr:rowOff>376669</xdr:rowOff>
    </xdr:to>
    <xdr:pic>
      <xdr:nvPicPr>
        <xdr:cNvPr id="851" name="Picture 74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190750" y="26658743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480</xdr:row>
      <xdr:rowOff>25977</xdr:rowOff>
    </xdr:from>
    <xdr:to>
      <xdr:col>5</xdr:col>
      <xdr:colOff>510886</xdr:colOff>
      <xdr:row>480</xdr:row>
      <xdr:rowOff>359352</xdr:rowOff>
    </xdr:to>
    <xdr:pic>
      <xdr:nvPicPr>
        <xdr:cNvPr id="852" name="Picture 165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190750" y="2638425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481</xdr:row>
      <xdr:rowOff>34637</xdr:rowOff>
    </xdr:from>
    <xdr:to>
      <xdr:col>5</xdr:col>
      <xdr:colOff>510886</xdr:colOff>
      <xdr:row>481</xdr:row>
      <xdr:rowOff>368012</xdr:rowOff>
    </xdr:to>
    <xdr:pic>
      <xdr:nvPicPr>
        <xdr:cNvPr id="853" name="Picture 166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190750" y="26456986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482</xdr:row>
      <xdr:rowOff>43294</xdr:rowOff>
    </xdr:from>
    <xdr:to>
      <xdr:col>5</xdr:col>
      <xdr:colOff>510886</xdr:colOff>
      <xdr:row>482</xdr:row>
      <xdr:rowOff>376669</xdr:rowOff>
    </xdr:to>
    <xdr:pic>
      <xdr:nvPicPr>
        <xdr:cNvPr id="854" name="Picture 167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0" y="26529722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483</xdr:row>
      <xdr:rowOff>34636</xdr:rowOff>
    </xdr:from>
    <xdr:to>
      <xdr:col>5</xdr:col>
      <xdr:colOff>510886</xdr:colOff>
      <xdr:row>483</xdr:row>
      <xdr:rowOff>368011</xdr:rowOff>
    </xdr:to>
    <xdr:pic>
      <xdr:nvPicPr>
        <xdr:cNvPr id="855" name="Picture 169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190750" y="265860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486</xdr:row>
      <xdr:rowOff>43297</xdr:rowOff>
    </xdr:from>
    <xdr:to>
      <xdr:col>5</xdr:col>
      <xdr:colOff>510886</xdr:colOff>
      <xdr:row>486</xdr:row>
      <xdr:rowOff>376672</xdr:rowOff>
    </xdr:to>
    <xdr:pic>
      <xdr:nvPicPr>
        <xdr:cNvPr id="856" name="Picture 59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90750" y="26773043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485</xdr:row>
      <xdr:rowOff>25977</xdr:rowOff>
    </xdr:from>
    <xdr:to>
      <xdr:col>5</xdr:col>
      <xdr:colOff>510886</xdr:colOff>
      <xdr:row>485</xdr:row>
      <xdr:rowOff>359352</xdr:rowOff>
    </xdr:to>
    <xdr:pic>
      <xdr:nvPicPr>
        <xdr:cNvPr id="857" name="Picture 98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90750" y="2671416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487</xdr:row>
      <xdr:rowOff>43296</xdr:rowOff>
    </xdr:from>
    <xdr:to>
      <xdr:col>5</xdr:col>
      <xdr:colOff>510886</xdr:colOff>
      <xdr:row>487</xdr:row>
      <xdr:rowOff>376671</xdr:rowOff>
    </xdr:to>
    <xdr:pic>
      <xdr:nvPicPr>
        <xdr:cNvPr id="858" name="Picture 132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26844913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488</xdr:row>
      <xdr:rowOff>25977</xdr:rowOff>
    </xdr:from>
    <xdr:to>
      <xdr:col>5</xdr:col>
      <xdr:colOff>510886</xdr:colOff>
      <xdr:row>488</xdr:row>
      <xdr:rowOff>359352</xdr:rowOff>
    </xdr:to>
    <xdr:pic>
      <xdr:nvPicPr>
        <xdr:cNvPr id="859" name="Picture 136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269150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489</xdr:row>
      <xdr:rowOff>25977</xdr:rowOff>
    </xdr:from>
    <xdr:to>
      <xdr:col>5</xdr:col>
      <xdr:colOff>510886</xdr:colOff>
      <xdr:row>489</xdr:row>
      <xdr:rowOff>359352</xdr:rowOff>
    </xdr:to>
    <xdr:pic>
      <xdr:nvPicPr>
        <xdr:cNvPr id="860" name="Picture 144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90750" y="269722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490</xdr:row>
      <xdr:rowOff>25977</xdr:rowOff>
    </xdr:from>
    <xdr:to>
      <xdr:col>5</xdr:col>
      <xdr:colOff>510886</xdr:colOff>
      <xdr:row>490</xdr:row>
      <xdr:rowOff>359352</xdr:rowOff>
    </xdr:to>
    <xdr:pic>
      <xdr:nvPicPr>
        <xdr:cNvPr id="861" name="Picture 151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90750" y="270293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491</xdr:row>
      <xdr:rowOff>25977</xdr:rowOff>
    </xdr:from>
    <xdr:to>
      <xdr:col>5</xdr:col>
      <xdr:colOff>510886</xdr:colOff>
      <xdr:row>491</xdr:row>
      <xdr:rowOff>359352</xdr:rowOff>
    </xdr:to>
    <xdr:pic>
      <xdr:nvPicPr>
        <xdr:cNvPr id="862" name="Picture 131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0" y="270865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493</xdr:row>
      <xdr:rowOff>25977</xdr:rowOff>
    </xdr:from>
    <xdr:to>
      <xdr:col>5</xdr:col>
      <xdr:colOff>510886</xdr:colOff>
      <xdr:row>493</xdr:row>
      <xdr:rowOff>359352</xdr:rowOff>
    </xdr:to>
    <xdr:pic>
      <xdr:nvPicPr>
        <xdr:cNvPr id="863" name="Picture 135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190750" y="2720080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492</xdr:row>
      <xdr:rowOff>25977</xdr:rowOff>
    </xdr:from>
    <xdr:to>
      <xdr:col>5</xdr:col>
      <xdr:colOff>510886</xdr:colOff>
      <xdr:row>492</xdr:row>
      <xdr:rowOff>359352</xdr:rowOff>
    </xdr:to>
    <xdr:pic>
      <xdr:nvPicPr>
        <xdr:cNvPr id="864" name="Picture 139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90750" y="271436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494</xdr:row>
      <xdr:rowOff>34638</xdr:rowOff>
    </xdr:from>
    <xdr:to>
      <xdr:col>5</xdr:col>
      <xdr:colOff>510886</xdr:colOff>
      <xdr:row>494</xdr:row>
      <xdr:rowOff>368013</xdr:rowOff>
    </xdr:to>
    <xdr:pic>
      <xdr:nvPicPr>
        <xdr:cNvPr id="865" name="Picture 143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190750" y="2725881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495</xdr:row>
      <xdr:rowOff>25977</xdr:rowOff>
    </xdr:from>
    <xdr:to>
      <xdr:col>5</xdr:col>
      <xdr:colOff>510886</xdr:colOff>
      <xdr:row>495</xdr:row>
      <xdr:rowOff>359352</xdr:rowOff>
    </xdr:to>
    <xdr:pic>
      <xdr:nvPicPr>
        <xdr:cNvPr id="866" name="Picture 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273298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129</xdr:row>
      <xdr:rowOff>25977</xdr:rowOff>
    </xdr:from>
    <xdr:to>
      <xdr:col>5</xdr:col>
      <xdr:colOff>510886</xdr:colOff>
      <xdr:row>129</xdr:row>
      <xdr:rowOff>359352</xdr:rowOff>
    </xdr:to>
    <xdr:pic>
      <xdr:nvPicPr>
        <xdr:cNvPr id="867" name="Picture 4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72312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130</xdr:row>
      <xdr:rowOff>25977</xdr:rowOff>
    </xdr:from>
    <xdr:to>
      <xdr:col>5</xdr:col>
      <xdr:colOff>510886</xdr:colOff>
      <xdr:row>130</xdr:row>
      <xdr:rowOff>359352</xdr:rowOff>
    </xdr:to>
    <xdr:pic>
      <xdr:nvPicPr>
        <xdr:cNvPr id="868" name="Picture 43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72312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131</xdr:row>
      <xdr:rowOff>25977</xdr:rowOff>
    </xdr:from>
    <xdr:to>
      <xdr:col>5</xdr:col>
      <xdr:colOff>510886</xdr:colOff>
      <xdr:row>131</xdr:row>
      <xdr:rowOff>359352</xdr:rowOff>
    </xdr:to>
    <xdr:pic>
      <xdr:nvPicPr>
        <xdr:cNvPr id="869" name="Picture 43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7331652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194</xdr:row>
      <xdr:rowOff>25977</xdr:rowOff>
    </xdr:from>
    <xdr:to>
      <xdr:col>5</xdr:col>
      <xdr:colOff>510886</xdr:colOff>
      <xdr:row>194</xdr:row>
      <xdr:rowOff>359352</xdr:rowOff>
    </xdr:to>
    <xdr:pic>
      <xdr:nvPicPr>
        <xdr:cNvPr id="870" name="Picture 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22898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195</xdr:row>
      <xdr:rowOff>25977</xdr:rowOff>
    </xdr:from>
    <xdr:to>
      <xdr:col>5</xdr:col>
      <xdr:colOff>510886</xdr:colOff>
      <xdr:row>195</xdr:row>
      <xdr:rowOff>359352</xdr:rowOff>
    </xdr:to>
    <xdr:pic>
      <xdr:nvPicPr>
        <xdr:cNvPr id="871" name="Picture 3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286134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196</xdr:row>
      <xdr:rowOff>25977</xdr:rowOff>
    </xdr:from>
    <xdr:to>
      <xdr:col>5</xdr:col>
      <xdr:colOff>510886</xdr:colOff>
      <xdr:row>196</xdr:row>
      <xdr:rowOff>359352</xdr:rowOff>
    </xdr:to>
    <xdr:pic>
      <xdr:nvPicPr>
        <xdr:cNvPr id="872" name="Picture 3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3580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197</xdr:row>
      <xdr:rowOff>25977</xdr:rowOff>
    </xdr:from>
    <xdr:to>
      <xdr:col>5</xdr:col>
      <xdr:colOff>510886</xdr:colOff>
      <xdr:row>197</xdr:row>
      <xdr:rowOff>359352</xdr:rowOff>
    </xdr:to>
    <xdr:pic>
      <xdr:nvPicPr>
        <xdr:cNvPr id="873" name="Picture 3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8982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185</xdr:row>
      <xdr:rowOff>25977</xdr:rowOff>
    </xdr:from>
    <xdr:to>
      <xdr:col>5</xdr:col>
      <xdr:colOff>510886</xdr:colOff>
      <xdr:row>185</xdr:row>
      <xdr:rowOff>359352</xdr:rowOff>
    </xdr:to>
    <xdr:pic>
      <xdr:nvPicPr>
        <xdr:cNvPr id="874" name="Picture 3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989820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188</xdr:row>
      <xdr:rowOff>25977</xdr:rowOff>
    </xdr:from>
    <xdr:to>
      <xdr:col>5</xdr:col>
      <xdr:colOff>510886</xdr:colOff>
      <xdr:row>188</xdr:row>
      <xdr:rowOff>359352</xdr:rowOff>
    </xdr:to>
    <xdr:pic>
      <xdr:nvPicPr>
        <xdr:cNvPr id="875" name="Picture 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0" y="1008437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164</xdr:row>
      <xdr:rowOff>25977</xdr:rowOff>
    </xdr:from>
    <xdr:to>
      <xdr:col>5</xdr:col>
      <xdr:colOff>510886</xdr:colOff>
      <xdr:row>164</xdr:row>
      <xdr:rowOff>359352</xdr:rowOff>
    </xdr:to>
    <xdr:pic>
      <xdr:nvPicPr>
        <xdr:cNvPr id="876" name="Picture 10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0" y="90955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137</xdr:row>
      <xdr:rowOff>25977</xdr:rowOff>
    </xdr:from>
    <xdr:to>
      <xdr:col>5</xdr:col>
      <xdr:colOff>510886</xdr:colOff>
      <xdr:row>137</xdr:row>
      <xdr:rowOff>359352</xdr:rowOff>
    </xdr:to>
    <xdr:pic>
      <xdr:nvPicPr>
        <xdr:cNvPr id="877" name="Picture 5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769100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181</xdr:row>
      <xdr:rowOff>25977</xdr:rowOff>
    </xdr:from>
    <xdr:to>
      <xdr:col>5</xdr:col>
      <xdr:colOff>510886</xdr:colOff>
      <xdr:row>181</xdr:row>
      <xdr:rowOff>359352</xdr:rowOff>
    </xdr:to>
    <xdr:pic>
      <xdr:nvPicPr>
        <xdr:cNvPr id="878" name="Picture 49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998566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179</xdr:row>
      <xdr:rowOff>25977</xdr:rowOff>
    </xdr:from>
    <xdr:to>
      <xdr:col>5</xdr:col>
      <xdr:colOff>510886</xdr:colOff>
      <xdr:row>179</xdr:row>
      <xdr:rowOff>359352</xdr:rowOff>
    </xdr:to>
    <xdr:pic>
      <xdr:nvPicPr>
        <xdr:cNvPr id="879" name="Picture 7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0" y="99285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173</xdr:row>
      <xdr:rowOff>25977</xdr:rowOff>
    </xdr:from>
    <xdr:to>
      <xdr:col>5</xdr:col>
      <xdr:colOff>510886</xdr:colOff>
      <xdr:row>173</xdr:row>
      <xdr:rowOff>359352</xdr:rowOff>
    </xdr:to>
    <xdr:pic>
      <xdr:nvPicPr>
        <xdr:cNvPr id="880" name="Picture 18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97709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174</xdr:row>
      <xdr:rowOff>25977</xdr:rowOff>
    </xdr:from>
    <xdr:to>
      <xdr:col>5</xdr:col>
      <xdr:colOff>510886</xdr:colOff>
      <xdr:row>174</xdr:row>
      <xdr:rowOff>359352</xdr:rowOff>
    </xdr:to>
    <xdr:pic>
      <xdr:nvPicPr>
        <xdr:cNvPr id="881" name="Picture 18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988521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176</xdr:row>
      <xdr:rowOff>25977</xdr:rowOff>
    </xdr:from>
    <xdr:to>
      <xdr:col>5</xdr:col>
      <xdr:colOff>510886</xdr:colOff>
      <xdr:row>176</xdr:row>
      <xdr:rowOff>359352</xdr:rowOff>
    </xdr:to>
    <xdr:pic>
      <xdr:nvPicPr>
        <xdr:cNvPr id="882" name="Picture 1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90750" y="99588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177</xdr:row>
      <xdr:rowOff>25977</xdr:rowOff>
    </xdr:from>
    <xdr:to>
      <xdr:col>5</xdr:col>
      <xdr:colOff>510886</xdr:colOff>
      <xdr:row>177</xdr:row>
      <xdr:rowOff>359352</xdr:rowOff>
    </xdr:to>
    <xdr:pic>
      <xdr:nvPicPr>
        <xdr:cNvPr id="883" name="Picture 1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90750" y="99588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0</xdr:colOff>
      <xdr:row>602</xdr:row>
      <xdr:rowOff>0</xdr:rowOff>
    </xdr:from>
    <xdr:to>
      <xdr:col>5</xdr:col>
      <xdr:colOff>476250</xdr:colOff>
      <xdr:row>602</xdr:row>
      <xdr:rowOff>333375</xdr:rowOff>
    </xdr:to>
    <xdr:pic>
      <xdr:nvPicPr>
        <xdr:cNvPr id="884" name="Picture 2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56114" y="341757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25977</xdr:colOff>
      <xdr:row>218</xdr:row>
      <xdr:rowOff>17318</xdr:rowOff>
    </xdr:from>
    <xdr:to>
      <xdr:col>5</xdr:col>
      <xdr:colOff>502227</xdr:colOff>
      <xdr:row>218</xdr:row>
      <xdr:rowOff>350693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182091" y="12532302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34636</xdr:colOff>
      <xdr:row>224</xdr:row>
      <xdr:rowOff>25977</xdr:rowOff>
    </xdr:from>
    <xdr:to>
      <xdr:col>5</xdr:col>
      <xdr:colOff>510886</xdr:colOff>
      <xdr:row>224</xdr:row>
      <xdr:rowOff>359352</xdr:rowOff>
    </xdr:to>
    <xdr:pic>
      <xdr:nvPicPr>
        <xdr:cNvPr id="718" name="Picture 35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28483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226</xdr:row>
      <xdr:rowOff>25977</xdr:rowOff>
    </xdr:from>
    <xdr:to>
      <xdr:col>5</xdr:col>
      <xdr:colOff>510886</xdr:colOff>
      <xdr:row>226</xdr:row>
      <xdr:rowOff>359352</xdr:rowOff>
    </xdr:to>
    <xdr:pic>
      <xdr:nvPicPr>
        <xdr:cNvPr id="886" name="Picture 37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29773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228</xdr:row>
      <xdr:rowOff>25977</xdr:rowOff>
    </xdr:from>
    <xdr:to>
      <xdr:col>5</xdr:col>
      <xdr:colOff>510886</xdr:colOff>
      <xdr:row>228</xdr:row>
      <xdr:rowOff>359352</xdr:rowOff>
    </xdr:to>
    <xdr:pic>
      <xdr:nvPicPr>
        <xdr:cNvPr id="885" name="Picture 3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30916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236</xdr:row>
      <xdr:rowOff>25977</xdr:rowOff>
    </xdr:from>
    <xdr:to>
      <xdr:col>5</xdr:col>
      <xdr:colOff>510886</xdr:colOff>
      <xdr:row>236</xdr:row>
      <xdr:rowOff>359352</xdr:rowOff>
    </xdr:to>
    <xdr:pic>
      <xdr:nvPicPr>
        <xdr:cNvPr id="725" name="Picture 40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0" y="13608627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240</xdr:row>
      <xdr:rowOff>25977</xdr:rowOff>
    </xdr:from>
    <xdr:to>
      <xdr:col>5</xdr:col>
      <xdr:colOff>510886</xdr:colOff>
      <xdr:row>240</xdr:row>
      <xdr:rowOff>359352</xdr:rowOff>
    </xdr:to>
    <xdr:pic>
      <xdr:nvPicPr>
        <xdr:cNvPr id="888" name="Picture 5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13779211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242</xdr:row>
      <xdr:rowOff>25977</xdr:rowOff>
    </xdr:from>
    <xdr:to>
      <xdr:col>5</xdr:col>
      <xdr:colOff>510886</xdr:colOff>
      <xdr:row>242</xdr:row>
      <xdr:rowOff>359352</xdr:rowOff>
    </xdr:to>
    <xdr:pic>
      <xdr:nvPicPr>
        <xdr:cNvPr id="889" name="Picture 3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13980968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11</xdr:row>
      <xdr:rowOff>25977</xdr:rowOff>
    </xdr:from>
    <xdr:to>
      <xdr:col>5</xdr:col>
      <xdr:colOff>510886</xdr:colOff>
      <xdr:row>11</xdr:row>
      <xdr:rowOff>359352</xdr:rowOff>
    </xdr:to>
    <xdr:pic>
      <xdr:nvPicPr>
        <xdr:cNvPr id="887" name="Picture 27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594013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17318</xdr:colOff>
      <xdr:row>263</xdr:row>
      <xdr:rowOff>17318</xdr:rowOff>
    </xdr:from>
    <xdr:to>
      <xdr:col>5</xdr:col>
      <xdr:colOff>493568</xdr:colOff>
      <xdr:row>263</xdr:row>
      <xdr:rowOff>350693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73432" y="153248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17318</xdr:colOff>
      <xdr:row>264</xdr:row>
      <xdr:rowOff>17318</xdr:rowOff>
    </xdr:from>
    <xdr:to>
      <xdr:col>5</xdr:col>
      <xdr:colOff>493568</xdr:colOff>
      <xdr:row>264</xdr:row>
      <xdr:rowOff>350693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173432" y="1538200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17318</xdr:colOff>
      <xdr:row>265</xdr:row>
      <xdr:rowOff>17318</xdr:rowOff>
    </xdr:from>
    <xdr:to>
      <xdr:col>5</xdr:col>
      <xdr:colOff>493568</xdr:colOff>
      <xdr:row>265</xdr:row>
      <xdr:rowOff>350693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173432" y="15453879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17318</xdr:colOff>
      <xdr:row>270</xdr:row>
      <xdr:rowOff>17318</xdr:rowOff>
    </xdr:from>
    <xdr:to>
      <xdr:col>5</xdr:col>
      <xdr:colOff>493568</xdr:colOff>
      <xdr:row>270</xdr:row>
      <xdr:rowOff>350693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173432" y="15854795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17318</xdr:colOff>
      <xdr:row>271</xdr:row>
      <xdr:rowOff>17318</xdr:rowOff>
    </xdr:from>
    <xdr:to>
      <xdr:col>5</xdr:col>
      <xdr:colOff>493568</xdr:colOff>
      <xdr:row>271</xdr:row>
      <xdr:rowOff>350693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173432" y="15940520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25977</xdr:colOff>
      <xdr:row>272</xdr:row>
      <xdr:rowOff>17318</xdr:rowOff>
    </xdr:from>
    <xdr:to>
      <xdr:col>5</xdr:col>
      <xdr:colOff>506556</xdr:colOff>
      <xdr:row>272</xdr:row>
      <xdr:rowOff>350693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182091" y="159976704"/>
          <a:ext cx="480579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17318</xdr:colOff>
      <xdr:row>593</xdr:row>
      <xdr:rowOff>17318</xdr:rowOff>
    </xdr:from>
    <xdr:to>
      <xdr:col>5</xdr:col>
      <xdr:colOff>493568</xdr:colOff>
      <xdr:row>593</xdr:row>
      <xdr:rowOff>350693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173432" y="34109890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34636</xdr:colOff>
      <xdr:row>282</xdr:row>
      <xdr:rowOff>25977</xdr:rowOff>
    </xdr:from>
    <xdr:to>
      <xdr:col>5</xdr:col>
      <xdr:colOff>510886</xdr:colOff>
      <xdr:row>282</xdr:row>
      <xdr:rowOff>359352</xdr:rowOff>
    </xdr:to>
    <xdr:pic>
      <xdr:nvPicPr>
        <xdr:cNvPr id="660" name="Picture 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0" y="165440591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285</xdr:row>
      <xdr:rowOff>25977</xdr:rowOff>
    </xdr:from>
    <xdr:to>
      <xdr:col>5</xdr:col>
      <xdr:colOff>510886</xdr:colOff>
      <xdr:row>285</xdr:row>
      <xdr:rowOff>359352</xdr:rowOff>
    </xdr:to>
    <xdr:pic>
      <xdr:nvPicPr>
        <xdr:cNvPr id="679" name="Picture 3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7016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286</xdr:row>
      <xdr:rowOff>25977</xdr:rowOff>
    </xdr:from>
    <xdr:to>
      <xdr:col>5</xdr:col>
      <xdr:colOff>510886</xdr:colOff>
      <xdr:row>286</xdr:row>
      <xdr:rowOff>359352</xdr:rowOff>
    </xdr:to>
    <xdr:pic>
      <xdr:nvPicPr>
        <xdr:cNvPr id="680" name="Picture 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6701654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25977</xdr:colOff>
      <xdr:row>300</xdr:row>
      <xdr:rowOff>25977</xdr:rowOff>
    </xdr:from>
    <xdr:to>
      <xdr:col>5</xdr:col>
      <xdr:colOff>502227</xdr:colOff>
      <xdr:row>300</xdr:row>
      <xdr:rowOff>359352</xdr:rowOff>
    </xdr:to>
    <xdr:pic>
      <xdr:nvPicPr>
        <xdr:cNvPr id="890" name="Picture 69">
          <a:extLst>
            <a:ext uri="{FF2B5EF4-FFF2-40B4-BE49-F238E27FC236}">
              <a16:creationId xmlns:a16="http://schemas.microsoft.com/office/drawing/2014/main" id="{B7C07671-433F-46C2-96E1-9D9B0704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82091" y="178039568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301</xdr:row>
      <xdr:rowOff>25977</xdr:rowOff>
    </xdr:from>
    <xdr:to>
      <xdr:col>5</xdr:col>
      <xdr:colOff>510886</xdr:colOff>
      <xdr:row>301</xdr:row>
      <xdr:rowOff>359352</xdr:rowOff>
    </xdr:to>
    <xdr:pic>
      <xdr:nvPicPr>
        <xdr:cNvPr id="891" name="Picture 5">
          <a:extLst>
            <a:ext uri="{FF2B5EF4-FFF2-40B4-BE49-F238E27FC236}">
              <a16:creationId xmlns:a16="http://schemas.microsoft.com/office/drawing/2014/main" id="{EF2F4435-1A08-49D6-82BE-FCE02718D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87286" y="1781911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304</xdr:row>
      <xdr:rowOff>25977</xdr:rowOff>
    </xdr:from>
    <xdr:to>
      <xdr:col>5</xdr:col>
      <xdr:colOff>510886</xdr:colOff>
      <xdr:row>304</xdr:row>
      <xdr:rowOff>359352</xdr:rowOff>
    </xdr:to>
    <xdr:pic>
      <xdr:nvPicPr>
        <xdr:cNvPr id="681" name="Picture 3">
          <a:extLst>
            <a:ext uri="{FF2B5EF4-FFF2-40B4-BE49-F238E27FC236}">
              <a16:creationId xmlns:a16="http://schemas.microsoft.com/office/drawing/2014/main" id="{D605442C-796D-4881-9ED2-6C15CCFB8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87286" y="1793245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28575</xdr:colOff>
      <xdr:row>397</xdr:row>
      <xdr:rowOff>28575</xdr:rowOff>
    </xdr:from>
    <xdr:to>
      <xdr:col>5</xdr:col>
      <xdr:colOff>504765</xdr:colOff>
      <xdr:row>397</xdr:row>
      <xdr:rowOff>361908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B13C1DFB-2765-423C-8282-B1A3D4A0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181225" y="224047050"/>
          <a:ext cx="476190" cy="333333"/>
        </a:xfrm>
        <a:prstGeom prst="rect">
          <a:avLst/>
        </a:prstGeom>
      </xdr:spPr>
    </xdr:pic>
    <xdr:clientData fLocksWithSheet="0"/>
  </xdr:twoCellAnchor>
  <xdr:twoCellAnchor>
    <xdr:from>
      <xdr:col>5</xdr:col>
      <xdr:colOff>19050</xdr:colOff>
      <xdr:row>221</xdr:row>
      <xdr:rowOff>28575</xdr:rowOff>
    </xdr:from>
    <xdr:to>
      <xdr:col>5</xdr:col>
      <xdr:colOff>495240</xdr:colOff>
      <xdr:row>221</xdr:row>
      <xdr:rowOff>361908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9DD341DE-FEA0-4305-97FD-0AF13D85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171700" y="12679680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34636</xdr:colOff>
      <xdr:row>306</xdr:row>
      <xdr:rowOff>25977</xdr:rowOff>
    </xdr:from>
    <xdr:to>
      <xdr:col>5</xdr:col>
      <xdr:colOff>510886</xdr:colOff>
      <xdr:row>306</xdr:row>
      <xdr:rowOff>359352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EBE13694-0C70-4409-ABE0-57DB939E5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87286" y="1803247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308</xdr:row>
      <xdr:rowOff>25977</xdr:rowOff>
    </xdr:from>
    <xdr:to>
      <xdr:col>5</xdr:col>
      <xdr:colOff>510886</xdr:colOff>
      <xdr:row>308</xdr:row>
      <xdr:rowOff>435552</xdr:rowOff>
    </xdr:to>
    <xdr:pic>
      <xdr:nvPicPr>
        <xdr:cNvPr id="894" name="Picture 1">
          <a:extLst>
            <a:ext uri="{FF2B5EF4-FFF2-40B4-BE49-F238E27FC236}">
              <a16:creationId xmlns:a16="http://schemas.microsoft.com/office/drawing/2014/main" id="{DE7F2A8E-8B77-4ABF-A30D-2C01376E1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87286" y="181467702"/>
          <a:ext cx="47625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315</xdr:row>
      <xdr:rowOff>25977</xdr:rowOff>
    </xdr:from>
    <xdr:to>
      <xdr:col>5</xdr:col>
      <xdr:colOff>510886</xdr:colOff>
      <xdr:row>315</xdr:row>
      <xdr:rowOff>359352</xdr:rowOff>
    </xdr:to>
    <xdr:pic>
      <xdr:nvPicPr>
        <xdr:cNvPr id="901" name="Picture 3">
          <a:extLst>
            <a:ext uri="{FF2B5EF4-FFF2-40B4-BE49-F238E27FC236}">
              <a16:creationId xmlns:a16="http://schemas.microsoft.com/office/drawing/2014/main" id="{72714D80-5C70-4A0B-8E34-AFF81C567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20711" y="1848967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317</xdr:row>
      <xdr:rowOff>25977</xdr:rowOff>
    </xdr:from>
    <xdr:to>
      <xdr:col>5</xdr:col>
      <xdr:colOff>510886</xdr:colOff>
      <xdr:row>317</xdr:row>
      <xdr:rowOff>359352</xdr:rowOff>
    </xdr:to>
    <xdr:pic>
      <xdr:nvPicPr>
        <xdr:cNvPr id="902" name="Picture 3">
          <a:extLst>
            <a:ext uri="{FF2B5EF4-FFF2-40B4-BE49-F238E27FC236}">
              <a16:creationId xmlns:a16="http://schemas.microsoft.com/office/drawing/2014/main" id="{F497F191-4EA0-4D7C-A563-D7983FA0D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20711" y="1860397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319</xdr:row>
      <xdr:rowOff>25977</xdr:rowOff>
    </xdr:from>
    <xdr:to>
      <xdr:col>5</xdr:col>
      <xdr:colOff>510886</xdr:colOff>
      <xdr:row>319</xdr:row>
      <xdr:rowOff>359352</xdr:rowOff>
    </xdr:to>
    <xdr:pic>
      <xdr:nvPicPr>
        <xdr:cNvPr id="903" name="Picture 44">
          <a:extLst>
            <a:ext uri="{FF2B5EF4-FFF2-40B4-BE49-F238E27FC236}">
              <a16:creationId xmlns:a16="http://schemas.microsoft.com/office/drawing/2014/main" id="{D918E8A7-C68D-410A-AA1E-5D6A8ADF4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20711" y="1870398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318</xdr:row>
      <xdr:rowOff>25977</xdr:rowOff>
    </xdr:from>
    <xdr:to>
      <xdr:col>5</xdr:col>
      <xdr:colOff>510886</xdr:colOff>
      <xdr:row>318</xdr:row>
      <xdr:rowOff>359352</xdr:rowOff>
    </xdr:to>
    <xdr:pic>
      <xdr:nvPicPr>
        <xdr:cNvPr id="904" name="Picture 46">
          <a:extLst>
            <a:ext uri="{FF2B5EF4-FFF2-40B4-BE49-F238E27FC236}">
              <a16:creationId xmlns:a16="http://schemas.microsoft.com/office/drawing/2014/main" id="{9E212D9E-1CB1-4F55-99CA-26703D628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20711" y="1864683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320</xdr:row>
      <xdr:rowOff>25977</xdr:rowOff>
    </xdr:from>
    <xdr:to>
      <xdr:col>5</xdr:col>
      <xdr:colOff>510886</xdr:colOff>
      <xdr:row>320</xdr:row>
      <xdr:rowOff>359352</xdr:rowOff>
    </xdr:to>
    <xdr:pic>
      <xdr:nvPicPr>
        <xdr:cNvPr id="905" name="Picture 1">
          <a:extLst>
            <a:ext uri="{FF2B5EF4-FFF2-40B4-BE49-F238E27FC236}">
              <a16:creationId xmlns:a16="http://schemas.microsoft.com/office/drawing/2014/main" id="{9889D29D-6A29-4C07-AC1F-7526CC121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20711" y="1876113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583</xdr:row>
      <xdr:rowOff>28575</xdr:rowOff>
    </xdr:from>
    <xdr:to>
      <xdr:col>5</xdr:col>
      <xdr:colOff>495240</xdr:colOff>
      <xdr:row>583</xdr:row>
      <xdr:rowOff>361908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7BF04D2E-79E9-4418-97A0-ADE89717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905125" y="33878520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34636</xdr:colOff>
      <xdr:row>313</xdr:row>
      <xdr:rowOff>25977</xdr:rowOff>
    </xdr:from>
    <xdr:to>
      <xdr:col>5</xdr:col>
      <xdr:colOff>510886</xdr:colOff>
      <xdr:row>313</xdr:row>
      <xdr:rowOff>359352</xdr:rowOff>
    </xdr:to>
    <xdr:pic>
      <xdr:nvPicPr>
        <xdr:cNvPr id="895" name="Picture 53">
          <a:extLst>
            <a:ext uri="{FF2B5EF4-FFF2-40B4-BE49-F238E27FC236}">
              <a16:creationId xmlns:a16="http://schemas.microsoft.com/office/drawing/2014/main" id="{D7839440-7D4B-4C25-8FDB-34D5AE7B2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20711" y="1846204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310</xdr:row>
      <xdr:rowOff>25977</xdr:rowOff>
    </xdr:from>
    <xdr:to>
      <xdr:col>5</xdr:col>
      <xdr:colOff>510886</xdr:colOff>
      <xdr:row>310</xdr:row>
      <xdr:rowOff>359352</xdr:rowOff>
    </xdr:to>
    <xdr:pic>
      <xdr:nvPicPr>
        <xdr:cNvPr id="896" name="Picture 54">
          <a:extLst>
            <a:ext uri="{FF2B5EF4-FFF2-40B4-BE49-F238E27FC236}">
              <a16:creationId xmlns:a16="http://schemas.microsoft.com/office/drawing/2014/main" id="{76AB7D7C-21B3-48D1-965F-54CD68734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20711" y="1833346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327</xdr:row>
      <xdr:rowOff>25977</xdr:rowOff>
    </xdr:from>
    <xdr:to>
      <xdr:col>5</xdr:col>
      <xdr:colOff>510886</xdr:colOff>
      <xdr:row>327</xdr:row>
      <xdr:rowOff>359352</xdr:rowOff>
    </xdr:to>
    <xdr:pic>
      <xdr:nvPicPr>
        <xdr:cNvPr id="667" name="Picture 52">
          <a:extLst>
            <a:ext uri="{FF2B5EF4-FFF2-40B4-BE49-F238E27FC236}">
              <a16:creationId xmlns:a16="http://schemas.microsoft.com/office/drawing/2014/main" id="{B07B06A3-6A85-4094-A022-0B45EEA9F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20711" y="19188805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38100</xdr:colOff>
      <xdr:row>329</xdr:row>
      <xdr:rowOff>28575</xdr:rowOff>
    </xdr:from>
    <xdr:to>
      <xdr:col>5</xdr:col>
      <xdr:colOff>514350</xdr:colOff>
      <xdr:row>329</xdr:row>
      <xdr:rowOff>361950</xdr:rowOff>
    </xdr:to>
    <xdr:pic>
      <xdr:nvPicPr>
        <xdr:cNvPr id="899" name="Picture 12">
          <a:extLst>
            <a:ext uri="{FF2B5EF4-FFF2-40B4-BE49-F238E27FC236}">
              <a16:creationId xmlns:a16="http://schemas.microsoft.com/office/drawing/2014/main" id="{E504F50B-A0B1-42FB-B4DC-DB116ABE7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4175" y="1934622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38100</xdr:colOff>
      <xdr:row>330</xdr:row>
      <xdr:rowOff>28575</xdr:rowOff>
    </xdr:from>
    <xdr:to>
      <xdr:col>5</xdr:col>
      <xdr:colOff>514350</xdr:colOff>
      <xdr:row>330</xdr:row>
      <xdr:rowOff>361950</xdr:rowOff>
    </xdr:to>
    <xdr:pic>
      <xdr:nvPicPr>
        <xdr:cNvPr id="907" name="Picture 12">
          <a:extLst>
            <a:ext uri="{FF2B5EF4-FFF2-40B4-BE49-F238E27FC236}">
              <a16:creationId xmlns:a16="http://schemas.microsoft.com/office/drawing/2014/main" id="{BB8CFFCB-36E5-4CC4-9244-C43FA71C0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4175" y="1938909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38100</xdr:colOff>
      <xdr:row>331</xdr:row>
      <xdr:rowOff>28575</xdr:rowOff>
    </xdr:from>
    <xdr:to>
      <xdr:col>5</xdr:col>
      <xdr:colOff>514350</xdr:colOff>
      <xdr:row>331</xdr:row>
      <xdr:rowOff>361950</xdr:rowOff>
    </xdr:to>
    <xdr:pic>
      <xdr:nvPicPr>
        <xdr:cNvPr id="908" name="Picture 12">
          <a:extLst>
            <a:ext uri="{FF2B5EF4-FFF2-40B4-BE49-F238E27FC236}">
              <a16:creationId xmlns:a16="http://schemas.microsoft.com/office/drawing/2014/main" id="{6A514B3D-225D-4514-B5F8-604B5892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4175" y="1943195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333</xdr:row>
      <xdr:rowOff>25977</xdr:rowOff>
    </xdr:from>
    <xdr:to>
      <xdr:col>5</xdr:col>
      <xdr:colOff>510886</xdr:colOff>
      <xdr:row>333</xdr:row>
      <xdr:rowOff>359352</xdr:rowOff>
    </xdr:to>
    <xdr:pic>
      <xdr:nvPicPr>
        <xdr:cNvPr id="652" name="Picture 47">
          <a:extLst>
            <a:ext uri="{FF2B5EF4-FFF2-40B4-BE49-F238E27FC236}">
              <a16:creationId xmlns:a16="http://schemas.microsoft.com/office/drawing/2014/main" id="{AAD61DFE-8959-454C-A1BA-EFA34814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13303" y="19590231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31749</xdr:colOff>
      <xdr:row>496</xdr:row>
      <xdr:rowOff>31749</xdr:rowOff>
    </xdr:from>
    <xdr:to>
      <xdr:col>5</xdr:col>
      <xdr:colOff>507939</xdr:colOff>
      <xdr:row>496</xdr:row>
      <xdr:rowOff>365082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5CC1D38-9C5D-4704-8637-898A91CC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910416" y="299084999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34636</xdr:colOff>
      <xdr:row>340</xdr:row>
      <xdr:rowOff>25977</xdr:rowOff>
    </xdr:from>
    <xdr:to>
      <xdr:col>5</xdr:col>
      <xdr:colOff>510886</xdr:colOff>
      <xdr:row>340</xdr:row>
      <xdr:rowOff>359352</xdr:rowOff>
    </xdr:to>
    <xdr:pic>
      <xdr:nvPicPr>
        <xdr:cNvPr id="892" name="Picture 8">
          <a:extLst>
            <a:ext uri="{FF2B5EF4-FFF2-40B4-BE49-F238E27FC236}">
              <a16:creationId xmlns:a16="http://schemas.microsoft.com/office/drawing/2014/main" id="{DCBE26D0-8ED8-4E55-A1F2-28D1C0FC0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913303" y="199913394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28575</xdr:colOff>
      <xdr:row>316</xdr:row>
      <xdr:rowOff>19050</xdr:rowOff>
    </xdr:from>
    <xdr:to>
      <xdr:col>5</xdr:col>
      <xdr:colOff>504825</xdr:colOff>
      <xdr:row>316</xdr:row>
      <xdr:rowOff>352425</xdr:rowOff>
    </xdr:to>
    <xdr:pic>
      <xdr:nvPicPr>
        <xdr:cNvPr id="898" name="Picture 3">
          <a:extLst>
            <a:ext uri="{FF2B5EF4-FFF2-40B4-BE49-F238E27FC236}">
              <a16:creationId xmlns:a16="http://schemas.microsoft.com/office/drawing/2014/main" id="{3091E811-E215-4291-A496-776291EC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14650" y="1866519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347</xdr:row>
      <xdr:rowOff>25977</xdr:rowOff>
    </xdr:from>
    <xdr:to>
      <xdr:col>5</xdr:col>
      <xdr:colOff>510886</xdr:colOff>
      <xdr:row>347</xdr:row>
      <xdr:rowOff>359352</xdr:rowOff>
    </xdr:to>
    <xdr:pic>
      <xdr:nvPicPr>
        <xdr:cNvPr id="909" name="Picture 1">
          <a:extLst>
            <a:ext uri="{FF2B5EF4-FFF2-40B4-BE49-F238E27FC236}">
              <a16:creationId xmlns:a16="http://schemas.microsoft.com/office/drawing/2014/main" id="{7A0C6C36-D798-4880-BF27-D7DED9E96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20711" y="2035180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349</xdr:row>
      <xdr:rowOff>25977</xdr:rowOff>
    </xdr:from>
    <xdr:to>
      <xdr:col>5</xdr:col>
      <xdr:colOff>510886</xdr:colOff>
      <xdr:row>349</xdr:row>
      <xdr:rowOff>359352</xdr:rowOff>
    </xdr:to>
    <xdr:pic>
      <xdr:nvPicPr>
        <xdr:cNvPr id="897" name="Picture 10">
          <a:extLst>
            <a:ext uri="{FF2B5EF4-FFF2-40B4-BE49-F238E27FC236}">
              <a16:creationId xmlns:a16="http://schemas.microsoft.com/office/drawing/2014/main" id="{2022CD39-C19A-4FF6-A127-34C69D4F4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20711" y="2046610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361</xdr:row>
      <xdr:rowOff>25977</xdr:rowOff>
    </xdr:from>
    <xdr:to>
      <xdr:col>5</xdr:col>
      <xdr:colOff>510886</xdr:colOff>
      <xdr:row>361</xdr:row>
      <xdr:rowOff>359352</xdr:rowOff>
    </xdr:to>
    <xdr:pic>
      <xdr:nvPicPr>
        <xdr:cNvPr id="900" name="Picture 12">
          <a:extLst>
            <a:ext uri="{FF2B5EF4-FFF2-40B4-BE49-F238E27FC236}">
              <a16:creationId xmlns:a16="http://schemas.microsoft.com/office/drawing/2014/main" id="{1524A4D9-2750-44B7-9003-D14A51012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0711" y="2120905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372</xdr:row>
      <xdr:rowOff>25977</xdr:rowOff>
    </xdr:from>
    <xdr:to>
      <xdr:col>5</xdr:col>
      <xdr:colOff>510886</xdr:colOff>
      <xdr:row>372</xdr:row>
      <xdr:rowOff>359352</xdr:rowOff>
    </xdr:to>
    <xdr:pic>
      <xdr:nvPicPr>
        <xdr:cNvPr id="906" name="Picture 30">
          <a:extLst>
            <a:ext uri="{FF2B5EF4-FFF2-40B4-BE49-F238E27FC236}">
              <a16:creationId xmlns:a16="http://schemas.microsoft.com/office/drawing/2014/main" id="{305EF2B6-9F27-4FA0-B2CE-5924AE9D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654136" y="2193772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443</xdr:row>
      <xdr:rowOff>25977</xdr:rowOff>
    </xdr:from>
    <xdr:to>
      <xdr:col>5</xdr:col>
      <xdr:colOff>510886</xdr:colOff>
      <xdr:row>443</xdr:row>
      <xdr:rowOff>359352</xdr:rowOff>
    </xdr:to>
    <xdr:pic>
      <xdr:nvPicPr>
        <xdr:cNvPr id="910" name="Picture 7">
          <a:extLst>
            <a:ext uri="{FF2B5EF4-FFF2-40B4-BE49-F238E27FC236}">
              <a16:creationId xmlns:a16="http://schemas.microsoft.com/office/drawing/2014/main" id="{909FE0CD-C040-44A3-AFFA-D3A212BF3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54136" y="2658115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0</xdr:colOff>
      <xdr:row>607</xdr:row>
      <xdr:rowOff>0</xdr:rowOff>
    </xdr:from>
    <xdr:to>
      <xdr:col>5</xdr:col>
      <xdr:colOff>476250</xdr:colOff>
      <xdr:row>607</xdr:row>
      <xdr:rowOff>485775</xdr:rowOff>
    </xdr:to>
    <xdr:pic>
      <xdr:nvPicPr>
        <xdr:cNvPr id="911" name="Picture 1">
          <a:extLst>
            <a:ext uri="{FF2B5EF4-FFF2-40B4-BE49-F238E27FC236}">
              <a16:creationId xmlns:a16="http://schemas.microsoft.com/office/drawing/2014/main" id="{A7BB36D3-CD8B-4F36-9A6B-A508E320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619500" y="36116895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559</xdr:row>
      <xdr:rowOff>45027</xdr:rowOff>
    </xdr:from>
    <xdr:to>
      <xdr:col>5</xdr:col>
      <xdr:colOff>539461</xdr:colOff>
      <xdr:row>559</xdr:row>
      <xdr:rowOff>378402</xdr:rowOff>
    </xdr:to>
    <xdr:pic>
      <xdr:nvPicPr>
        <xdr:cNvPr id="638" name="Picture 43">
          <a:extLst>
            <a:ext uri="{FF2B5EF4-FFF2-40B4-BE49-F238E27FC236}">
              <a16:creationId xmlns:a16="http://schemas.microsoft.com/office/drawing/2014/main" id="{7AB94FB8-F0C2-4847-9E7E-62335D047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82711" y="33754435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63211</xdr:colOff>
      <xdr:row>592</xdr:row>
      <xdr:rowOff>45027</xdr:rowOff>
    </xdr:from>
    <xdr:to>
      <xdr:col>5</xdr:col>
      <xdr:colOff>539461</xdr:colOff>
      <xdr:row>592</xdr:row>
      <xdr:rowOff>378402</xdr:rowOff>
    </xdr:to>
    <xdr:pic>
      <xdr:nvPicPr>
        <xdr:cNvPr id="912" name="Picture 60">
          <a:extLst>
            <a:ext uri="{FF2B5EF4-FFF2-40B4-BE49-F238E27FC236}">
              <a16:creationId xmlns:a16="http://schemas.microsoft.com/office/drawing/2014/main" id="{5B5B5E43-C96D-41D0-A7CB-72810ED3C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82711" y="3527272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383</xdr:row>
      <xdr:rowOff>45027</xdr:rowOff>
    </xdr:from>
    <xdr:to>
      <xdr:col>5</xdr:col>
      <xdr:colOff>548986</xdr:colOff>
      <xdr:row>383</xdr:row>
      <xdr:rowOff>378402</xdr:rowOff>
    </xdr:to>
    <xdr:pic>
      <xdr:nvPicPr>
        <xdr:cNvPr id="914" name="Picture 17">
          <a:extLst>
            <a:ext uri="{FF2B5EF4-FFF2-40B4-BE49-F238E27FC236}">
              <a16:creationId xmlns:a16="http://schemas.microsoft.com/office/drawing/2014/main" id="{EC8E19F7-DF05-4449-8226-721F76AE1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92236" y="22527317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388</xdr:row>
      <xdr:rowOff>45027</xdr:rowOff>
    </xdr:from>
    <xdr:to>
      <xdr:col>5</xdr:col>
      <xdr:colOff>548986</xdr:colOff>
      <xdr:row>388</xdr:row>
      <xdr:rowOff>378402</xdr:rowOff>
    </xdr:to>
    <xdr:pic>
      <xdr:nvPicPr>
        <xdr:cNvPr id="915" name="Picture 12">
          <a:extLst>
            <a:ext uri="{FF2B5EF4-FFF2-40B4-BE49-F238E27FC236}">
              <a16:creationId xmlns:a16="http://schemas.microsoft.com/office/drawing/2014/main" id="{3AF4A494-7FAF-457F-813D-E23007890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92236" y="2281402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614</xdr:row>
      <xdr:rowOff>19050</xdr:rowOff>
    </xdr:from>
    <xdr:to>
      <xdr:col>5</xdr:col>
      <xdr:colOff>495240</xdr:colOff>
      <xdr:row>614</xdr:row>
      <xdr:rowOff>352383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5A915E2F-089C-47EC-B41F-1324DEB8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38550" y="36756022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615</xdr:row>
      <xdr:rowOff>28575</xdr:rowOff>
    </xdr:from>
    <xdr:to>
      <xdr:col>5</xdr:col>
      <xdr:colOff>495240</xdr:colOff>
      <xdr:row>615</xdr:row>
      <xdr:rowOff>361908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845F618E-098B-4A78-93AE-D62A8FA2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638550" y="36814125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616</xdr:row>
      <xdr:rowOff>19050</xdr:rowOff>
    </xdr:from>
    <xdr:to>
      <xdr:col>5</xdr:col>
      <xdr:colOff>495240</xdr:colOff>
      <xdr:row>616</xdr:row>
      <xdr:rowOff>352383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7EDC45F7-8AE4-46E2-BDFA-D37E338B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638550" y="36856035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624</xdr:row>
      <xdr:rowOff>19050</xdr:rowOff>
    </xdr:from>
    <xdr:to>
      <xdr:col>5</xdr:col>
      <xdr:colOff>495300</xdr:colOff>
      <xdr:row>624</xdr:row>
      <xdr:rowOff>352425</xdr:rowOff>
    </xdr:to>
    <xdr:pic>
      <xdr:nvPicPr>
        <xdr:cNvPr id="920" name="Picture 59">
          <a:extLst>
            <a:ext uri="{FF2B5EF4-FFF2-40B4-BE49-F238E27FC236}">
              <a16:creationId xmlns:a16="http://schemas.microsoft.com/office/drawing/2014/main" id="{B96E2B41-2DA6-4610-B516-B14EAE21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638550" y="3695604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623</xdr:row>
      <xdr:rowOff>9525</xdr:rowOff>
    </xdr:from>
    <xdr:to>
      <xdr:col>5</xdr:col>
      <xdr:colOff>495300</xdr:colOff>
      <xdr:row>623</xdr:row>
      <xdr:rowOff>342900</xdr:rowOff>
    </xdr:to>
    <xdr:pic>
      <xdr:nvPicPr>
        <xdr:cNvPr id="918" name="Picture 63">
          <a:extLst>
            <a:ext uri="{FF2B5EF4-FFF2-40B4-BE49-F238E27FC236}">
              <a16:creationId xmlns:a16="http://schemas.microsoft.com/office/drawing/2014/main" id="{AEB2F5F7-38BC-4EB3-A05F-C97E7210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638550" y="3704082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621</xdr:row>
      <xdr:rowOff>9525</xdr:rowOff>
    </xdr:from>
    <xdr:to>
      <xdr:col>5</xdr:col>
      <xdr:colOff>495300</xdr:colOff>
      <xdr:row>621</xdr:row>
      <xdr:rowOff>342900</xdr:rowOff>
    </xdr:to>
    <xdr:pic>
      <xdr:nvPicPr>
        <xdr:cNvPr id="922" name="Picture 60">
          <a:extLst>
            <a:ext uri="{FF2B5EF4-FFF2-40B4-BE49-F238E27FC236}">
              <a16:creationId xmlns:a16="http://schemas.microsoft.com/office/drawing/2014/main" id="{CDE202E0-852C-45C0-BE71-B1AB12CE2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638550" y="371122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622</xdr:row>
      <xdr:rowOff>9525</xdr:rowOff>
    </xdr:from>
    <xdr:to>
      <xdr:col>5</xdr:col>
      <xdr:colOff>495300</xdr:colOff>
      <xdr:row>622</xdr:row>
      <xdr:rowOff>342900</xdr:rowOff>
    </xdr:to>
    <xdr:pic>
      <xdr:nvPicPr>
        <xdr:cNvPr id="923" name="Picture 66">
          <a:extLst>
            <a:ext uri="{FF2B5EF4-FFF2-40B4-BE49-F238E27FC236}">
              <a16:creationId xmlns:a16="http://schemas.microsoft.com/office/drawing/2014/main" id="{9902BED1-1632-43AB-B390-BC374CDD5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638550" y="3715512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38100</xdr:colOff>
      <xdr:row>170</xdr:row>
      <xdr:rowOff>38100</xdr:rowOff>
    </xdr:from>
    <xdr:to>
      <xdr:col>5</xdr:col>
      <xdr:colOff>514350</xdr:colOff>
      <xdr:row>170</xdr:row>
      <xdr:rowOff>371475</xdr:rowOff>
    </xdr:to>
    <xdr:pic>
      <xdr:nvPicPr>
        <xdr:cNvPr id="913" name="Picture 3">
          <a:extLst>
            <a:ext uri="{FF2B5EF4-FFF2-40B4-BE49-F238E27FC236}">
              <a16:creationId xmlns:a16="http://schemas.microsoft.com/office/drawing/2014/main" id="{75E791FE-68AB-4622-BFB1-750B9670A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57600" y="958977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617</xdr:row>
      <xdr:rowOff>19050</xdr:rowOff>
    </xdr:from>
    <xdr:to>
      <xdr:col>5</xdr:col>
      <xdr:colOff>495300</xdr:colOff>
      <xdr:row>617</xdr:row>
      <xdr:rowOff>352425</xdr:rowOff>
    </xdr:to>
    <xdr:pic>
      <xdr:nvPicPr>
        <xdr:cNvPr id="917" name="Picture 76">
          <a:extLst>
            <a:ext uri="{FF2B5EF4-FFF2-40B4-BE49-F238E27FC236}">
              <a16:creationId xmlns:a16="http://schemas.microsoft.com/office/drawing/2014/main" id="{25424015-3072-4E52-849A-88BF566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638550" y="3701319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618</xdr:row>
      <xdr:rowOff>19050</xdr:rowOff>
    </xdr:from>
    <xdr:to>
      <xdr:col>5</xdr:col>
      <xdr:colOff>495300</xdr:colOff>
      <xdr:row>618</xdr:row>
      <xdr:rowOff>352425</xdr:rowOff>
    </xdr:to>
    <xdr:pic>
      <xdr:nvPicPr>
        <xdr:cNvPr id="919" name="Picture 82">
          <a:extLst>
            <a:ext uri="{FF2B5EF4-FFF2-40B4-BE49-F238E27FC236}">
              <a16:creationId xmlns:a16="http://schemas.microsoft.com/office/drawing/2014/main" id="{A8D25D55-2D80-4CE5-A6C7-CBCC2BC3A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638550" y="3708463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619</xdr:row>
      <xdr:rowOff>19050</xdr:rowOff>
    </xdr:from>
    <xdr:to>
      <xdr:col>5</xdr:col>
      <xdr:colOff>495300</xdr:colOff>
      <xdr:row>619</xdr:row>
      <xdr:rowOff>361950</xdr:rowOff>
    </xdr:to>
    <xdr:pic>
      <xdr:nvPicPr>
        <xdr:cNvPr id="924" name="Picture 85">
          <a:extLst>
            <a:ext uri="{FF2B5EF4-FFF2-40B4-BE49-F238E27FC236}">
              <a16:creationId xmlns:a16="http://schemas.microsoft.com/office/drawing/2014/main" id="{474DB4E6-B146-49F2-A208-EF619DEC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638550" y="371274975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19050</xdr:colOff>
      <xdr:row>620</xdr:row>
      <xdr:rowOff>19050</xdr:rowOff>
    </xdr:from>
    <xdr:to>
      <xdr:col>5</xdr:col>
      <xdr:colOff>495240</xdr:colOff>
      <xdr:row>620</xdr:row>
      <xdr:rowOff>352383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F6E5FAE-978F-49F4-9A2E-4051D66B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638550" y="37170360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367</xdr:row>
      <xdr:rowOff>47625</xdr:rowOff>
    </xdr:from>
    <xdr:to>
      <xdr:col>5</xdr:col>
      <xdr:colOff>514350</xdr:colOff>
      <xdr:row>367</xdr:row>
      <xdr:rowOff>381000</xdr:rowOff>
    </xdr:to>
    <xdr:pic>
      <xdr:nvPicPr>
        <xdr:cNvPr id="916" name="Bild 915">
          <a:extLst>
            <a:ext uri="{FF2B5EF4-FFF2-40B4-BE49-F238E27FC236}">
              <a16:creationId xmlns:a16="http://schemas.microsoft.com/office/drawing/2014/main" id="{D773C5D6-059E-4254-853D-39AA41C6B5EC}"/>
            </a:ext>
            <a:ext uri="{147F2762-F138-4A5C-976F-8EAC2B608ADB}">
              <a16:predDERef xmlns:a16="http://schemas.microsoft.com/office/drawing/2014/main" pred="{0F6E5FAE-978F-49F4-9A2E-4051D66B9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657600" y="2164175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19050</xdr:colOff>
      <xdr:row>625</xdr:row>
      <xdr:rowOff>57150</xdr:rowOff>
    </xdr:from>
    <xdr:to>
      <xdr:col>5</xdr:col>
      <xdr:colOff>495300</xdr:colOff>
      <xdr:row>625</xdr:row>
      <xdr:rowOff>390525</xdr:rowOff>
    </xdr:to>
    <xdr:pic>
      <xdr:nvPicPr>
        <xdr:cNvPr id="928" name="Picture 151">
          <a:extLst>
            <a:ext uri="{FF2B5EF4-FFF2-40B4-BE49-F238E27FC236}">
              <a16:creationId xmlns:a16="http://schemas.microsoft.com/office/drawing/2014/main" id="{F1601B3D-50A7-443A-9B7B-90333A53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38550" y="3748849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28575</xdr:colOff>
      <xdr:row>573</xdr:row>
      <xdr:rowOff>28575</xdr:rowOff>
    </xdr:from>
    <xdr:to>
      <xdr:col>5</xdr:col>
      <xdr:colOff>504765</xdr:colOff>
      <xdr:row>573</xdr:row>
      <xdr:rowOff>361908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04F2885B-7C4F-441C-A4CB-386C7A2B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667190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574</xdr:row>
      <xdr:rowOff>28575</xdr:rowOff>
    </xdr:from>
    <xdr:to>
      <xdr:col>5</xdr:col>
      <xdr:colOff>504765</xdr:colOff>
      <xdr:row>574</xdr:row>
      <xdr:rowOff>361908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1679FAE7-0C5B-40B8-89FD-BB2ABC4B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710052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576</xdr:row>
      <xdr:rowOff>28575</xdr:rowOff>
    </xdr:from>
    <xdr:to>
      <xdr:col>5</xdr:col>
      <xdr:colOff>504765</xdr:colOff>
      <xdr:row>576</xdr:row>
      <xdr:rowOff>361908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56E0548F-1EC3-4171-8E23-647691C1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752915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578</xdr:row>
      <xdr:rowOff>28575</xdr:rowOff>
    </xdr:from>
    <xdr:to>
      <xdr:col>5</xdr:col>
      <xdr:colOff>504765</xdr:colOff>
      <xdr:row>578</xdr:row>
      <xdr:rowOff>361908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BACAAB9A-94FC-47E6-BB53-EEB56918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795777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626</xdr:row>
      <xdr:rowOff>47625</xdr:rowOff>
    </xdr:from>
    <xdr:to>
      <xdr:col>5</xdr:col>
      <xdr:colOff>447675</xdr:colOff>
      <xdr:row>626</xdr:row>
      <xdr:rowOff>361950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29A65024-AD7A-49E7-9E43-76D382299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752850" y="377304300"/>
          <a:ext cx="314325" cy="314325"/>
        </a:xfrm>
        <a:prstGeom prst="rect">
          <a:avLst/>
        </a:prstGeom>
      </xdr:spPr>
    </xdr:pic>
    <xdr:clientData/>
  </xdr:twoCellAnchor>
  <xdr:twoCellAnchor>
    <xdr:from>
      <xdr:col>5</xdr:col>
      <xdr:colOff>72736</xdr:colOff>
      <xdr:row>379</xdr:row>
      <xdr:rowOff>45027</xdr:rowOff>
    </xdr:from>
    <xdr:to>
      <xdr:col>5</xdr:col>
      <xdr:colOff>548986</xdr:colOff>
      <xdr:row>379</xdr:row>
      <xdr:rowOff>378402</xdr:rowOff>
    </xdr:to>
    <xdr:pic>
      <xdr:nvPicPr>
        <xdr:cNvPr id="925" name="Picture 15">
          <a:extLst>
            <a:ext uri="{FF2B5EF4-FFF2-40B4-BE49-F238E27FC236}">
              <a16:creationId xmlns:a16="http://schemas.microsoft.com/office/drawing/2014/main" id="{EC7DEE86-1482-4DC8-B9BD-B1CF52A9A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92236" y="2245683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72736</xdr:colOff>
      <xdr:row>378</xdr:row>
      <xdr:rowOff>45027</xdr:rowOff>
    </xdr:from>
    <xdr:to>
      <xdr:col>5</xdr:col>
      <xdr:colOff>548986</xdr:colOff>
      <xdr:row>378</xdr:row>
      <xdr:rowOff>378402</xdr:rowOff>
    </xdr:to>
    <xdr:pic>
      <xdr:nvPicPr>
        <xdr:cNvPr id="926" name="Picture 15">
          <a:extLst>
            <a:ext uri="{FF2B5EF4-FFF2-40B4-BE49-F238E27FC236}">
              <a16:creationId xmlns:a16="http://schemas.microsoft.com/office/drawing/2014/main" id="{C93A8BE0-5483-41EC-AEBF-A1CDBDC9B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92236" y="2245683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34636</xdr:colOff>
      <xdr:row>79</xdr:row>
      <xdr:rowOff>25977</xdr:rowOff>
    </xdr:from>
    <xdr:to>
      <xdr:col>5</xdr:col>
      <xdr:colOff>510886</xdr:colOff>
      <xdr:row>79</xdr:row>
      <xdr:rowOff>359352</xdr:rowOff>
    </xdr:to>
    <xdr:pic>
      <xdr:nvPicPr>
        <xdr:cNvPr id="934" name="Picture 15">
          <a:extLst>
            <a:ext uri="{FF2B5EF4-FFF2-40B4-BE49-F238E27FC236}">
              <a16:creationId xmlns:a16="http://schemas.microsoft.com/office/drawing/2014/main" id="{6253455A-02B7-403C-AF84-C4DB5BBE6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54136" y="4430770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28575</xdr:colOff>
      <xdr:row>78</xdr:row>
      <xdr:rowOff>38100</xdr:rowOff>
    </xdr:from>
    <xdr:to>
      <xdr:col>5</xdr:col>
      <xdr:colOff>504825</xdr:colOff>
      <xdr:row>78</xdr:row>
      <xdr:rowOff>371475</xdr:rowOff>
    </xdr:to>
    <xdr:pic>
      <xdr:nvPicPr>
        <xdr:cNvPr id="772" name="Picture 1">
          <a:extLst>
            <a:ext uri="{FF2B5EF4-FFF2-40B4-BE49-F238E27FC236}">
              <a16:creationId xmlns:a16="http://schemas.microsoft.com/office/drawing/2014/main" id="{4DCE3B34-82E8-4011-BA33-B8F2BF28E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48075" y="127539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104775</xdr:colOff>
      <xdr:row>627</xdr:row>
      <xdr:rowOff>57150</xdr:rowOff>
    </xdr:from>
    <xdr:to>
      <xdr:col>5</xdr:col>
      <xdr:colOff>475192</xdr:colOff>
      <xdr:row>627</xdr:row>
      <xdr:rowOff>427567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E72C085C-EB02-4DAD-896C-7B485A85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24275" y="379857000"/>
          <a:ext cx="370417" cy="370417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628</xdr:row>
      <xdr:rowOff>76200</xdr:rowOff>
    </xdr:from>
    <xdr:to>
      <xdr:col>5</xdr:col>
      <xdr:colOff>533400</xdr:colOff>
      <xdr:row>628</xdr:row>
      <xdr:rowOff>396240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8BC06F7A-4801-41B0-BF27-0BD91494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381019050"/>
          <a:ext cx="457200" cy="32004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572</xdr:row>
      <xdr:rowOff>28575</xdr:rowOff>
    </xdr:from>
    <xdr:to>
      <xdr:col>5</xdr:col>
      <xdr:colOff>504825</xdr:colOff>
      <xdr:row>572</xdr:row>
      <xdr:rowOff>348615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A98FEB95-DF05-4533-A22E-A3B8331E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348100650"/>
          <a:ext cx="457200" cy="32004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563</xdr:row>
      <xdr:rowOff>28575</xdr:rowOff>
    </xdr:from>
    <xdr:to>
      <xdr:col>5</xdr:col>
      <xdr:colOff>514290</xdr:colOff>
      <xdr:row>563</xdr:row>
      <xdr:rowOff>361908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68498BA4-CA12-4C18-BCFF-ABA8C5469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3657600" y="34252852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34636</xdr:colOff>
      <xdr:row>1</xdr:row>
      <xdr:rowOff>25977</xdr:rowOff>
    </xdr:from>
    <xdr:to>
      <xdr:col>5</xdr:col>
      <xdr:colOff>510886</xdr:colOff>
      <xdr:row>1</xdr:row>
      <xdr:rowOff>359352</xdr:rowOff>
    </xdr:to>
    <xdr:pic>
      <xdr:nvPicPr>
        <xdr:cNvPr id="921" name="Picture 27">
          <a:extLst>
            <a:ext uri="{FF2B5EF4-FFF2-40B4-BE49-F238E27FC236}">
              <a16:creationId xmlns:a16="http://schemas.microsoft.com/office/drawing/2014/main" id="{88B9ECF0-3FE2-48D1-823E-3570E95B2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54136" y="883227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5</xdr:col>
      <xdr:colOff>28575</xdr:colOff>
      <xdr:row>579</xdr:row>
      <xdr:rowOff>28575</xdr:rowOff>
    </xdr:from>
    <xdr:to>
      <xdr:col>5</xdr:col>
      <xdr:colOff>504765</xdr:colOff>
      <xdr:row>579</xdr:row>
      <xdr:rowOff>361908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C027149E-228D-4E83-A172-8577DE503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5034855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580</xdr:row>
      <xdr:rowOff>28575</xdr:rowOff>
    </xdr:from>
    <xdr:to>
      <xdr:col>5</xdr:col>
      <xdr:colOff>504765</xdr:colOff>
      <xdr:row>580</xdr:row>
      <xdr:rowOff>361908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6B8E0896-002F-48A4-A443-87EBF2A0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5077717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577</xdr:row>
      <xdr:rowOff>28575</xdr:rowOff>
    </xdr:from>
    <xdr:to>
      <xdr:col>5</xdr:col>
      <xdr:colOff>504765</xdr:colOff>
      <xdr:row>577</xdr:row>
      <xdr:rowOff>361908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B8CE6FDF-FAA7-44EE-BBAE-5ED94702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9919925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575</xdr:row>
      <xdr:rowOff>28575</xdr:rowOff>
    </xdr:from>
    <xdr:to>
      <xdr:col>5</xdr:col>
      <xdr:colOff>504765</xdr:colOff>
      <xdr:row>575</xdr:row>
      <xdr:rowOff>361908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FF682401-68A6-45B1-A964-D178ED515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648075" y="349491300"/>
          <a:ext cx="476190" cy="333333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629</xdr:row>
      <xdr:rowOff>47625</xdr:rowOff>
    </xdr:from>
    <xdr:to>
      <xdr:col>5</xdr:col>
      <xdr:colOff>504825</xdr:colOff>
      <xdr:row>629</xdr:row>
      <xdr:rowOff>367665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65B1C836-087A-484C-9DD4-05606DC6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384524250"/>
          <a:ext cx="457200" cy="3200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293</xdr:row>
      <xdr:rowOff>28575</xdr:rowOff>
    </xdr:from>
    <xdr:to>
      <xdr:col>3</xdr:col>
      <xdr:colOff>438150</xdr:colOff>
      <xdr:row>293</xdr:row>
      <xdr:rowOff>295275</xdr:rowOff>
    </xdr:to>
    <xdr:pic>
      <xdr:nvPicPr>
        <xdr:cNvPr id="2" name="Grafik 154" descr="003027_S1318_grün-auf-weiss.jpg">
          <a:extLst>
            <a:ext uri="{FF2B5EF4-FFF2-40B4-BE49-F238E27FC236}">
              <a16:creationId xmlns:a16="http://schemas.microsoft.com/office/drawing/2014/main" id="{3D73F61E-A10C-438D-B28A-EC702CACE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7425" y="1672875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381000</xdr:colOff>
      <xdr:row>143</xdr:row>
      <xdr:rowOff>266700</xdr:rowOff>
    </xdr:to>
    <xdr:pic>
      <xdr:nvPicPr>
        <xdr:cNvPr id="3" name="Grafik 161" descr="003376_S1071_blau-auf-weiss.jpg">
          <a:extLst>
            <a:ext uri="{FF2B5EF4-FFF2-40B4-BE49-F238E27FC236}">
              <a16:creationId xmlns:a16="http://schemas.microsoft.com/office/drawing/2014/main" id="{80BE07E1-8A52-4C0C-AA70-48601B89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81534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3</xdr:col>
      <xdr:colOff>381000</xdr:colOff>
      <xdr:row>275</xdr:row>
      <xdr:rowOff>257175</xdr:rowOff>
    </xdr:to>
    <xdr:pic>
      <xdr:nvPicPr>
        <xdr:cNvPr id="4" name="Picture 14">
          <a:extLst>
            <a:ext uri="{FF2B5EF4-FFF2-40B4-BE49-F238E27FC236}">
              <a16:creationId xmlns:a16="http://schemas.microsoft.com/office/drawing/2014/main" id="{F2CF135C-6A0B-4CC3-B2D5-D97BE088C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0275" y="1569720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381000</xdr:colOff>
      <xdr:row>142</xdr:row>
      <xdr:rowOff>266700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212B2AE0-A468-4730-AEB1-5672D337B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80962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381000</xdr:colOff>
      <xdr:row>24</xdr:row>
      <xdr:rowOff>266700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6EBEC6A8-9254-4AB7-9BA6-D6478C2C6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13525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3</xdr:col>
      <xdr:colOff>381000</xdr:colOff>
      <xdr:row>168</xdr:row>
      <xdr:rowOff>266700</xdr:rowOff>
    </xdr:to>
    <xdr:pic>
      <xdr:nvPicPr>
        <xdr:cNvPr id="7" name="Picture 20" descr="G:\GRAFIK-DOKUMENTE\Logos-Zeichen-Banner\Markierungen Digitales Wegenetz\BMP_JPG - Breite 40 Pixel\JPG\006500_Rotmain-Wanderweg.jpg">
          <a:extLst>
            <a:ext uri="{FF2B5EF4-FFF2-40B4-BE49-F238E27FC236}">
              <a16:creationId xmlns:a16="http://schemas.microsoft.com/office/drawing/2014/main" id="{44AB75D9-4BF1-476D-9C02-89C4E3A6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00275" y="95821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381000</xdr:colOff>
      <xdr:row>15</xdr:row>
      <xdr:rowOff>266700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494E544A-73FA-4A13-A865-5CBD80C65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00275" y="8382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3</xdr:col>
      <xdr:colOff>381000</xdr:colOff>
      <xdr:row>12</xdr:row>
      <xdr:rowOff>266700</xdr:rowOff>
    </xdr:to>
    <xdr:pic>
      <xdr:nvPicPr>
        <xdr:cNvPr id="9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52F317E6-F353-47B0-8A60-8C7B655DF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6667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381000</xdr:colOff>
      <xdr:row>53</xdr:row>
      <xdr:rowOff>266700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id="{602CAF84-EEE8-466A-BCCE-27691C33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3009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381000</xdr:colOff>
      <xdr:row>145</xdr:row>
      <xdr:rowOff>266700</xdr:rowOff>
    </xdr:to>
    <xdr:pic>
      <xdr:nvPicPr>
        <xdr:cNvPr id="11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5A1B27F4-1464-4BFF-B4CD-76D27CD6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8267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3</xdr:col>
      <xdr:colOff>381000</xdr:colOff>
      <xdr:row>136</xdr:row>
      <xdr:rowOff>266700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0418C502-E9AD-4437-97A2-6ADD7F46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77533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3</xdr:col>
      <xdr:colOff>381000</xdr:colOff>
      <xdr:row>146</xdr:row>
      <xdr:rowOff>266700</xdr:rowOff>
    </xdr:to>
    <xdr:pic>
      <xdr:nvPicPr>
        <xdr:cNvPr id="13" name="Picture 24">
          <a:extLst>
            <a:ext uri="{FF2B5EF4-FFF2-40B4-BE49-F238E27FC236}">
              <a16:creationId xmlns:a16="http://schemas.microsoft.com/office/drawing/2014/main" id="{11A0834B-F1BF-4828-B6CE-DBD7103E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83248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3</xdr:col>
      <xdr:colOff>304800</xdr:colOff>
      <xdr:row>148</xdr:row>
      <xdr:rowOff>304800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D3B4E410-1F63-419E-A7E9-A00564D9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84391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3</xdr:col>
      <xdr:colOff>381000</xdr:colOff>
      <xdr:row>167</xdr:row>
      <xdr:rowOff>247650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id="{C5628481-41A1-4056-8517-EBB60786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00275" y="95250000"/>
          <a:ext cx="3810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3</xdr:col>
      <xdr:colOff>381000</xdr:colOff>
      <xdr:row>59</xdr:row>
      <xdr:rowOff>266700</xdr:rowOff>
    </xdr:to>
    <xdr:pic>
      <xdr:nvPicPr>
        <xdr:cNvPr id="16" name="Picture 44">
          <a:extLst>
            <a:ext uri="{FF2B5EF4-FFF2-40B4-BE49-F238E27FC236}">
              <a16:creationId xmlns:a16="http://schemas.microsoft.com/office/drawing/2014/main" id="{9F729E72-B877-4077-BD7F-8F23490E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00275" y="33528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361950</xdr:colOff>
      <xdr:row>16</xdr:row>
      <xdr:rowOff>257175</xdr:rowOff>
    </xdr:to>
    <xdr:pic>
      <xdr:nvPicPr>
        <xdr:cNvPr id="17" name="Picture 45">
          <a:extLst>
            <a:ext uri="{FF2B5EF4-FFF2-40B4-BE49-F238E27FC236}">
              <a16:creationId xmlns:a16="http://schemas.microsoft.com/office/drawing/2014/main" id="{A2C5C049-04D4-48E5-8C14-EF085C993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0275" y="8953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381000</xdr:colOff>
      <xdr:row>193</xdr:row>
      <xdr:rowOff>295275</xdr:rowOff>
    </xdr:to>
    <xdr:pic>
      <xdr:nvPicPr>
        <xdr:cNvPr id="18" name="Picture 47">
          <a:extLst>
            <a:ext uri="{FF2B5EF4-FFF2-40B4-BE49-F238E27FC236}">
              <a16:creationId xmlns:a16="http://schemas.microsoft.com/office/drawing/2014/main" id="{624A48E1-724F-4E2B-A90B-242623F88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0275" y="110109000"/>
          <a:ext cx="3810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381000</xdr:colOff>
      <xdr:row>6</xdr:row>
      <xdr:rowOff>266700</xdr:rowOff>
    </xdr:to>
    <xdr:pic>
      <xdr:nvPicPr>
        <xdr:cNvPr id="19" name="Picture 48">
          <a:extLst>
            <a:ext uri="{FF2B5EF4-FFF2-40B4-BE49-F238E27FC236}">
              <a16:creationId xmlns:a16="http://schemas.microsoft.com/office/drawing/2014/main" id="{DDDD1386-8981-4234-8DF0-B022D42ED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0275" y="3238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3</xdr:col>
      <xdr:colOff>381000</xdr:colOff>
      <xdr:row>88</xdr:row>
      <xdr:rowOff>276225</xdr:rowOff>
    </xdr:to>
    <xdr:pic>
      <xdr:nvPicPr>
        <xdr:cNvPr id="20" name="Picture 49">
          <a:extLst>
            <a:ext uri="{FF2B5EF4-FFF2-40B4-BE49-F238E27FC236}">
              <a16:creationId xmlns:a16="http://schemas.microsoft.com/office/drawing/2014/main" id="{8DBA0DDB-48CF-4839-8383-138740885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00275" y="50101500"/>
          <a:ext cx="381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381000</xdr:colOff>
      <xdr:row>7</xdr:row>
      <xdr:rowOff>266700</xdr:rowOff>
    </xdr:to>
    <xdr:pic>
      <xdr:nvPicPr>
        <xdr:cNvPr id="21" name="Picture 57">
          <a:extLst>
            <a:ext uri="{FF2B5EF4-FFF2-40B4-BE49-F238E27FC236}">
              <a16:creationId xmlns:a16="http://schemas.microsoft.com/office/drawing/2014/main" id="{80F05A8B-7871-4896-9F29-7844CF9E2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00275" y="3810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323850</xdr:colOff>
      <xdr:row>14</xdr:row>
      <xdr:rowOff>323850</xdr:rowOff>
    </xdr:to>
    <xdr:pic>
      <xdr:nvPicPr>
        <xdr:cNvPr id="22" name="Picture 58">
          <a:extLst>
            <a:ext uri="{FF2B5EF4-FFF2-40B4-BE49-F238E27FC236}">
              <a16:creationId xmlns:a16="http://schemas.microsoft.com/office/drawing/2014/main" id="{EDE64CC4-7E37-402A-BCB7-6AB94BAA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00275" y="781050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3</xdr:col>
      <xdr:colOff>381000</xdr:colOff>
      <xdr:row>280</xdr:row>
      <xdr:rowOff>257175</xdr:rowOff>
    </xdr:to>
    <xdr:pic>
      <xdr:nvPicPr>
        <xdr:cNvPr id="23" name="Picture 59">
          <a:extLst>
            <a:ext uri="{FF2B5EF4-FFF2-40B4-BE49-F238E27FC236}">
              <a16:creationId xmlns:a16="http://schemas.microsoft.com/office/drawing/2014/main" id="{D2888FCF-B7B2-489B-B853-EEC8B22F0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59829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3</xdr:col>
      <xdr:colOff>381000</xdr:colOff>
      <xdr:row>294</xdr:row>
      <xdr:rowOff>257175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C8F9F37A-DEB7-4D80-9010-E32AA0703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7830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3</xdr:col>
      <xdr:colOff>381000</xdr:colOff>
      <xdr:row>290</xdr:row>
      <xdr:rowOff>257175</xdr:rowOff>
    </xdr:to>
    <xdr:pic>
      <xdr:nvPicPr>
        <xdr:cNvPr id="25" name="Picture 59">
          <a:extLst>
            <a:ext uri="{FF2B5EF4-FFF2-40B4-BE49-F238E27FC236}">
              <a16:creationId xmlns:a16="http://schemas.microsoft.com/office/drawing/2014/main" id="{EC73644B-FA11-4307-8E06-F26AC8BE0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5544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3</xdr:col>
      <xdr:colOff>381000</xdr:colOff>
      <xdr:row>291</xdr:row>
      <xdr:rowOff>257175</xdr:rowOff>
    </xdr:to>
    <xdr:pic>
      <xdr:nvPicPr>
        <xdr:cNvPr id="26" name="Picture 59">
          <a:extLst>
            <a:ext uri="{FF2B5EF4-FFF2-40B4-BE49-F238E27FC236}">
              <a16:creationId xmlns:a16="http://schemas.microsoft.com/office/drawing/2014/main" id="{6626308B-E124-421C-A53D-571F4B263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6116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3</xdr:col>
      <xdr:colOff>381000</xdr:colOff>
      <xdr:row>286</xdr:row>
      <xdr:rowOff>257175</xdr:rowOff>
    </xdr:to>
    <xdr:pic>
      <xdr:nvPicPr>
        <xdr:cNvPr id="27" name="Picture 59">
          <a:extLst>
            <a:ext uri="{FF2B5EF4-FFF2-40B4-BE49-F238E27FC236}">
              <a16:creationId xmlns:a16="http://schemas.microsoft.com/office/drawing/2014/main" id="{D8FB1FB5-C642-4AA3-8CCA-0D45CC5E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3258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381000</xdr:colOff>
      <xdr:row>285</xdr:row>
      <xdr:rowOff>257175</xdr:rowOff>
    </xdr:to>
    <xdr:pic>
      <xdr:nvPicPr>
        <xdr:cNvPr id="28" name="Picture 59">
          <a:extLst>
            <a:ext uri="{FF2B5EF4-FFF2-40B4-BE49-F238E27FC236}">
              <a16:creationId xmlns:a16="http://schemas.microsoft.com/office/drawing/2014/main" id="{F1C824E1-FE50-4DB7-AF12-975AB934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2687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3</xdr:col>
      <xdr:colOff>381000</xdr:colOff>
      <xdr:row>278</xdr:row>
      <xdr:rowOff>257175</xdr:rowOff>
    </xdr:to>
    <xdr:pic>
      <xdr:nvPicPr>
        <xdr:cNvPr id="29" name="Picture 59">
          <a:extLst>
            <a:ext uri="{FF2B5EF4-FFF2-40B4-BE49-F238E27FC236}">
              <a16:creationId xmlns:a16="http://schemas.microsoft.com/office/drawing/2014/main" id="{8AB1751B-6C03-4035-BA87-DAC202150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58686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381000</xdr:colOff>
      <xdr:row>279</xdr:row>
      <xdr:rowOff>257175</xdr:rowOff>
    </xdr:to>
    <xdr:pic>
      <xdr:nvPicPr>
        <xdr:cNvPr id="30" name="Picture 59">
          <a:extLst>
            <a:ext uri="{FF2B5EF4-FFF2-40B4-BE49-F238E27FC236}">
              <a16:creationId xmlns:a16="http://schemas.microsoft.com/office/drawing/2014/main" id="{4F6FAD18-55A2-40AB-B9F7-A5F60309B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59258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3</xdr:col>
      <xdr:colOff>381000</xdr:colOff>
      <xdr:row>282</xdr:row>
      <xdr:rowOff>257175</xdr:rowOff>
    </xdr:to>
    <xdr:pic>
      <xdr:nvPicPr>
        <xdr:cNvPr id="31" name="Picture 59">
          <a:extLst>
            <a:ext uri="{FF2B5EF4-FFF2-40B4-BE49-F238E27FC236}">
              <a16:creationId xmlns:a16="http://schemas.microsoft.com/office/drawing/2014/main" id="{17FE3990-7D48-4222-B0DB-AD66669AF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0972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3</xdr:col>
      <xdr:colOff>381000</xdr:colOff>
      <xdr:row>281</xdr:row>
      <xdr:rowOff>257175</xdr:rowOff>
    </xdr:to>
    <xdr:pic>
      <xdr:nvPicPr>
        <xdr:cNvPr id="32" name="Picture 59">
          <a:extLst>
            <a:ext uri="{FF2B5EF4-FFF2-40B4-BE49-F238E27FC236}">
              <a16:creationId xmlns:a16="http://schemas.microsoft.com/office/drawing/2014/main" id="{9F5868FF-6D20-443D-99F2-E03FE6650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0401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381000</xdr:colOff>
      <xdr:row>288</xdr:row>
      <xdr:rowOff>257175</xdr:rowOff>
    </xdr:to>
    <xdr:pic>
      <xdr:nvPicPr>
        <xdr:cNvPr id="33" name="Picture 59">
          <a:extLst>
            <a:ext uri="{FF2B5EF4-FFF2-40B4-BE49-F238E27FC236}">
              <a16:creationId xmlns:a16="http://schemas.microsoft.com/office/drawing/2014/main" id="{DBA9C530-67CD-477C-951D-D19C1FC68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4401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381000</xdr:colOff>
      <xdr:row>292</xdr:row>
      <xdr:rowOff>257175</xdr:rowOff>
    </xdr:to>
    <xdr:pic>
      <xdr:nvPicPr>
        <xdr:cNvPr id="34" name="Picture 59">
          <a:extLst>
            <a:ext uri="{FF2B5EF4-FFF2-40B4-BE49-F238E27FC236}">
              <a16:creationId xmlns:a16="http://schemas.microsoft.com/office/drawing/2014/main" id="{11B14C21-04A0-445E-95EE-B74587657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6687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3</xdr:col>
      <xdr:colOff>381000</xdr:colOff>
      <xdr:row>121</xdr:row>
      <xdr:rowOff>266700</xdr:rowOff>
    </xdr:to>
    <xdr:pic>
      <xdr:nvPicPr>
        <xdr:cNvPr id="35" name="Picture 1">
          <a:extLst>
            <a:ext uri="{FF2B5EF4-FFF2-40B4-BE49-F238E27FC236}">
              <a16:creationId xmlns:a16="http://schemas.microsoft.com/office/drawing/2014/main" id="{6CDE9255-F082-4487-9066-25E47A524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00275" y="68961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114297</xdr:colOff>
      <xdr:row>253</xdr:row>
      <xdr:rowOff>29633</xdr:rowOff>
    </xdr:from>
    <xdr:to>
      <xdr:col>3</xdr:col>
      <xdr:colOff>409572</xdr:colOff>
      <xdr:row>253</xdr:row>
      <xdr:rowOff>401108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7136A269-BB85-46B2-94F7-BDEB0BFB6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314572" y="144428633"/>
          <a:ext cx="2952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3</xdr:col>
      <xdr:colOff>304800</xdr:colOff>
      <xdr:row>131</xdr:row>
      <xdr:rowOff>304800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11C9605-3899-4C9D-95F5-5234799B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7467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128</xdr:row>
      <xdr:rowOff>19050</xdr:rowOff>
    </xdr:from>
    <xdr:to>
      <xdr:col>3</xdr:col>
      <xdr:colOff>390525</xdr:colOff>
      <xdr:row>128</xdr:row>
      <xdr:rowOff>285750</xdr:rowOff>
    </xdr:to>
    <xdr:pic>
      <xdr:nvPicPr>
        <xdr:cNvPr id="38" name="Picture 23">
          <a:extLst>
            <a:ext uri="{FF2B5EF4-FFF2-40B4-BE49-F238E27FC236}">
              <a16:creationId xmlns:a16="http://schemas.microsoft.com/office/drawing/2014/main" id="{54F2DB31-96FF-49E3-BE7F-3245E20BA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9800" y="72980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381000</xdr:colOff>
      <xdr:row>58</xdr:row>
      <xdr:rowOff>266700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40C698D3-F839-4DBC-8A46-A94BAE08A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00275" y="32956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381000</xdr:colOff>
      <xdr:row>23</xdr:row>
      <xdr:rowOff>266700</xdr:rowOff>
    </xdr:to>
    <xdr:pic>
      <xdr:nvPicPr>
        <xdr:cNvPr id="40" name="Picture 16">
          <a:extLst>
            <a:ext uri="{FF2B5EF4-FFF2-40B4-BE49-F238E27FC236}">
              <a16:creationId xmlns:a16="http://schemas.microsoft.com/office/drawing/2014/main" id="{60AD3F40-8BFF-45B4-9286-3BBF7568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12954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3</xdr:col>
      <xdr:colOff>361950</xdr:colOff>
      <xdr:row>114</xdr:row>
      <xdr:rowOff>257175</xdr:rowOff>
    </xdr:to>
    <xdr:pic>
      <xdr:nvPicPr>
        <xdr:cNvPr id="41" name="Grafik 250" descr="003206_S1312_blau auf weiß.jpg">
          <a:extLst>
            <a:ext uri="{FF2B5EF4-FFF2-40B4-BE49-F238E27FC236}">
              <a16:creationId xmlns:a16="http://schemas.microsoft.com/office/drawing/2014/main" id="{A6C6E5E7-71FA-4275-9EF7-2E924DCC8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0275" y="64960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381000</xdr:colOff>
      <xdr:row>115</xdr:row>
      <xdr:rowOff>266700</xdr:rowOff>
    </xdr:to>
    <xdr:pic>
      <xdr:nvPicPr>
        <xdr:cNvPr id="42" name="Grafik 161" descr="003376_S1071_blau-auf-weiss.jpg">
          <a:extLst>
            <a:ext uri="{FF2B5EF4-FFF2-40B4-BE49-F238E27FC236}">
              <a16:creationId xmlns:a16="http://schemas.microsoft.com/office/drawing/2014/main" id="{89502A44-CF95-427F-A32D-C3D652B57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65532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361950</xdr:colOff>
      <xdr:row>116</xdr:row>
      <xdr:rowOff>257175</xdr:rowOff>
    </xdr:to>
    <xdr:pic>
      <xdr:nvPicPr>
        <xdr:cNvPr id="43" name="Grafik 264" descr="003287_S1093_blau auf weiß.jpg">
          <a:extLst>
            <a:ext uri="{FF2B5EF4-FFF2-40B4-BE49-F238E27FC236}">
              <a16:creationId xmlns:a16="http://schemas.microsoft.com/office/drawing/2014/main" id="{C6326A0D-0843-4333-9A8C-CCBC572E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00275" y="66103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381000</xdr:colOff>
      <xdr:row>117</xdr:row>
      <xdr:rowOff>266700</xdr:rowOff>
    </xdr:to>
    <xdr:pic>
      <xdr:nvPicPr>
        <xdr:cNvPr id="44" name="Picture 23">
          <a:extLst>
            <a:ext uri="{FF2B5EF4-FFF2-40B4-BE49-F238E27FC236}">
              <a16:creationId xmlns:a16="http://schemas.microsoft.com/office/drawing/2014/main" id="{CFE9AD7A-0493-43A4-BB8D-2974B0316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6667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3</xdr:col>
      <xdr:colOff>361950</xdr:colOff>
      <xdr:row>120</xdr:row>
      <xdr:rowOff>257175</xdr:rowOff>
    </xdr:to>
    <xdr:pic>
      <xdr:nvPicPr>
        <xdr:cNvPr id="45" name="Grafik 271" descr="003292_S1070_blau auf weiß.jpg">
          <a:extLst>
            <a:ext uri="{FF2B5EF4-FFF2-40B4-BE49-F238E27FC236}">
              <a16:creationId xmlns:a16="http://schemas.microsoft.com/office/drawing/2014/main" id="{37B8DAE1-9AEC-49EC-89E2-B3B3C50A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0275" y="68389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3</xdr:col>
      <xdr:colOff>361950</xdr:colOff>
      <xdr:row>129</xdr:row>
      <xdr:rowOff>257175</xdr:rowOff>
    </xdr:to>
    <xdr:pic>
      <xdr:nvPicPr>
        <xdr:cNvPr id="46" name="Grafik 279" descr="S1307_blau auf weiß.jpg">
          <a:extLst>
            <a:ext uri="{FF2B5EF4-FFF2-40B4-BE49-F238E27FC236}">
              <a16:creationId xmlns:a16="http://schemas.microsoft.com/office/drawing/2014/main" id="{B18C084D-DEAF-4305-A0C1-15A3A42F49C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0275" y="73533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3</xdr:col>
      <xdr:colOff>381000</xdr:colOff>
      <xdr:row>133</xdr:row>
      <xdr:rowOff>266700</xdr:rowOff>
    </xdr:to>
    <xdr:pic>
      <xdr:nvPicPr>
        <xdr:cNvPr id="47" name="Picture 23">
          <a:extLst>
            <a:ext uri="{FF2B5EF4-FFF2-40B4-BE49-F238E27FC236}">
              <a16:creationId xmlns:a16="http://schemas.microsoft.com/office/drawing/2014/main" id="{AFB82B0F-58FF-4E91-BA7B-647A58E22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7581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3</xdr:col>
      <xdr:colOff>381000</xdr:colOff>
      <xdr:row>132</xdr:row>
      <xdr:rowOff>285750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121B3322-5FE6-44DD-A77B-441C1CD2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00275" y="75247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3</xdr:col>
      <xdr:colOff>304800</xdr:colOff>
      <xdr:row>134</xdr:row>
      <xdr:rowOff>304800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B081AE6-94ED-462C-B69A-4966FC85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76390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3</xdr:col>
      <xdr:colOff>361950</xdr:colOff>
      <xdr:row>135</xdr:row>
      <xdr:rowOff>257175</xdr:rowOff>
    </xdr:to>
    <xdr:pic>
      <xdr:nvPicPr>
        <xdr:cNvPr id="50" name="Grafik 286" descr="003358_S1082_blau auf weiß.jpg">
          <a:extLst>
            <a:ext uri="{FF2B5EF4-FFF2-40B4-BE49-F238E27FC236}">
              <a16:creationId xmlns:a16="http://schemas.microsoft.com/office/drawing/2014/main" id="{DC405E2F-8C64-4E2D-AF05-2376AE828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00275" y="76962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3</xdr:col>
      <xdr:colOff>381000</xdr:colOff>
      <xdr:row>137</xdr:row>
      <xdr:rowOff>266700</xdr:rowOff>
    </xdr:to>
    <xdr:pic>
      <xdr:nvPicPr>
        <xdr:cNvPr id="51" name="Picture 23">
          <a:extLst>
            <a:ext uri="{FF2B5EF4-FFF2-40B4-BE49-F238E27FC236}">
              <a16:creationId xmlns:a16="http://schemas.microsoft.com/office/drawing/2014/main" id="{70EF7C89-E3C9-446B-B8BE-06591B7E5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7810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3</xdr:col>
      <xdr:colOff>304800</xdr:colOff>
      <xdr:row>147</xdr:row>
      <xdr:rowOff>304800</xdr:rowOff>
    </xdr:to>
    <xdr:pic>
      <xdr:nvPicPr>
        <xdr:cNvPr id="52" name="Picture 25">
          <a:extLst>
            <a:ext uri="{FF2B5EF4-FFF2-40B4-BE49-F238E27FC236}">
              <a16:creationId xmlns:a16="http://schemas.microsoft.com/office/drawing/2014/main" id="{5A63FD2D-8358-4803-85CB-369FD2EB6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8382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381000</xdr:colOff>
      <xdr:row>39</xdr:row>
      <xdr:rowOff>266700</xdr:rowOff>
    </xdr:to>
    <xdr:pic>
      <xdr:nvPicPr>
        <xdr:cNvPr id="53" name="Picture 24">
          <a:extLst>
            <a:ext uri="{FF2B5EF4-FFF2-40B4-BE49-F238E27FC236}">
              <a16:creationId xmlns:a16="http://schemas.microsoft.com/office/drawing/2014/main" id="{AD498588-EACE-4FEB-9E5F-0C21110C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22098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33</xdr:row>
      <xdr:rowOff>47625</xdr:rowOff>
    </xdr:from>
    <xdr:to>
      <xdr:col>3</xdr:col>
      <xdr:colOff>409575</xdr:colOff>
      <xdr:row>33</xdr:row>
      <xdr:rowOff>352425</xdr:rowOff>
    </xdr:to>
    <xdr:pic>
      <xdr:nvPicPr>
        <xdr:cNvPr id="54" name="Picture 25">
          <a:extLst>
            <a:ext uri="{FF2B5EF4-FFF2-40B4-BE49-F238E27FC236}">
              <a16:creationId xmlns:a16="http://schemas.microsoft.com/office/drawing/2014/main" id="{C694680B-26EB-4381-9F4A-528E6553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05050" y="18716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300</xdr:row>
      <xdr:rowOff>571500</xdr:rowOff>
    </xdr:from>
    <xdr:to>
      <xdr:col>3</xdr:col>
      <xdr:colOff>381000</xdr:colOff>
      <xdr:row>301</xdr:row>
      <xdr:rowOff>0</xdr:rowOff>
    </xdr:to>
    <xdr:pic>
      <xdr:nvPicPr>
        <xdr:cNvPr id="55" name="Picture 1">
          <a:extLst>
            <a:ext uri="{FF2B5EF4-FFF2-40B4-BE49-F238E27FC236}">
              <a16:creationId xmlns:a16="http://schemas.microsoft.com/office/drawing/2014/main" id="{21A40E53-D21D-46F3-A519-E6089486E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200275" y="1718310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381000</xdr:colOff>
      <xdr:row>149</xdr:row>
      <xdr:rowOff>266700</xdr:rowOff>
    </xdr:to>
    <xdr:pic>
      <xdr:nvPicPr>
        <xdr:cNvPr id="56" name="Picture 23">
          <a:extLst>
            <a:ext uri="{FF2B5EF4-FFF2-40B4-BE49-F238E27FC236}">
              <a16:creationId xmlns:a16="http://schemas.microsoft.com/office/drawing/2014/main" id="{DD54DACC-93E3-4D3D-9513-4841A093E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8496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381000</xdr:colOff>
      <xdr:row>22</xdr:row>
      <xdr:rowOff>266700</xdr:rowOff>
    </xdr:to>
    <xdr:pic>
      <xdr:nvPicPr>
        <xdr:cNvPr id="57" name="Picture 4">
          <a:extLst>
            <a:ext uri="{FF2B5EF4-FFF2-40B4-BE49-F238E27FC236}">
              <a16:creationId xmlns:a16="http://schemas.microsoft.com/office/drawing/2014/main" id="{62F0B1FD-405D-4D6D-9122-34A941165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00275" y="12382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3</xdr:col>
      <xdr:colOff>381000</xdr:colOff>
      <xdr:row>140</xdr:row>
      <xdr:rowOff>266700</xdr:rowOff>
    </xdr:to>
    <xdr:pic>
      <xdr:nvPicPr>
        <xdr:cNvPr id="58" name="Picture 24">
          <a:extLst>
            <a:ext uri="{FF2B5EF4-FFF2-40B4-BE49-F238E27FC236}">
              <a16:creationId xmlns:a16="http://schemas.microsoft.com/office/drawing/2014/main" id="{D0780B8D-DC23-4DCC-9D0C-CDF5C7B21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79819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381000</xdr:colOff>
      <xdr:row>127</xdr:row>
      <xdr:rowOff>266700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33638FF5-F856-497B-A159-CEA68679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00275" y="72390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304800</xdr:colOff>
      <xdr:row>141</xdr:row>
      <xdr:rowOff>304800</xdr:rowOff>
    </xdr:to>
    <xdr:pic>
      <xdr:nvPicPr>
        <xdr:cNvPr id="60" name="Picture 25">
          <a:extLst>
            <a:ext uri="{FF2B5EF4-FFF2-40B4-BE49-F238E27FC236}">
              <a16:creationId xmlns:a16="http://schemas.microsoft.com/office/drawing/2014/main" id="{609F7FE1-F2EB-4D9D-90BE-48FCF7857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8039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3</xdr:col>
      <xdr:colOff>361950</xdr:colOff>
      <xdr:row>150</xdr:row>
      <xdr:rowOff>257175</xdr:rowOff>
    </xdr:to>
    <xdr:pic>
      <xdr:nvPicPr>
        <xdr:cNvPr id="61" name="Grafik 409" descr="003358_S1082_blau auf weiß.jpg">
          <a:extLst>
            <a:ext uri="{FF2B5EF4-FFF2-40B4-BE49-F238E27FC236}">
              <a16:creationId xmlns:a16="http://schemas.microsoft.com/office/drawing/2014/main" id="{E80C7E69-E305-41A8-A8E8-2D15DAF7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00275" y="85534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381000</xdr:colOff>
      <xdr:row>151</xdr:row>
      <xdr:rowOff>266700</xdr:rowOff>
    </xdr:to>
    <xdr:pic>
      <xdr:nvPicPr>
        <xdr:cNvPr id="62" name="Grafik 159" descr="003376_S1071_blau-auf-weiss.jpg">
          <a:extLst>
            <a:ext uri="{FF2B5EF4-FFF2-40B4-BE49-F238E27FC236}">
              <a16:creationId xmlns:a16="http://schemas.microsoft.com/office/drawing/2014/main" id="{DF0731A5-99B6-494C-8748-69875A3A7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86106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381000</xdr:colOff>
      <xdr:row>4</xdr:row>
      <xdr:rowOff>381000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id="{3FE4DAB2-6DE2-4DB1-8C70-FE3909E30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00275" y="20955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3</xdr:col>
      <xdr:colOff>304800</xdr:colOff>
      <xdr:row>153</xdr:row>
      <xdr:rowOff>304800</xdr:rowOff>
    </xdr:to>
    <xdr:pic>
      <xdr:nvPicPr>
        <xdr:cNvPr id="64" name="Picture 25">
          <a:extLst>
            <a:ext uri="{FF2B5EF4-FFF2-40B4-BE49-F238E27FC236}">
              <a16:creationId xmlns:a16="http://schemas.microsoft.com/office/drawing/2014/main" id="{F5C2B1B8-1DF9-41CA-AA14-7A9964F59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8724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3</xdr:col>
      <xdr:colOff>381000</xdr:colOff>
      <xdr:row>25</xdr:row>
      <xdr:rowOff>266700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id="{1096ACBA-BD78-4196-BBAE-5B6145463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00275" y="14097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3</xdr:col>
      <xdr:colOff>381000</xdr:colOff>
      <xdr:row>154</xdr:row>
      <xdr:rowOff>266700</xdr:rowOff>
    </xdr:to>
    <xdr:pic>
      <xdr:nvPicPr>
        <xdr:cNvPr id="66" name="Picture 16">
          <a:extLst>
            <a:ext uri="{FF2B5EF4-FFF2-40B4-BE49-F238E27FC236}">
              <a16:creationId xmlns:a16="http://schemas.microsoft.com/office/drawing/2014/main" id="{2FE17B0F-E808-4F3C-8511-0C43D02E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87820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381000</xdr:colOff>
      <xdr:row>158</xdr:row>
      <xdr:rowOff>266700</xdr:rowOff>
    </xdr:to>
    <xdr:pic>
      <xdr:nvPicPr>
        <xdr:cNvPr id="67" name="Picture 24">
          <a:extLst>
            <a:ext uri="{FF2B5EF4-FFF2-40B4-BE49-F238E27FC236}">
              <a16:creationId xmlns:a16="http://schemas.microsoft.com/office/drawing/2014/main" id="{06678B6E-6057-49E9-868D-7D670A90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90106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212</xdr:row>
      <xdr:rowOff>0</xdr:rowOff>
    </xdr:from>
    <xdr:to>
      <xdr:col>3</xdr:col>
      <xdr:colOff>400050</xdr:colOff>
      <xdr:row>212</xdr:row>
      <xdr:rowOff>266700</xdr:rowOff>
    </xdr:to>
    <xdr:pic>
      <xdr:nvPicPr>
        <xdr:cNvPr id="68" name="Picture 16">
          <a:extLst>
            <a:ext uri="{FF2B5EF4-FFF2-40B4-BE49-F238E27FC236}">
              <a16:creationId xmlns:a16="http://schemas.microsoft.com/office/drawing/2014/main" id="{76593CB9-7549-4E5F-8A55-7239548D9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400050</xdr:colOff>
      <xdr:row>269</xdr:row>
      <xdr:rowOff>285750</xdr:rowOff>
    </xdr:to>
    <xdr:pic>
      <xdr:nvPicPr>
        <xdr:cNvPr id="69" name="Picture 24">
          <a:extLst>
            <a:ext uri="{FF2B5EF4-FFF2-40B4-BE49-F238E27FC236}">
              <a16:creationId xmlns:a16="http://schemas.microsoft.com/office/drawing/2014/main" id="{AB0CE284-C7BD-4704-89C4-036DDC032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9325" y="1535620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3</xdr:col>
      <xdr:colOff>361950</xdr:colOff>
      <xdr:row>43</xdr:row>
      <xdr:rowOff>257175</xdr:rowOff>
    </xdr:to>
    <xdr:pic>
      <xdr:nvPicPr>
        <xdr:cNvPr id="70" name="Grafik 423" descr="003292_S1070_blau auf weiß.jpg">
          <a:extLst>
            <a:ext uri="{FF2B5EF4-FFF2-40B4-BE49-F238E27FC236}">
              <a16:creationId xmlns:a16="http://schemas.microsoft.com/office/drawing/2014/main" id="{3CA21F8F-03F8-4686-88B0-18BCB9DB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0275" y="24384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3</xdr:col>
      <xdr:colOff>381000</xdr:colOff>
      <xdr:row>45</xdr:row>
      <xdr:rowOff>266700</xdr:rowOff>
    </xdr:to>
    <xdr:pic>
      <xdr:nvPicPr>
        <xdr:cNvPr id="71" name="Picture 23">
          <a:extLst>
            <a:ext uri="{FF2B5EF4-FFF2-40B4-BE49-F238E27FC236}">
              <a16:creationId xmlns:a16="http://schemas.microsoft.com/office/drawing/2014/main" id="{1BEEAD6E-DE8B-4518-BC1E-11845A56D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2552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3</xdr:col>
      <xdr:colOff>381000</xdr:colOff>
      <xdr:row>48</xdr:row>
      <xdr:rowOff>266700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3CFC0D01-75B4-4E4A-8392-F45CF9B94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00275" y="27241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3</xdr:col>
      <xdr:colOff>381000</xdr:colOff>
      <xdr:row>49</xdr:row>
      <xdr:rowOff>266700</xdr:rowOff>
    </xdr:to>
    <xdr:pic>
      <xdr:nvPicPr>
        <xdr:cNvPr id="73" name="Grafik 161" descr="003376_S1071_blau-auf-weiss.jpg">
          <a:extLst>
            <a:ext uri="{FF2B5EF4-FFF2-40B4-BE49-F238E27FC236}">
              <a16:creationId xmlns:a16="http://schemas.microsoft.com/office/drawing/2014/main" id="{F0D1CD99-4BA3-4384-BA09-CB7CD922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2781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3</xdr:col>
      <xdr:colOff>361950</xdr:colOff>
      <xdr:row>162</xdr:row>
      <xdr:rowOff>257175</xdr:rowOff>
    </xdr:to>
    <xdr:pic>
      <xdr:nvPicPr>
        <xdr:cNvPr id="74" name="Grafik 430" descr="003206_S1312_blau auf weiß.jpg">
          <a:extLst>
            <a:ext uri="{FF2B5EF4-FFF2-40B4-BE49-F238E27FC236}">
              <a16:creationId xmlns:a16="http://schemas.microsoft.com/office/drawing/2014/main" id="{1C9150F1-5B36-424F-8266-FF320601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0275" y="92392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163</xdr:row>
      <xdr:rowOff>38100</xdr:rowOff>
    </xdr:from>
    <xdr:to>
      <xdr:col>3</xdr:col>
      <xdr:colOff>419100</xdr:colOff>
      <xdr:row>163</xdr:row>
      <xdr:rowOff>419100</xdr:rowOff>
    </xdr:to>
    <xdr:pic>
      <xdr:nvPicPr>
        <xdr:cNvPr id="75" name="Picture 1">
          <a:extLst>
            <a:ext uri="{FF2B5EF4-FFF2-40B4-BE49-F238E27FC236}">
              <a16:creationId xmlns:a16="http://schemas.microsoft.com/office/drawing/2014/main" id="{B47FCB8F-9EE6-4D65-9612-617EF2407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38375" y="930021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3</xdr:col>
      <xdr:colOff>381000</xdr:colOff>
      <xdr:row>165</xdr:row>
      <xdr:rowOff>266700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2D4C9725-05CC-46E0-ACAC-87267FD54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00275" y="94107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3</xdr:col>
      <xdr:colOff>381000</xdr:colOff>
      <xdr:row>166</xdr:row>
      <xdr:rowOff>266700</xdr:rowOff>
    </xdr:to>
    <xdr:pic>
      <xdr:nvPicPr>
        <xdr:cNvPr id="77" name="Grafik 161" descr="003376_S1071_blau-auf-weiss.jpg">
          <a:extLst>
            <a:ext uri="{FF2B5EF4-FFF2-40B4-BE49-F238E27FC236}">
              <a16:creationId xmlns:a16="http://schemas.microsoft.com/office/drawing/2014/main" id="{593A5C54-6CB4-4308-9FB3-C4AD7D4B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94678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381000</xdr:colOff>
      <xdr:row>152</xdr:row>
      <xdr:rowOff>257175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C6E23E81-1EEA-4008-95AE-F0601D3F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00275" y="866775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3</xdr:col>
      <xdr:colOff>381000</xdr:colOff>
      <xdr:row>40</xdr:row>
      <xdr:rowOff>266700</xdr:rowOff>
    </xdr:to>
    <xdr:pic>
      <xdr:nvPicPr>
        <xdr:cNvPr id="79" name="Picture 1">
          <a:extLst>
            <a:ext uri="{FF2B5EF4-FFF2-40B4-BE49-F238E27FC236}">
              <a16:creationId xmlns:a16="http://schemas.microsoft.com/office/drawing/2014/main" id="{65E45342-6024-40D6-B487-682AED626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00275" y="22669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381000</xdr:colOff>
      <xdr:row>42</xdr:row>
      <xdr:rowOff>266700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2D8271E0-1504-4762-A029-0DB06C8B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0275" y="23812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</xdr:row>
      <xdr:rowOff>19050</xdr:rowOff>
    </xdr:from>
    <xdr:to>
      <xdr:col>3</xdr:col>
      <xdr:colOff>361950</xdr:colOff>
      <xdr:row>44</xdr:row>
      <xdr:rowOff>276225</xdr:rowOff>
    </xdr:to>
    <xdr:pic>
      <xdr:nvPicPr>
        <xdr:cNvPr id="81" name="Grafik 442" descr="003206_S1312_blau auf weiß.jpg">
          <a:extLst>
            <a:ext uri="{FF2B5EF4-FFF2-40B4-BE49-F238E27FC236}">
              <a16:creationId xmlns:a16="http://schemas.microsoft.com/office/drawing/2014/main" id="{38E6670F-EFAD-43BB-8794-6921C5E5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0275" y="249745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79</xdr:row>
      <xdr:rowOff>21166</xdr:rowOff>
    </xdr:from>
    <xdr:to>
      <xdr:col>3</xdr:col>
      <xdr:colOff>325966</xdr:colOff>
      <xdr:row>79</xdr:row>
      <xdr:rowOff>325966</xdr:rowOff>
    </xdr:to>
    <xdr:pic>
      <xdr:nvPicPr>
        <xdr:cNvPr id="82" name="Picture 25">
          <a:extLst>
            <a:ext uri="{FF2B5EF4-FFF2-40B4-BE49-F238E27FC236}">
              <a16:creationId xmlns:a16="http://schemas.microsoft.com/office/drawing/2014/main" id="{81FA157A-13A7-4F8E-B4F1-AB3D929AE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1441" y="44979166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285750</xdr:colOff>
      <xdr:row>194</xdr:row>
      <xdr:rowOff>400050</xdr:rowOff>
    </xdr:to>
    <xdr:pic>
      <xdr:nvPicPr>
        <xdr:cNvPr id="83" name="Picture 5">
          <a:extLst>
            <a:ext uri="{FF2B5EF4-FFF2-40B4-BE49-F238E27FC236}">
              <a16:creationId xmlns:a16="http://schemas.microsoft.com/office/drawing/2014/main" id="{E170EE36-1D85-4052-A1F9-EE94DD5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19325" y="110699550"/>
          <a:ext cx="2667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3</xdr:col>
      <xdr:colOff>381000</xdr:colOff>
      <xdr:row>93</xdr:row>
      <xdr:rowOff>266700</xdr:rowOff>
    </xdr:to>
    <xdr:pic>
      <xdr:nvPicPr>
        <xdr:cNvPr id="84" name="Grafik 151" descr="003027_S1318_grün-auf-weiss.jpg">
          <a:extLst>
            <a:ext uri="{FF2B5EF4-FFF2-40B4-BE49-F238E27FC236}">
              <a16:creationId xmlns:a16="http://schemas.microsoft.com/office/drawing/2014/main" id="{6B2D578C-7933-48AC-B06C-102C21191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0275" y="5295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400050</xdr:colOff>
      <xdr:row>92</xdr:row>
      <xdr:rowOff>400050</xdr:rowOff>
    </xdr:to>
    <xdr:pic>
      <xdr:nvPicPr>
        <xdr:cNvPr id="85" name="Picture 1">
          <a:extLst>
            <a:ext uri="{FF2B5EF4-FFF2-40B4-BE49-F238E27FC236}">
              <a16:creationId xmlns:a16="http://schemas.microsoft.com/office/drawing/2014/main" id="{C84E2E75-B086-445F-BDFE-BCA23D79F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19325" y="5240655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308</xdr:row>
      <xdr:rowOff>28575</xdr:rowOff>
    </xdr:from>
    <xdr:to>
      <xdr:col>3</xdr:col>
      <xdr:colOff>409575</xdr:colOff>
      <xdr:row>308</xdr:row>
      <xdr:rowOff>409575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D06D84D0-4845-4732-B1AB-0EFF16DD2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28850" y="175860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310</xdr:row>
      <xdr:rowOff>28575</xdr:rowOff>
    </xdr:from>
    <xdr:to>
      <xdr:col>3</xdr:col>
      <xdr:colOff>409575</xdr:colOff>
      <xdr:row>310</xdr:row>
      <xdr:rowOff>409575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844432F4-CD7C-4231-AD46-C2741A722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228850" y="177003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311</xdr:row>
      <xdr:rowOff>28575</xdr:rowOff>
    </xdr:from>
    <xdr:to>
      <xdr:col>3</xdr:col>
      <xdr:colOff>409575</xdr:colOff>
      <xdr:row>311</xdr:row>
      <xdr:rowOff>409575</xdr:rowOff>
    </xdr:to>
    <xdr:pic>
      <xdr:nvPicPr>
        <xdr:cNvPr id="88" name="Picture 3">
          <a:extLst>
            <a:ext uri="{FF2B5EF4-FFF2-40B4-BE49-F238E27FC236}">
              <a16:creationId xmlns:a16="http://schemas.microsoft.com/office/drawing/2014/main" id="{CB40162A-854D-4CF2-8ECB-B4A2D76AA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28850" y="1775745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3</xdr:col>
      <xdr:colOff>381000</xdr:colOff>
      <xdr:row>60</xdr:row>
      <xdr:rowOff>266700</xdr:rowOff>
    </xdr:to>
    <xdr:pic>
      <xdr:nvPicPr>
        <xdr:cNvPr id="89" name="Picture 1">
          <a:extLst>
            <a:ext uri="{FF2B5EF4-FFF2-40B4-BE49-F238E27FC236}">
              <a16:creationId xmlns:a16="http://schemas.microsoft.com/office/drawing/2014/main" id="{35F8710E-0FA7-4075-A806-CB09DAE79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200275" y="34099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381000</xdr:colOff>
      <xdr:row>3</xdr:row>
      <xdr:rowOff>314325</xdr:rowOff>
    </xdr:to>
    <xdr:pic>
      <xdr:nvPicPr>
        <xdr:cNvPr id="90" name="Picture 2">
          <a:extLst>
            <a:ext uri="{FF2B5EF4-FFF2-40B4-BE49-F238E27FC236}">
              <a16:creationId xmlns:a16="http://schemas.microsoft.com/office/drawing/2014/main" id="{ED456168-E91A-4337-BA5E-F320C06F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200275" y="1524000"/>
          <a:ext cx="381000" cy="314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361950</xdr:colOff>
      <xdr:row>38</xdr:row>
      <xdr:rowOff>257175</xdr:rowOff>
    </xdr:to>
    <xdr:pic>
      <xdr:nvPicPr>
        <xdr:cNvPr id="91" name="Grafik 480" descr="003287_S1093_blau auf weiß.jpg">
          <a:extLst>
            <a:ext uri="{FF2B5EF4-FFF2-40B4-BE49-F238E27FC236}">
              <a16:creationId xmlns:a16="http://schemas.microsoft.com/office/drawing/2014/main" id="{185BB89D-7AB6-4BC4-91A4-8D243015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00275" y="21526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390525</xdr:colOff>
      <xdr:row>20</xdr:row>
      <xdr:rowOff>276225</xdr:rowOff>
    </xdr:to>
    <xdr:pic>
      <xdr:nvPicPr>
        <xdr:cNvPr id="92" name="Picture 23">
          <a:extLst>
            <a:ext uri="{FF2B5EF4-FFF2-40B4-BE49-F238E27FC236}">
              <a16:creationId xmlns:a16="http://schemas.microsoft.com/office/drawing/2014/main" id="{257A67F6-F966-4E46-96C1-30233BEE6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9800" y="112490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3</xdr:col>
      <xdr:colOff>304800</xdr:colOff>
      <xdr:row>119</xdr:row>
      <xdr:rowOff>304800</xdr:rowOff>
    </xdr:to>
    <xdr:pic>
      <xdr:nvPicPr>
        <xdr:cNvPr id="93" name="Picture 25">
          <a:extLst>
            <a:ext uri="{FF2B5EF4-FFF2-40B4-BE49-F238E27FC236}">
              <a16:creationId xmlns:a16="http://schemas.microsoft.com/office/drawing/2014/main" id="{3FBBB74D-72E2-411E-BFB8-500CB1F9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6781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20108</xdr:colOff>
      <xdr:row>17</xdr:row>
      <xdr:rowOff>549275</xdr:rowOff>
    </xdr:from>
    <xdr:to>
      <xdr:col>3</xdr:col>
      <xdr:colOff>401108</xdr:colOff>
      <xdr:row>18</xdr:row>
      <xdr:rowOff>244475</xdr:rowOff>
    </xdr:to>
    <xdr:pic>
      <xdr:nvPicPr>
        <xdr:cNvPr id="94" name="Picture 23">
          <a:extLst>
            <a:ext uri="{FF2B5EF4-FFF2-40B4-BE49-F238E27FC236}">
              <a16:creationId xmlns:a16="http://schemas.microsoft.com/office/drawing/2014/main" id="{50D198A9-8289-4018-A5CE-6113A8630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0383" y="100742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304800</xdr:colOff>
      <xdr:row>41</xdr:row>
      <xdr:rowOff>304800</xdr:rowOff>
    </xdr:to>
    <xdr:pic>
      <xdr:nvPicPr>
        <xdr:cNvPr id="95" name="Picture 25">
          <a:extLst>
            <a:ext uri="{FF2B5EF4-FFF2-40B4-BE49-F238E27FC236}">
              <a16:creationId xmlns:a16="http://schemas.microsoft.com/office/drawing/2014/main" id="{A0C9CE26-0B1F-495D-B72C-8E5B640E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2324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381000</xdr:colOff>
      <xdr:row>13</xdr:row>
      <xdr:rowOff>266700</xdr:rowOff>
    </xdr:to>
    <xdr:pic>
      <xdr:nvPicPr>
        <xdr:cNvPr id="96" name="Picture 16">
          <a:extLst>
            <a:ext uri="{FF2B5EF4-FFF2-40B4-BE49-F238E27FC236}">
              <a16:creationId xmlns:a16="http://schemas.microsoft.com/office/drawing/2014/main" id="{0B081053-8F28-4FD3-8810-5DBC3C80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723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381000</xdr:colOff>
      <xdr:row>21</xdr:row>
      <xdr:rowOff>266700</xdr:rowOff>
    </xdr:to>
    <xdr:pic>
      <xdr:nvPicPr>
        <xdr:cNvPr id="97" name="Picture 1">
          <a:extLst>
            <a:ext uri="{FF2B5EF4-FFF2-40B4-BE49-F238E27FC236}">
              <a16:creationId xmlns:a16="http://schemas.microsoft.com/office/drawing/2014/main" id="{4354755C-B5B5-4F37-906E-6B8D5CC73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200275" y="11811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3</xdr:col>
      <xdr:colOff>381000</xdr:colOff>
      <xdr:row>118</xdr:row>
      <xdr:rowOff>266700</xdr:rowOff>
    </xdr:to>
    <xdr:pic>
      <xdr:nvPicPr>
        <xdr:cNvPr id="98" name="Picture 23">
          <a:extLst>
            <a:ext uri="{FF2B5EF4-FFF2-40B4-BE49-F238E27FC236}">
              <a16:creationId xmlns:a16="http://schemas.microsoft.com/office/drawing/2014/main" id="{89FF156C-C47A-482A-AB08-C7A710DE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67246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381000</xdr:colOff>
      <xdr:row>18</xdr:row>
      <xdr:rowOff>266700</xdr:rowOff>
    </xdr:to>
    <xdr:pic>
      <xdr:nvPicPr>
        <xdr:cNvPr id="99" name="Grafik 161" descr="003376_S1071_blau-auf-weiss.jpg">
          <a:extLst>
            <a:ext uri="{FF2B5EF4-FFF2-40B4-BE49-F238E27FC236}">
              <a16:creationId xmlns:a16="http://schemas.microsoft.com/office/drawing/2014/main" id="{D01888A8-ABF2-4854-B3D5-471EC3BB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10096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381000</xdr:colOff>
      <xdr:row>17</xdr:row>
      <xdr:rowOff>266700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F4D1CAC5-3F78-4FF3-8F3C-190B161E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0275" y="9525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3</xdr:col>
      <xdr:colOff>381000</xdr:colOff>
      <xdr:row>80</xdr:row>
      <xdr:rowOff>266700</xdr:rowOff>
    </xdr:to>
    <xdr:pic>
      <xdr:nvPicPr>
        <xdr:cNvPr id="101" name="Picture 23">
          <a:extLst>
            <a:ext uri="{FF2B5EF4-FFF2-40B4-BE49-F238E27FC236}">
              <a16:creationId xmlns:a16="http://schemas.microsoft.com/office/drawing/2014/main" id="{425D6CC1-FAC0-4F07-AF05-FD5D48485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45529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3</xdr:col>
      <xdr:colOff>381000</xdr:colOff>
      <xdr:row>81</xdr:row>
      <xdr:rowOff>266700</xdr:rowOff>
    </xdr:to>
    <xdr:pic>
      <xdr:nvPicPr>
        <xdr:cNvPr id="102" name="Picture 4">
          <a:extLst>
            <a:ext uri="{FF2B5EF4-FFF2-40B4-BE49-F238E27FC236}">
              <a16:creationId xmlns:a16="http://schemas.microsoft.com/office/drawing/2014/main" id="{25216979-BACE-4FCC-A1CE-ACFC1B4BB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00275" y="46101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3</xdr:col>
      <xdr:colOff>361950</xdr:colOff>
      <xdr:row>82</xdr:row>
      <xdr:rowOff>257175</xdr:rowOff>
    </xdr:to>
    <xdr:pic>
      <xdr:nvPicPr>
        <xdr:cNvPr id="103" name="Grafik 492" descr="S1307_blau auf weiß.jpg">
          <a:extLst>
            <a:ext uri="{FF2B5EF4-FFF2-40B4-BE49-F238E27FC236}">
              <a16:creationId xmlns:a16="http://schemas.microsoft.com/office/drawing/2014/main" id="{582379F0-7CA5-438A-89E9-37717D2BD6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0275" y="46672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390525</xdr:colOff>
      <xdr:row>11</xdr:row>
      <xdr:rowOff>276225</xdr:rowOff>
    </xdr:to>
    <xdr:pic>
      <xdr:nvPicPr>
        <xdr:cNvPr id="104" name="Picture 23">
          <a:extLst>
            <a:ext uri="{FF2B5EF4-FFF2-40B4-BE49-F238E27FC236}">
              <a16:creationId xmlns:a16="http://schemas.microsoft.com/office/drawing/2014/main" id="{FD31BB76-7E73-44D9-9C99-20DC908F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9800" y="61055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304800</xdr:colOff>
      <xdr:row>85</xdr:row>
      <xdr:rowOff>304800</xdr:rowOff>
    </xdr:to>
    <xdr:pic>
      <xdr:nvPicPr>
        <xdr:cNvPr id="105" name="Picture 25">
          <a:extLst>
            <a:ext uri="{FF2B5EF4-FFF2-40B4-BE49-F238E27FC236}">
              <a16:creationId xmlns:a16="http://schemas.microsoft.com/office/drawing/2014/main" id="{28783B56-75CA-437D-8ADC-E14EDFF69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4838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361950</xdr:colOff>
      <xdr:row>83</xdr:row>
      <xdr:rowOff>257175</xdr:rowOff>
    </xdr:to>
    <xdr:pic>
      <xdr:nvPicPr>
        <xdr:cNvPr id="106" name="Grafik 509" descr="S1307_blau auf weiß.jpg">
          <a:extLst>
            <a:ext uri="{FF2B5EF4-FFF2-40B4-BE49-F238E27FC236}">
              <a16:creationId xmlns:a16="http://schemas.microsoft.com/office/drawing/2014/main" id="{9F26A039-8225-4CA6-B6A8-94903E39792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0275" y="47244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381000</xdr:colOff>
      <xdr:row>84</xdr:row>
      <xdr:rowOff>266700</xdr:rowOff>
    </xdr:to>
    <xdr:pic>
      <xdr:nvPicPr>
        <xdr:cNvPr id="107" name="Picture 23">
          <a:extLst>
            <a:ext uri="{FF2B5EF4-FFF2-40B4-BE49-F238E27FC236}">
              <a16:creationId xmlns:a16="http://schemas.microsoft.com/office/drawing/2014/main" id="{860F10C6-5FEF-4FC6-8E33-0769D8B1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47815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86</xdr:row>
      <xdr:rowOff>0</xdr:rowOff>
    </xdr:from>
    <xdr:to>
      <xdr:col>3</xdr:col>
      <xdr:colOff>381000</xdr:colOff>
      <xdr:row>86</xdr:row>
      <xdr:rowOff>266700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3E315D23-270E-4535-9EF4-987C8E5BA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00275" y="48958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3</xdr:col>
      <xdr:colOff>361950</xdr:colOff>
      <xdr:row>87</xdr:row>
      <xdr:rowOff>257175</xdr:rowOff>
    </xdr:to>
    <xdr:pic>
      <xdr:nvPicPr>
        <xdr:cNvPr id="109" name="Grafik 518" descr="003292_S1070_blau auf weiß.jpg">
          <a:extLst>
            <a:ext uri="{FF2B5EF4-FFF2-40B4-BE49-F238E27FC236}">
              <a16:creationId xmlns:a16="http://schemas.microsoft.com/office/drawing/2014/main" id="{BDF2C929-0A06-448E-8719-EFFF160C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0275" y="49530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3</xdr:col>
      <xdr:colOff>381000</xdr:colOff>
      <xdr:row>161</xdr:row>
      <xdr:rowOff>266700</xdr:rowOff>
    </xdr:to>
    <xdr:pic>
      <xdr:nvPicPr>
        <xdr:cNvPr id="110" name="Picture 23">
          <a:extLst>
            <a:ext uri="{FF2B5EF4-FFF2-40B4-BE49-F238E27FC236}">
              <a16:creationId xmlns:a16="http://schemas.microsoft.com/office/drawing/2014/main" id="{5D4FE116-7156-473F-930F-9D6E3234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91821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3</xdr:col>
      <xdr:colOff>304800</xdr:colOff>
      <xdr:row>164</xdr:row>
      <xdr:rowOff>304800</xdr:rowOff>
    </xdr:to>
    <xdr:pic>
      <xdr:nvPicPr>
        <xdr:cNvPr id="111" name="Picture 25">
          <a:extLst>
            <a:ext uri="{FF2B5EF4-FFF2-40B4-BE49-F238E27FC236}">
              <a16:creationId xmlns:a16="http://schemas.microsoft.com/office/drawing/2014/main" id="{77049FAB-391F-457E-B886-472A4FB5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9353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3</xdr:col>
      <xdr:colOff>381000</xdr:colOff>
      <xdr:row>155</xdr:row>
      <xdr:rowOff>266700</xdr:rowOff>
    </xdr:to>
    <xdr:pic>
      <xdr:nvPicPr>
        <xdr:cNvPr id="112" name="Picture 16">
          <a:extLst>
            <a:ext uri="{FF2B5EF4-FFF2-40B4-BE49-F238E27FC236}">
              <a16:creationId xmlns:a16="http://schemas.microsoft.com/office/drawing/2014/main" id="{2AF48BCA-23B5-44E9-AD2A-C3817BF2A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88392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381000</xdr:colOff>
      <xdr:row>50</xdr:row>
      <xdr:rowOff>266700</xdr:rowOff>
    </xdr:to>
    <xdr:pic>
      <xdr:nvPicPr>
        <xdr:cNvPr id="113" name="Grafik 161" descr="003376_S1071_blau-auf-weiss.jpg">
          <a:extLst>
            <a:ext uri="{FF2B5EF4-FFF2-40B4-BE49-F238E27FC236}">
              <a16:creationId xmlns:a16="http://schemas.microsoft.com/office/drawing/2014/main" id="{F820F8DD-E0B3-4A2B-B0F6-6EE8DF3E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28384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3</xdr:col>
      <xdr:colOff>381000</xdr:colOff>
      <xdr:row>157</xdr:row>
      <xdr:rowOff>266700</xdr:rowOff>
    </xdr:to>
    <xdr:pic>
      <xdr:nvPicPr>
        <xdr:cNvPr id="114" name="Grafik 161" descr="003376_S1071_blau-auf-weiss.jpg">
          <a:extLst>
            <a:ext uri="{FF2B5EF4-FFF2-40B4-BE49-F238E27FC236}">
              <a16:creationId xmlns:a16="http://schemas.microsoft.com/office/drawing/2014/main" id="{31B266C6-05B5-4FFE-91C9-08800D77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8953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3</xdr:col>
      <xdr:colOff>381000</xdr:colOff>
      <xdr:row>156</xdr:row>
      <xdr:rowOff>285750</xdr:rowOff>
    </xdr:to>
    <xdr:pic>
      <xdr:nvPicPr>
        <xdr:cNvPr id="115" name="Picture 1">
          <a:extLst>
            <a:ext uri="{FF2B5EF4-FFF2-40B4-BE49-F238E27FC236}">
              <a16:creationId xmlns:a16="http://schemas.microsoft.com/office/drawing/2014/main" id="{A1140C1A-15ED-4D79-9ED1-FF4A8ACC2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200275" y="88963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304800</xdr:colOff>
      <xdr:row>139</xdr:row>
      <xdr:rowOff>304800</xdr:rowOff>
    </xdr:to>
    <xdr:pic>
      <xdr:nvPicPr>
        <xdr:cNvPr id="116" name="Picture 25">
          <a:extLst>
            <a:ext uri="{FF2B5EF4-FFF2-40B4-BE49-F238E27FC236}">
              <a16:creationId xmlns:a16="http://schemas.microsoft.com/office/drawing/2014/main" id="{6DA3D100-185E-45CF-937A-F27A8F9D8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7924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381000</xdr:colOff>
      <xdr:row>144</xdr:row>
      <xdr:rowOff>266700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43900140-8A73-49D0-8165-1B83E8B47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0275" y="82105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3</xdr:col>
      <xdr:colOff>304800</xdr:colOff>
      <xdr:row>46</xdr:row>
      <xdr:rowOff>304800</xdr:rowOff>
    </xdr:to>
    <xdr:pic>
      <xdr:nvPicPr>
        <xdr:cNvPr id="118" name="Picture 25">
          <a:extLst>
            <a:ext uri="{FF2B5EF4-FFF2-40B4-BE49-F238E27FC236}">
              <a16:creationId xmlns:a16="http://schemas.microsoft.com/office/drawing/2014/main" id="{22AA7F80-859D-4BA3-B98A-6C8E010DC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26098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3</xdr:col>
      <xdr:colOff>381000</xdr:colOff>
      <xdr:row>160</xdr:row>
      <xdr:rowOff>266700</xdr:rowOff>
    </xdr:to>
    <xdr:pic>
      <xdr:nvPicPr>
        <xdr:cNvPr id="119" name="Picture 1">
          <a:extLst>
            <a:ext uri="{FF2B5EF4-FFF2-40B4-BE49-F238E27FC236}">
              <a16:creationId xmlns:a16="http://schemas.microsoft.com/office/drawing/2014/main" id="{F0B928F5-458A-40F2-AB93-ED75637B1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00275" y="91249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52915</xdr:colOff>
      <xdr:row>312</xdr:row>
      <xdr:rowOff>42332</xdr:rowOff>
    </xdr:from>
    <xdr:to>
      <xdr:col>3</xdr:col>
      <xdr:colOff>357715</xdr:colOff>
      <xdr:row>312</xdr:row>
      <xdr:rowOff>347132</xdr:rowOff>
    </xdr:to>
    <xdr:pic>
      <xdr:nvPicPr>
        <xdr:cNvPr id="120" name="Picture 25">
          <a:extLst>
            <a:ext uri="{FF2B5EF4-FFF2-40B4-BE49-F238E27FC236}">
              <a16:creationId xmlns:a16="http://schemas.microsoft.com/office/drawing/2014/main" id="{B2C3C8EC-1168-4493-A31B-41ED7612F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53190" y="17815983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63499</xdr:colOff>
      <xdr:row>313</xdr:row>
      <xdr:rowOff>21166</xdr:rowOff>
    </xdr:from>
    <xdr:to>
      <xdr:col>3</xdr:col>
      <xdr:colOff>425449</xdr:colOff>
      <xdr:row>313</xdr:row>
      <xdr:rowOff>278341</xdr:rowOff>
    </xdr:to>
    <xdr:pic>
      <xdr:nvPicPr>
        <xdr:cNvPr id="121" name="Grafik 537" descr="003292_S1070_blau auf weiß.jpg">
          <a:extLst>
            <a:ext uri="{FF2B5EF4-FFF2-40B4-BE49-F238E27FC236}">
              <a16:creationId xmlns:a16="http://schemas.microsoft.com/office/drawing/2014/main" id="{B78B2993-6DA6-4A85-82B1-7E36408E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63774" y="178710166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381000</xdr:colOff>
      <xdr:row>51</xdr:row>
      <xdr:rowOff>266700</xdr:rowOff>
    </xdr:to>
    <xdr:pic>
      <xdr:nvPicPr>
        <xdr:cNvPr id="122" name="Picture 23">
          <a:extLst>
            <a:ext uri="{FF2B5EF4-FFF2-40B4-BE49-F238E27FC236}">
              <a16:creationId xmlns:a16="http://schemas.microsoft.com/office/drawing/2014/main" id="{B4A56973-148C-43AB-8BDE-0D314516F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28956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54</xdr:row>
      <xdr:rowOff>38100</xdr:rowOff>
    </xdr:from>
    <xdr:to>
      <xdr:col>3</xdr:col>
      <xdr:colOff>419100</xdr:colOff>
      <xdr:row>54</xdr:row>
      <xdr:rowOff>419100</xdr:rowOff>
    </xdr:to>
    <xdr:pic>
      <xdr:nvPicPr>
        <xdr:cNvPr id="123" name="Picture 1">
          <a:extLst>
            <a:ext uri="{FF2B5EF4-FFF2-40B4-BE49-F238E27FC236}">
              <a16:creationId xmlns:a16="http://schemas.microsoft.com/office/drawing/2014/main" id="{9F1AA0F8-9B8A-4946-B190-197CE1304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38375" y="307086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78</xdr:row>
      <xdr:rowOff>21166</xdr:rowOff>
    </xdr:from>
    <xdr:to>
      <xdr:col>3</xdr:col>
      <xdr:colOff>325966</xdr:colOff>
      <xdr:row>78</xdr:row>
      <xdr:rowOff>325966</xdr:rowOff>
    </xdr:to>
    <xdr:pic>
      <xdr:nvPicPr>
        <xdr:cNvPr id="124" name="Picture 25">
          <a:extLst>
            <a:ext uri="{FF2B5EF4-FFF2-40B4-BE49-F238E27FC236}">
              <a16:creationId xmlns:a16="http://schemas.microsoft.com/office/drawing/2014/main" id="{2B1C2ACB-A1F4-4F22-AB9A-059772073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1441" y="44407666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3</xdr:col>
      <xdr:colOff>381000</xdr:colOff>
      <xdr:row>309</xdr:row>
      <xdr:rowOff>266700</xdr:rowOff>
    </xdr:to>
    <xdr:pic>
      <xdr:nvPicPr>
        <xdr:cNvPr id="125" name="Picture 23">
          <a:extLst>
            <a:ext uri="{FF2B5EF4-FFF2-40B4-BE49-F238E27FC236}">
              <a16:creationId xmlns:a16="http://schemas.microsoft.com/office/drawing/2014/main" id="{710A4CA1-230C-4944-8993-4D46012B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17640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3</xdr:col>
      <xdr:colOff>381000</xdr:colOff>
      <xdr:row>283</xdr:row>
      <xdr:rowOff>257175</xdr:rowOff>
    </xdr:to>
    <xdr:pic>
      <xdr:nvPicPr>
        <xdr:cNvPr id="126" name="Picture 59">
          <a:extLst>
            <a:ext uri="{FF2B5EF4-FFF2-40B4-BE49-F238E27FC236}">
              <a16:creationId xmlns:a16="http://schemas.microsoft.com/office/drawing/2014/main" id="{B65C9FBD-EF10-468E-8A4C-D37D359F9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1544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3</xdr:col>
      <xdr:colOff>381000</xdr:colOff>
      <xdr:row>289</xdr:row>
      <xdr:rowOff>257175</xdr:rowOff>
    </xdr:to>
    <xdr:pic>
      <xdr:nvPicPr>
        <xdr:cNvPr id="127" name="Picture 59">
          <a:extLst>
            <a:ext uri="{FF2B5EF4-FFF2-40B4-BE49-F238E27FC236}">
              <a16:creationId xmlns:a16="http://schemas.microsoft.com/office/drawing/2014/main" id="{1A19EB5E-EF51-49EC-BBC9-F177121B7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4973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3</xdr:col>
      <xdr:colOff>381000</xdr:colOff>
      <xdr:row>284</xdr:row>
      <xdr:rowOff>257175</xdr:rowOff>
    </xdr:to>
    <xdr:pic>
      <xdr:nvPicPr>
        <xdr:cNvPr id="128" name="Picture 59">
          <a:extLst>
            <a:ext uri="{FF2B5EF4-FFF2-40B4-BE49-F238E27FC236}">
              <a16:creationId xmlns:a16="http://schemas.microsoft.com/office/drawing/2014/main" id="{6F615C83-BFDD-4C0A-ABFF-1CF216764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2115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31749</xdr:colOff>
      <xdr:row>314</xdr:row>
      <xdr:rowOff>31749</xdr:rowOff>
    </xdr:from>
    <xdr:to>
      <xdr:col>3</xdr:col>
      <xdr:colOff>412749</xdr:colOff>
      <xdr:row>314</xdr:row>
      <xdr:rowOff>288924</xdr:rowOff>
    </xdr:to>
    <xdr:pic>
      <xdr:nvPicPr>
        <xdr:cNvPr id="129" name="Picture 59">
          <a:extLst>
            <a:ext uri="{FF2B5EF4-FFF2-40B4-BE49-F238E27FC236}">
              <a16:creationId xmlns:a16="http://schemas.microsoft.com/office/drawing/2014/main" id="{9315D212-8B7A-4D7F-AA4A-49F201241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32024" y="179292249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381000</xdr:colOff>
      <xdr:row>52</xdr:row>
      <xdr:rowOff>266700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65ED7AEA-D6B2-4E3D-8104-F58C27D72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00275" y="29527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3</xdr:col>
      <xdr:colOff>361950</xdr:colOff>
      <xdr:row>47</xdr:row>
      <xdr:rowOff>257175</xdr:rowOff>
    </xdr:to>
    <xdr:pic>
      <xdr:nvPicPr>
        <xdr:cNvPr id="131" name="Grafik 409" descr="003358_S1082_blau auf weiß.jpg">
          <a:extLst>
            <a:ext uri="{FF2B5EF4-FFF2-40B4-BE49-F238E27FC236}">
              <a16:creationId xmlns:a16="http://schemas.microsoft.com/office/drawing/2014/main" id="{65E8EF95-FC73-4179-AA74-C16575F0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00275" y="26670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381000</xdr:colOff>
      <xdr:row>55</xdr:row>
      <xdr:rowOff>266700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6F8012D-360B-4B3D-A811-5E44DDBAC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00275" y="31242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400050</xdr:colOff>
      <xdr:row>94</xdr:row>
      <xdr:rowOff>285750</xdr:rowOff>
    </xdr:to>
    <xdr:pic>
      <xdr:nvPicPr>
        <xdr:cNvPr id="133" name="Grafik 151" descr="003027_S1318_grün-auf-weiss.jpg">
          <a:extLst>
            <a:ext uri="{FF2B5EF4-FFF2-40B4-BE49-F238E27FC236}">
              <a16:creationId xmlns:a16="http://schemas.microsoft.com/office/drawing/2014/main" id="{D4577E54-5765-481E-A579-CFD53485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53549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77</xdr:row>
      <xdr:rowOff>38100</xdr:rowOff>
    </xdr:from>
    <xdr:to>
      <xdr:col>3</xdr:col>
      <xdr:colOff>419100</xdr:colOff>
      <xdr:row>77</xdr:row>
      <xdr:rowOff>419100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353F30D4-A00E-48E5-A1AA-D2A73AA73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238375" y="438531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381000</xdr:colOff>
      <xdr:row>56</xdr:row>
      <xdr:rowOff>266700</xdr:rowOff>
    </xdr:to>
    <xdr:pic>
      <xdr:nvPicPr>
        <xdr:cNvPr id="135" name="Picture 16">
          <a:extLst>
            <a:ext uri="{FF2B5EF4-FFF2-40B4-BE49-F238E27FC236}">
              <a16:creationId xmlns:a16="http://schemas.microsoft.com/office/drawing/2014/main" id="{E1C579F0-6246-43CA-B480-E5F3D4F9F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0275" y="31813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3</xdr:col>
      <xdr:colOff>381000</xdr:colOff>
      <xdr:row>287</xdr:row>
      <xdr:rowOff>257175</xdr:rowOff>
    </xdr:to>
    <xdr:pic>
      <xdr:nvPicPr>
        <xdr:cNvPr id="136" name="Picture 59">
          <a:extLst>
            <a:ext uri="{FF2B5EF4-FFF2-40B4-BE49-F238E27FC236}">
              <a16:creationId xmlns:a16="http://schemas.microsoft.com/office/drawing/2014/main" id="{2561D6CF-CC32-4A84-BCD6-64D06FDDE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63830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3</xdr:col>
      <xdr:colOff>361950</xdr:colOff>
      <xdr:row>138</xdr:row>
      <xdr:rowOff>257175</xdr:rowOff>
    </xdr:to>
    <xdr:pic>
      <xdr:nvPicPr>
        <xdr:cNvPr id="137" name="Grafik 302" descr="003206_S1312_blau auf weiß.jpg">
          <a:extLst>
            <a:ext uri="{FF2B5EF4-FFF2-40B4-BE49-F238E27FC236}">
              <a16:creationId xmlns:a16="http://schemas.microsoft.com/office/drawing/2014/main" id="{AB7E4B65-615F-4962-A320-8FA208F1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0275" y="78676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381000</xdr:colOff>
      <xdr:row>159</xdr:row>
      <xdr:rowOff>266700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2B5FFB-8937-4EF7-B770-A3C418DD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00275" y="90678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381000</xdr:colOff>
      <xdr:row>5</xdr:row>
      <xdr:rowOff>266700</xdr:rowOff>
    </xdr:to>
    <xdr:pic>
      <xdr:nvPicPr>
        <xdr:cNvPr id="139" name="Picture 46">
          <a:extLst>
            <a:ext uri="{FF2B5EF4-FFF2-40B4-BE49-F238E27FC236}">
              <a16:creationId xmlns:a16="http://schemas.microsoft.com/office/drawing/2014/main" id="{21119B8A-EFFE-4D11-813E-BF65F7747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00275" y="266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3</xdr:col>
      <xdr:colOff>381000</xdr:colOff>
      <xdr:row>171</xdr:row>
      <xdr:rowOff>257175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428D5598-9C27-459D-98D0-29723A5A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00275" y="975360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31749</xdr:colOff>
      <xdr:row>273</xdr:row>
      <xdr:rowOff>21166</xdr:rowOff>
    </xdr:from>
    <xdr:to>
      <xdr:col>3</xdr:col>
      <xdr:colOff>412749</xdr:colOff>
      <xdr:row>273</xdr:row>
      <xdr:rowOff>392641</xdr:rowOff>
    </xdr:to>
    <xdr:pic>
      <xdr:nvPicPr>
        <xdr:cNvPr id="141" name="Picture 1">
          <a:extLst>
            <a:ext uri="{FF2B5EF4-FFF2-40B4-BE49-F238E27FC236}">
              <a16:creationId xmlns:a16="http://schemas.microsoft.com/office/drawing/2014/main" id="{66E82E79-3B79-4424-9E03-D51B3010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232024" y="155850166"/>
          <a:ext cx="381000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57</xdr:row>
      <xdr:rowOff>38100</xdr:rowOff>
    </xdr:from>
    <xdr:to>
      <xdr:col>3</xdr:col>
      <xdr:colOff>342900</xdr:colOff>
      <xdr:row>57</xdr:row>
      <xdr:rowOff>342900</xdr:rowOff>
    </xdr:to>
    <xdr:pic>
      <xdr:nvPicPr>
        <xdr:cNvPr id="142" name="Picture 25">
          <a:extLst>
            <a:ext uri="{FF2B5EF4-FFF2-40B4-BE49-F238E27FC236}">
              <a16:creationId xmlns:a16="http://schemas.microsoft.com/office/drawing/2014/main" id="{CD5FD6F5-3D96-484F-AC9B-BA2CFBED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38375" y="32423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3</xdr:col>
      <xdr:colOff>381000</xdr:colOff>
      <xdr:row>317</xdr:row>
      <xdr:rowOff>285750</xdr:rowOff>
    </xdr:to>
    <xdr:pic>
      <xdr:nvPicPr>
        <xdr:cNvPr id="143" name="Picture 2066">
          <a:extLst>
            <a:ext uri="{FF2B5EF4-FFF2-40B4-BE49-F238E27FC236}">
              <a16:creationId xmlns:a16="http://schemas.microsoft.com/office/drawing/2014/main" id="{F0F33CDD-CF85-4A20-B354-9A74A270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00275" y="1809750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400050</xdr:colOff>
      <xdr:row>319</xdr:row>
      <xdr:rowOff>219075</xdr:rowOff>
    </xdr:to>
    <xdr:pic>
      <xdr:nvPicPr>
        <xdr:cNvPr id="144" name="Picture 32">
          <a:extLst>
            <a:ext uri="{FF2B5EF4-FFF2-40B4-BE49-F238E27FC236}">
              <a16:creationId xmlns:a16="http://schemas.microsoft.com/office/drawing/2014/main" id="{B49C7D25-00D5-40C7-BC92-E11FEA23D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219325" y="182137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400050</xdr:colOff>
      <xdr:row>320</xdr:row>
      <xdr:rowOff>219075</xdr:rowOff>
    </xdr:to>
    <xdr:pic>
      <xdr:nvPicPr>
        <xdr:cNvPr id="145" name="Picture 672">
          <a:extLst>
            <a:ext uri="{FF2B5EF4-FFF2-40B4-BE49-F238E27FC236}">
              <a16:creationId xmlns:a16="http://schemas.microsoft.com/office/drawing/2014/main" id="{CD3A5F50-78B5-4562-A724-63B5A7BEF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219325" y="1827085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400050</xdr:colOff>
      <xdr:row>321</xdr:row>
      <xdr:rowOff>219075</xdr:rowOff>
    </xdr:to>
    <xdr:pic>
      <xdr:nvPicPr>
        <xdr:cNvPr id="146" name="Picture 33">
          <a:extLst>
            <a:ext uri="{FF2B5EF4-FFF2-40B4-BE49-F238E27FC236}">
              <a16:creationId xmlns:a16="http://schemas.microsoft.com/office/drawing/2014/main" id="{D60FAA43-9670-4AE7-91C8-FB1C557F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19325" y="183280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3</xdr:col>
      <xdr:colOff>381000</xdr:colOff>
      <xdr:row>322</xdr:row>
      <xdr:rowOff>285750</xdr:rowOff>
    </xdr:to>
    <xdr:pic>
      <xdr:nvPicPr>
        <xdr:cNvPr id="147" name="Picture 188">
          <a:extLst>
            <a:ext uri="{FF2B5EF4-FFF2-40B4-BE49-F238E27FC236}">
              <a16:creationId xmlns:a16="http://schemas.microsoft.com/office/drawing/2014/main" id="{657FA5F9-E43E-429F-8E46-9C8A5C75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200275" y="183832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61</xdr:row>
      <xdr:rowOff>19050</xdr:rowOff>
    </xdr:from>
    <xdr:to>
      <xdr:col>3</xdr:col>
      <xdr:colOff>504825</xdr:colOff>
      <xdr:row>61</xdr:row>
      <xdr:rowOff>352425</xdr:rowOff>
    </xdr:to>
    <xdr:pic>
      <xdr:nvPicPr>
        <xdr:cNvPr id="148" name="Picture 171">
          <a:extLst>
            <a:ext uri="{FF2B5EF4-FFF2-40B4-BE49-F238E27FC236}">
              <a16:creationId xmlns:a16="http://schemas.microsoft.com/office/drawing/2014/main" id="{B6151E8F-1CD7-4E04-82AB-C26068A94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28850" y="3469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243</xdr:row>
      <xdr:rowOff>19050</xdr:rowOff>
    </xdr:from>
    <xdr:to>
      <xdr:col>3</xdr:col>
      <xdr:colOff>504825</xdr:colOff>
      <xdr:row>243</xdr:row>
      <xdr:rowOff>352425</xdr:rowOff>
    </xdr:to>
    <xdr:pic>
      <xdr:nvPicPr>
        <xdr:cNvPr id="149" name="Picture 172">
          <a:extLst>
            <a:ext uri="{FF2B5EF4-FFF2-40B4-BE49-F238E27FC236}">
              <a16:creationId xmlns:a16="http://schemas.microsoft.com/office/drawing/2014/main" id="{6B168E80-488A-456F-8C3F-FE1E9746A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28850" y="13870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37</xdr:row>
      <xdr:rowOff>66675</xdr:rowOff>
    </xdr:from>
    <xdr:to>
      <xdr:col>3</xdr:col>
      <xdr:colOff>514350</xdr:colOff>
      <xdr:row>37</xdr:row>
      <xdr:rowOff>400050</xdr:rowOff>
    </xdr:to>
    <xdr:pic>
      <xdr:nvPicPr>
        <xdr:cNvPr id="150" name="Picture 173">
          <a:extLst>
            <a:ext uri="{FF2B5EF4-FFF2-40B4-BE49-F238E27FC236}">
              <a16:creationId xmlns:a16="http://schemas.microsoft.com/office/drawing/2014/main" id="{7FFED951-0A56-42CE-8626-6C0F5492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38375" y="210216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62</xdr:row>
      <xdr:rowOff>47625</xdr:rowOff>
    </xdr:from>
    <xdr:to>
      <xdr:col>3</xdr:col>
      <xdr:colOff>504825</xdr:colOff>
      <xdr:row>62</xdr:row>
      <xdr:rowOff>381000</xdr:rowOff>
    </xdr:to>
    <xdr:pic>
      <xdr:nvPicPr>
        <xdr:cNvPr id="151" name="Picture 174">
          <a:extLst>
            <a:ext uri="{FF2B5EF4-FFF2-40B4-BE49-F238E27FC236}">
              <a16:creationId xmlns:a16="http://schemas.microsoft.com/office/drawing/2014/main" id="{904E1634-6796-4054-BA2E-75B0897E1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28850" y="352901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296</xdr:row>
      <xdr:rowOff>28575</xdr:rowOff>
    </xdr:from>
    <xdr:to>
      <xdr:col>3</xdr:col>
      <xdr:colOff>504825</xdr:colOff>
      <xdr:row>296</xdr:row>
      <xdr:rowOff>361950</xdr:rowOff>
    </xdr:to>
    <xdr:pic>
      <xdr:nvPicPr>
        <xdr:cNvPr id="152" name="Picture 133">
          <a:extLst>
            <a:ext uri="{FF2B5EF4-FFF2-40B4-BE49-F238E27FC236}">
              <a16:creationId xmlns:a16="http://schemas.microsoft.com/office/drawing/2014/main" id="{E7AFE5CB-35DB-45FA-9F69-CDE1D411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28850" y="169002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219</xdr:row>
      <xdr:rowOff>38100</xdr:rowOff>
    </xdr:from>
    <xdr:to>
      <xdr:col>3</xdr:col>
      <xdr:colOff>504825</xdr:colOff>
      <xdr:row>219</xdr:row>
      <xdr:rowOff>371475</xdr:rowOff>
    </xdr:to>
    <xdr:pic>
      <xdr:nvPicPr>
        <xdr:cNvPr id="153" name="Picture 137">
          <a:extLst>
            <a:ext uri="{FF2B5EF4-FFF2-40B4-BE49-F238E27FC236}">
              <a16:creationId xmlns:a16="http://schemas.microsoft.com/office/drawing/2014/main" id="{D691040D-F97C-4453-AC78-21D9C0F1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28850" y="125006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220</xdr:row>
      <xdr:rowOff>38100</xdr:rowOff>
    </xdr:from>
    <xdr:to>
      <xdr:col>3</xdr:col>
      <xdr:colOff>495300</xdr:colOff>
      <xdr:row>220</xdr:row>
      <xdr:rowOff>371475</xdr:rowOff>
    </xdr:to>
    <xdr:pic>
      <xdr:nvPicPr>
        <xdr:cNvPr id="154" name="Picture 141">
          <a:extLst>
            <a:ext uri="{FF2B5EF4-FFF2-40B4-BE49-F238E27FC236}">
              <a16:creationId xmlns:a16="http://schemas.microsoft.com/office/drawing/2014/main" id="{A53E064A-E663-4B72-B6C3-D4273B20B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19325" y="1255776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221</xdr:row>
      <xdr:rowOff>28575</xdr:rowOff>
    </xdr:from>
    <xdr:to>
      <xdr:col>3</xdr:col>
      <xdr:colOff>504825</xdr:colOff>
      <xdr:row>221</xdr:row>
      <xdr:rowOff>361950</xdr:rowOff>
    </xdr:to>
    <xdr:pic>
      <xdr:nvPicPr>
        <xdr:cNvPr id="155" name="Picture 145">
          <a:extLst>
            <a:ext uri="{FF2B5EF4-FFF2-40B4-BE49-F238E27FC236}">
              <a16:creationId xmlns:a16="http://schemas.microsoft.com/office/drawing/2014/main" id="{AA6D867E-2626-4330-A2F0-06DDAAEB0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28850" y="126139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222</xdr:row>
      <xdr:rowOff>28575</xdr:rowOff>
    </xdr:from>
    <xdr:to>
      <xdr:col>3</xdr:col>
      <xdr:colOff>504825</xdr:colOff>
      <xdr:row>222</xdr:row>
      <xdr:rowOff>361950</xdr:rowOff>
    </xdr:to>
    <xdr:pic>
      <xdr:nvPicPr>
        <xdr:cNvPr id="156" name="Picture 149">
          <a:extLst>
            <a:ext uri="{FF2B5EF4-FFF2-40B4-BE49-F238E27FC236}">
              <a16:creationId xmlns:a16="http://schemas.microsoft.com/office/drawing/2014/main" id="{9D6E5818-38C5-46BF-AC66-4A365D4F7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28850" y="126711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36</xdr:row>
      <xdr:rowOff>28575</xdr:rowOff>
    </xdr:from>
    <xdr:to>
      <xdr:col>3</xdr:col>
      <xdr:colOff>504825</xdr:colOff>
      <xdr:row>36</xdr:row>
      <xdr:rowOff>361950</xdr:rowOff>
    </xdr:to>
    <xdr:pic>
      <xdr:nvPicPr>
        <xdr:cNvPr id="157" name="Picture 153">
          <a:extLst>
            <a:ext uri="{FF2B5EF4-FFF2-40B4-BE49-F238E27FC236}">
              <a16:creationId xmlns:a16="http://schemas.microsoft.com/office/drawing/2014/main" id="{8D585A4F-DC3E-4784-9478-005D208EB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28850" y="20412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34</xdr:row>
      <xdr:rowOff>28575</xdr:rowOff>
    </xdr:from>
    <xdr:to>
      <xdr:col>3</xdr:col>
      <xdr:colOff>504825</xdr:colOff>
      <xdr:row>34</xdr:row>
      <xdr:rowOff>361950</xdr:rowOff>
    </xdr:to>
    <xdr:pic>
      <xdr:nvPicPr>
        <xdr:cNvPr id="158" name="Picture 155">
          <a:extLst>
            <a:ext uri="{FF2B5EF4-FFF2-40B4-BE49-F238E27FC236}">
              <a16:creationId xmlns:a16="http://schemas.microsoft.com/office/drawing/2014/main" id="{81EC5749-947C-49B7-88D5-EA998A5DC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28850" y="19269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35</xdr:row>
      <xdr:rowOff>38100</xdr:rowOff>
    </xdr:from>
    <xdr:to>
      <xdr:col>3</xdr:col>
      <xdr:colOff>504825</xdr:colOff>
      <xdr:row>35</xdr:row>
      <xdr:rowOff>371475</xdr:rowOff>
    </xdr:to>
    <xdr:pic>
      <xdr:nvPicPr>
        <xdr:cNvPr id="159" name="Picture 156">
          <a:extLst>
            <a:ext uri="{FF2B5EF4-FFF2-40B4-BE49-F238E27FC236}">
              <a16:creationId xmlns:a16="http://schemas.microsoft.com/office/drawing/2014/main" id="{F0DB51A1-A280-4E8A-9ECD-E6A9A8D1B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228850" y="19850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495300</xdr:colOff>
      <xdr:row>130</xdr:row>
      <xdr:rowOff>495300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7AA0272C-AEBD-4A2A-B0DA-B36FE9E9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19325" y="74123550"/>
          <a:ext cx="476250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495300</xdr:colOff>
      <xdr:row>260</xdr:row>
      <xdr:rowOff>352425</xdr:rowOff>
    </xdr:to>
    <xdr:pic>
      <xdr:nvPicPr>
        <xdr:cNvPr id="161" name="Picture 3">
          <a:extLst>
            <a:ext uri="{FF2B5EF4-FFF2-40B4-BE49-F238E27FC236}">
              <a16:creationId xmlns:a16="http://schemas.microsoft.com/office/drawing/2014/main" id="{E8084BC6-114F-4260-8573-7C0DA9A20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19325" y="14841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495300</xdr:colOff>
      <xdr:row>262</xdr:row>
      <xdr:rowOff>352425</xdr:rowOff>
    </xdr:to>
    <xdr:pic>
      <xdr:nvPicPr>
        <xdr:cNvPr id="162" name="Picture 4">
          <a:extLst>
            <a:ext uri="{FF2B5EF4-FFF2-40B4-BE49-F238E27FC236}">
              <a16:creationId xmlns:a16="http://schemas.microsoft.com/office/drawing/2014/main" id="{D6FC4031-A70B-4627-AFC2-509DDDA06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19325" y="14956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495300</xdr:colOff>
      <xdr:row>261</xdr:row>
      <xdr:rowOff>352425</xdr:rowOff>
    </xdr:to>
    <xdr:pic>
      <xdr:nvPicPr>
        <xdr:cNvPr id="163" name="Picture 5">
          <a:extLst>
            <a:ext uri="{FF2B5EF4-FFF2-40B4-BE49-F238E27FC236}">
              <a16:creationId xmlns:a16="http://schemas.microsoft.com/office/drawing/2014/main" id="{A25CACCA-531D-46F5-8707-1E4919BE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19325" y="14899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495300</xdr:colOff>
      <xdr:row>263</xdr:row>
      <xdr:rowOff>352425</xdr:rowOff>
    </xdr:to>
    <xdr:pic>
      <xdr:nvPicPr>
        <xdr:cNvPr id="164" name="Picture 6">
          <a:extLst>
            <a:ext uri="{FF2B5EF4-FFF2-40B4-BE49-F238E27FC236}">
              <a16:creationId xmlns:a16="http://schemas.microsoft.com/office/drawing/2014/main" id="{8445D50C-3080-4402-9788-219D667BC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19325" y="15013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495300</xdr:colOff>
      <xdr:row>242</xdr:row>
      <xdr:rowOff>352425</xdr:rowOff>
    </xdr:to>
    <xdr:pic>
      <xdr:nvPicPr>
        <xdr:cNvPr id="165" name="Picture 7">
          <a:extLst>
            <a:ext uri="{FF2B5EF4-FFF2-40B4-BE49-F238E27FC236}">
              <a16:creationId xmlns:a16="http://schemas.microsoft.com/office/drawing/2014/main" id="{A950F503-3C09-4790-9476-B3202806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19325" y="13813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495300</xdr:colOff>
      <xdr:row>259</xdr:row>
      <xdr:rowOff>352425</xdr:rowOff>
    </xdr:to>
    <xdr:pic>
      <xdr:nvPicPr>
        <xdr:cNvPr id="166" name="Picture 8">
          <a:extLst>
            <a:ext uri="{FF2B5EF4-FFF2-40B4-BE49-F238E27FC236}">
              <a16:creationId xmlns:a16="http://schemas.microsoft.com/office/drawing/2014/main" id="{FCFDE10B-1C76-4BE2-8D9C-11EBDBCFF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19325" y="14784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495300</xdr:colOff>
      <xdr:row>302</xdr:row>
      <xdr:rowOff>352425</xdr:rowOff>
    </xdr:to>
    <xdr:pic>
      <xdr:nvPicPr>
        <xdr:cNvPr id="167" name="Picture 1">
          <a:extLst>
            <a:ext uri="{FF2B5EF4-FFF2-40B4-BE49-F238E27FC236}">
              <a16:creationId xmlns:a16="http://schemas.microsoft.com/office/drawing/2014/main" id="{96FF18F4-73B9-40BC-ACB6-C08DCDD57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19325" y="17242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224</xdr:row>
      <xdr:rowOff>28575</xdr:rowOff>
    </xdr:from>
    <xdr:to>
      <xdr:col>3</xdr:col>
      <xdr:colOff>495300</xdr:colOff>
      <xdr:row>224</xdr:row>
      <xdr:rowOff>361950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C398EF29-EF5E-4071-8C2B-35B0C6E2C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19325" y="127854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495300</xdr:colOff>
      <xdr:row>89</xdr:row>
      <xdr:rowOff>352425</xdr:rowOff>
    </xdr:to>
    <xdr:pic>
      <xdr:nvPicPr>
        <xdr:cNvPr id="169" name="Picture 1">
          <a:extLst>
            <a:ext uri="{FF2B5EF4-FFF2-40B4-BE49-F238E27FC236}">
              <a16:creationId xmlns:a16="http://schemas.microsoft.com/office/drawing/2014/main" id="{E778B86E-A946-4BD0-A5E0-3C82B3BFF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19325" y="5069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495300</xdr:colOff>
      <xdr:row>63</xdr:row>
      <xdr:rowOff>352425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C5A607B-1318-4D7E-B453-561B8D4BA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19325" y="3583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495300</xdr:colOff>
      <xdr:row>217</xdr:row>
      <xdr:rowOff>352425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DC4F8F35-02BC-4B01-BA74-E68EE82F3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19325" y="12384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495300</xdr:colOff>
      <xdr:row>267</xdr:row>
      <xdr:rowOff>352425</xdr:rowOff>
    </xdr:to>
    <xdr:pic>
      <xdr:nvPicPr>
        <xdr:cNvPr id="172" name="Picture 2">
          <a:extLst>
            <a:ext uri="{FF2B5EF4-FFF2-40B4-BE49-F238E27FC236}">
              <a16:creationId xmlns:a16="http://schemas.microsoft.com/office/drawing/2014/main" id="{B7BAD7B8-8AEF-493D-8397-5AE5CE36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19325" y="15241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495300</xdr:colOff>
      <xdr:row>90</xdr:row>
      <xdr:rowOff>352425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89781D91-2C36-45D0-BD3D-AF9345FDA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19325" y="5126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495300</xdr:colOff>
      <xdr:row>64</xdr:row>
      <xdr:rowOff>352425</xdr:rowOff>
    </xdr:to>
    <xdr:pic>
      <xdr:nvPicPr>
        <xdr:cNvPr id="174" name="Picture 2">
          <a:extLst>
            <a:ext uri="{FF2B5EF4-FFF2-40B4-BE49-F238E27FC236}">
              <a16:creationId xmlns:a16="http://schemas.microsoft.com/office/drawing/2014/main" id="{FA11345A-346E-4879-87BF-14BEF7371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19325" y="3640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495300</xdr:colOff>
      <xdr:row>303</xdr:row>
      <xdr:rowOff>352425</xdr:rowOff>
    </xdr:to>
    <xdr:pic>
      <xdr:nvPicPr>
        <xdr:cNvPr id="175" name="Picture 4">
          <a:extLst>
            <a:ext uri="{FF2B5EF4-FFF2-40B4-BE49-F238E27FC236}">
              <a16:creationId xmlns:a16="http://schemas.microsoft.com/office/drawing/2014/main" id="{6A7404FE-5309-4087-A184-E8AE7AC5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19325" y="17299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495300</xdr:colOff>
      <xdr:row>218</xdr:row>
      <xdr:rowOff>352425</xdr:rowOff>
    </xdr:to>
    <xdr:pic>
      <xdr:nvPicPr>
        <xdr:cNvPr id="176" name="Picture 4">
          <a:extLst>
            <a:ext uri="{FF2B5EF4-FFF2-40B4-BE49-F238E27FC236}">
              <a16:creationId xmlns:a16="http://schemas.microsoft.com/office/drawing/2014/main" id="{829CD230-D123-4196-8407-728B1E05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19325" y="12441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495300</xdr:colOff>
      <xdr:row>268</xdr:row>
      <xdr:rowOff>352425</xdr:rowOff>
    </xdr:to>
    <xdr:pic>
      <xdr:nvPicPr>
        <xdr:cNvPr id="177" name="Picture 4">
          <a:extLst>
            <a:ext uri="{FF2B5EF4-FFF2-40B4-BE49-F238E27FC236}">
              <a16:creationId xmlns:a16="http://schemas.microsoft.com/office/drawing/2014/main" id="{FB018D8D-E023-4AF9-8E2B-3DA1D5350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19325" y="15299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495300</xdr:colOff>
      <xdr:row>91</xdr:row>
      <xdr:rowOff>352425</xdr:rowOff>
    </xdr:to>
    <xdr:pic>
      <xdr:nvPicPr>
        <xdr:cNvPr id="178" name="Picture 4">
          <a:extLst>
            <a:ext uri="{FF2B5EF4-FFF2-40B4-BE49-F238E27FC236}">
              <a16:creationId xmlns:a16="http://schemas.microsoft.com/office/drawing/2014/main" id="{F29F2FEB-7216-4F91-8DB2-34A9C4EDB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19325" y="5183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495300</xdr:colOff>
      <xdr:row>122</xdr:row>
      <xdr:rowOff>352425</xdr:rowOff>
    </xdr:to>
    <xdr:pic>
      <xdr:nvPicPr>
        <xdr:cNvPr id="179" name="Picture 5">
          <a:extLst>
            <a:ext uri="{FF2B5EF4-FFF2-40B4-BE49-F238E27FC236}">
              <a16:creationId xmlns:a16="http://schemas.microsoft.com/office/drawing/2014/main" id="{FD8AFBBA-9EE6-4744-B7AB-7152DCED5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219325" y="6955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123</xdr:row>
      <xdr:rowOff>19050</xdr:rowOff>
    </xdr:from>
    <xdr:to>
      <xdr:col>3</xdr:col>
      <xdr:colOff>485775</xdr:colOff>
      <xdr:row>123</xdr:row>
      <xdr:rowOff>352425</xdr:rowOff>
    </xdr:to>
    <xdr:pic>
      <xdr:nvPicPr>
        <xdr:cNvPr id="180" name="Picture 6">
          <a:extLst>
            <a:ext uri="{FF2B5EF4-FFF2-40B4-BE49-F238E27FC236}">
              <a16:creationId xmlns:a16="http://schemas.microsoft.com/office/drawing/2014/main" id="{56BDE821-6CF9-4A00-9C35-B78D3E43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209800" y="7012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495300</xdr:colOff>
      <xdr:row>297</xdr:row>
      <xdr:rowOff>352425</xdr:rowOff>
    </xdr:to>
    <xdr:pic>
      <xdr:nvPicPr>
        <xdr:cNvPr id="181" name="Picture 7">
          <a:extLst>
            <a:ext uri="{FF2B5EF4-FFF2-40B4-BE49-F238E27FC236}">
              <a16:creationId xmlns:a16="http://schemas.microsoft.com/office/drawing/2014/main" id="{173E64D3-3702-4AAD-81A3-38113F3B4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219325" y="16956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495300</xdr:colOff>
      <xdr:row>124</xdr:row>
      <xdr:rowOff>352425</xdr:rowOff>
    </xdr:to>
    <xdr:pic>
      <xdr:nvPicPr>
        <xdr:cNvPr id="182" name="Picture 8">
          <a:extLst>
            <a:ext uri="{FF2B5EF4-FFF2-40B4-BE49-F238E27FC236}">
              <a16:creationId xmlns:a16="http://schemas.microsoft.com/office/drawing/2014/main" id="{920477E8-AD91-4552-A079-FDC5E31D4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219325" y="7069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495300</xdr:colOff>
      <xdr:row>276</xdr:row>
      <xdr:rowOff>352425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9094738D-A8DE-4FDE-A21B-9387D656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219325" y="15756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495300</xdr:colOff>
      <xdr:row>277</xdr:row>
      <xdr:rowOff>352425</xdr:rowOff>
    </xdr:to>
    <xdr:pic>
      <xdr:nvPicPr>
        <xdr:cNvPr id="184" name="Picture 10">
          <a:extLst>
            <a:ext uri="{FF2B5EF4-FFF2-40B4-BE49-F238E27FC236}">
              <a16:creationId xmlns:a16="http://schemas.microsoft.com/office/drawing/2014/main" id="{250E0C6A-BBFD-4E8C-91F2-E6D2B79A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219325" y="15813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255</xdr:row>
      <xdr:rowOff>19050</xdr:rowOff>
    </xdr:from>
    <xdr:to>
      <xdr:col>3</xdr:col>
      <xdr:colOff>504825</xdr:colOff>
      <xdr:row>255</xdr:row>
      <xdr:rowOff>352425</xdr:rowOff>
    </xdr:to>
    <xdr:pic>
      <xdr:nvPicPr>
        <xdr:cNvPr id="185" name="Picture 11">
          <a:extLst>
            <a:ext uri="{FF2B5EF4-FFF2-40B4-BE49-F238E27FC236}">
              <a16:creationId xmlns:a16="http://schemas.microsoft.com/office/drawing/2014/main" id="{3E1DC3D6-3467-4888-BB4E-77038E770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28850" y="14556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495300</xdr:colOff>
      <xdr:row>203</xdr:row>
      <xdr:rowOff>352425</xdr:rowOff>
    </xdr:to>
    <xdr:pic>
      <xdr:nvPicPr>
        <xdr:cNvPr id="186" name="Picture 12">
          <a:extLst>
            <a:ext uri="{FF2B5EF4-FFF2-40B4-BE49-F238E27FC236}">
              <a16:creationId xmlns:a16="http://schemas.microsoft.com/office/drawing/2014/main" id="{F96DF45B-91C8-4D66-9099-7C08E5080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19325" y="11584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495300</xdr:colOff>
      <xdr:row>204</xdr:row>
      <xdr:rowOff>352425</xdr:rowOff>
    </xdr:to>
    <xdr:pic>
      <xdr:nvPicPr>
        <xdr:cNvPr id="187" name="Picture 13">
          <a:extLst>
            <a:ext uri="{FF2B5EF4-FFF2-40B4-BE49-F238E27FC236}">
              <a16:creationId xmlns:a16="http://schemas.microsoft.com/office/drawing/2014/main" id="{06F17ECE-D80F-4448-AB7A-70B9F7874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19325" y="11641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230</xdr:row>
      <xdr:rowOff>19050</xdr:rowOff>
    </xdr:from>
    <xdr:to>
      <xdr:col>3</xdr:col>
      <xdr:colOff>504825</xdr:colOff>
      <xdr:row>230</xdr:row>
      <xdr:rowOff>352425</xdr:rowOff>
    </xdr:to>
    <xdr:pic>
      <xdr:nvPicPr>
        <xdr:cNvPr id="188" name="Picture 14">
          <a:extLst>
            <a:ext uri="{FF2B5EF4-FFF2-40B4-BE49-F238E27FC236}">
              <a16:creationId xmlns:a16="http://schemas.microsoft.com/office/drawing/2014/main" id="{EA1E14C1-9807-4C6A-9082-C73AD63A9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28850" y="13127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495300</xdr:colOff>
      <xdr:row>231</xdr:row>
      <xdr:rowOff>352425</xdr:rowOff>
    </xdr:to>
    <xdr:pic>
      <xdr:nvPicPr>
        <xdr:cNvPr id="189" name="Picture 15">
          <a:extLst>
            <a:ext uri="{FF2B5EF4-FFF2-40B4-BE49-F238E27FC236}">
              <a16:creationId xmlns:a16="http://schemas.microsoft.com/office/drawing/2014/main" id="{CEF93A81-1930-46CA-94B9-BAB0D4E3C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19325" y="13184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495300</xdr:colOff>
      <xdr:row>205</xdr:row>
      <xdr:rowOff>352425</xdr:rowOff>
    </xdr:to>
    <xdr:pic>
      <xdr:nvPicPr>
        <xdr:cNvPr id="190" name="Picture 16">
          <a:extLst>
            <a:ext uri="{FF2B5EF4-FFF2-40B4-BE49-F238E27FC236}">
              <a16:creationId xmlns:a16="http://schemas.microsoft.com/office/drawing/2014/main" id="{7D4424B1-CB6B-41C7-971B-8EE32CEA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19325" y="11698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206</xdr:row>
      <xdr:rowOff>28575</xdr:rowOff>
    </xdr:from>
    <xdr:to>
      <xdr:col>3</xdr:col>
      <xdr:colOff>495300</xdr:colOff>
      <xdr:row>206</xdr:row>
      <xdr:rowOff>361950</xdr:rowOff>
    </xdr:to>
    <xdr:pic>
      <xdr:nvPicPr>
        <xdr:cNvPr id="191" name="Picture 17">
          <a:extLst>
            <a:ext uri="{FF2B5EF4-FFF2-40B4-BE49-F238E27FC236}">
              <a16:creationId xmlns:a16="http://schemas.microsoft.com/office/drawing/2014/main" id="{7E8F044E-AD1E-4E3E-9A2E-19D47DD6A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19325" y="117567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495300</xdr:colOff>
      <xdr:row>226</xdr:row>
      <xdr:rowOff>352425</xdr:rowOff>
    </xdr:to>
    <xdr:pic>
      <xdr:nvPicPr>
        <xdr:cNvPr id="192" name="Picture 18">
          <a:extLst>
            <a:ext uri="{FF2B5EF4-FFF2-40B4-BE49-F238E27FC236}">
              <a16:creationId xmlns:a16="http://schemas.microsoft.com/office/drawing/2014/main" id="{AF88AEF3-6C90-4BAB-974D-DF1AC0544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19325" y="12898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495300</xdr:colOff>
      <xdr:row>126</xdr:row>
      <xdr:rowOff>352425</xdr:rowOff>
    </xdr:to>
    <xdr:pic>
      <xdr:nvPicPr>
        <xdr:cNvPr id="193" name="Picture 19">
          <a:extLst>
            <a:ext uri="{FF2B5EF4-FFF2-40B4-BE49-F238E27FC236}">
              <a16:creationId xmlns:a16="http://schemas.microsoft.com/office/drawing/2014/main" id="{96B9BE60-F216-43D9-897D-1F7261AB0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219325" y="7183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495300</xdr:colOff>
      <xdr:row>225</xdr:row>
      <xdr:rowOff>352425</xdr:rowOff>
    </xdr:to>
    <xdr:pic>
      <xdr:nvPicPr>
        <xdr:cNvPr id="194" name="Picture 20">
          <a:extLst>
            <a:ext uri="{FF2B5EF4-FFF2-40B4-BE49-F238E27FC236}">
              <a16:creationId xmlns:a16="http://schemas.microsoft.com/office/drawing/2014/main" id="{2E44EC94-5B09-43ED-83B1-41CD9F35B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19325" y="12841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495300</xdr:colOff>
      <xdr:row>234</xdr:row>
      <xdr:rowOff>352425</xdr:rowOff>
    </xdr:to>
    <xdr:pic>
      <xdr:nvPicPr>
        <xdr:cNvPr id="195" name="Picture 21">
          <a:extLst>
            <a:ext uri="{FF2B5EF4-FFF2-40B4-BE49-F238E27FC236}">
              <a16:creationId xmlns:a16="http://schemas.microsoft.com/office/drawing/2014/main" id="{0825C370-8B0B-426B-BA5C-6C85B0A08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219325" y="13355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495300</xdr:colOff>
      <xdr:row>298</xdr:row>
      <xdr:rowOff>352425</xdr:rowOff>
    </xdr:to>
    <xdr:pic>
      <xdr:nvPicPr>
        <xdr:cNvPr id="196" name="Picture 22">
          <a:extLst>
            <a:ext uri="{FF2B5EF4-FFF2-40B4-BE49-F238E27FC236}">
              <a16:creationId xmlns:a16="http://schemas.microsoft.com/office/drawing/2014/main" id="{A2327F06-B98F-49B2-8427-BBBA732C0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219325" y="17013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495300</xdr:colOff>
      <xdr:row>241</xdr:row>
      <xdr:rowOff>352425</xdr:rowOff>
    </xdr:to>
    <xdr:pic>
      <xdr:nvPicPr>
        <xdr:cNvPr id="197" name="Picture 23">
          <a:extLst>
            <a:ext uri="{FF2B5EF4-FFF2-40B4-BE49-F238E27FC236}">
              <a16:creationId xmlns:a16="http://schemas.microsoft.com/office/drawing/2014/main" id="{6FC125FF-BFC6-462E-8D83-3DE045991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219325" y="13756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495300</xdr:colOff>
      <xdr:row>240</xdr:row>
      <xdr:rowOff>352425</xdr:rowOff>
    </xdr:to>
    <xdr:pic>
      <xdr:nvPicPr>
        <xdr:cNvPr id="198" name="Picture 24">
          <a:extLst>
            <a:ext uri="{FF2B5EF4-FFF2-40B4-BE49-F238E27FC236}">
              <a16:creationId xmlns:a16="http://schemas.microsoft.com/office/drawing/2014/main" id="{CC021FB4-D176-404E-9834-152B0EBC7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219325" y="13698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495300</xdr:colOff>
      <xdr:row>207</xdr:row>
      <xdr:rowOff>352425</xdr:rowOff>
    </xdr:to>
    <xdr:pic>
      <xdr:nvPicPr>
        <xdr:cNvPr id="199" name="Picture 25">
          <a:extLst>
            <a:ext uri="{FF2B5EF4-FFF2-40B4-BE49-F238E27FC236}">
              <a16:creationId xmlns:a16="http://schemas.microsoft.com/office/drawing/2014/main" id="{1E05369F-1072-411A-ADB7-0F8DEE8E8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219325" y="11812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495300</xdr:colOff>
      <xdr:row>210</xdr:row>
      <xdr:rowOff>352425</xdr:rowOff>
    </xdr:to>
    <xdr:pic>
      <xdr:nvPicPr>
        <xdr:cNvPr id="200" name="Picture 26">
          <a:extLst>
            <a:ext uri="{FF2B5EF4-FFF2-40B4-BE49-F238E27FC236}">
              <a16:creationId xmlns:a16="http://schemas.microsoft.com/office/drawing/2014/main" id="{557D811B-5FE3-48A4-9892-AEB5A50EC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219325" y="11984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495300</xdr:colOff>
      <xdr:row>209</xdr:row>
      <xdr:rowOff>352425</xdr:rowOff>
    </xdr:to>
    <xdr:pic>
      <xdr:nvPicPr>
        <xdr:cNvPr id="201" name="Picture 27">
          <a:extLst>
            <a:ext uri="{FF2B5EF4-FFF2-40B4-BE49-F238E27FC236}">
              <a16:creationId xmlns:a16="http://schemas.microsoft.com/office/drawing/2014/main" id="{C6ABD4EE-BDDD-4B1A-826A-7E09726ED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219325" y="11927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495300</xdr:colOff>
      <xdr:row>190</xdr:row>
      <xdr:rowOff>352425</xdr:rowOff>
    </xdr:to>
    <xdr:pic>
      <xdr:nvPicPr>
        <xdr:cNvPr id="202" name="Picture 28">
          <a:extLst>
            <a:ext uri="{FF2B5EF4-FFF2-40B4-BE49-F238E27FC236}">
              <a16:creationId xmlns:a16="http://schemas.microsoft.com/office/drawing/2014/main" id="{AA012FE5-8E38-4FB3-BFD5-9F398DB63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219325" y="10841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495300</xdr:colOff>
      <xdr:row>208</xdr:row>
      <xdr:rowOff>352425</xdr:rowOff>
    </xdr:to>
    <xdr:pic>
      <xdr:nvPicPr>
        <xdr:cNvPr id="203" name="Picture 29">
          <a:extLst>
            <a:ext uri="{FF2B5EF4-FFF2-40B4-BE49-F238E27FC236}">
              <a16:creationId xmlns:a16="http://schemas.microsoft.com/office/drawing/2014/main" id="{4E64DB6E-15FC-4F41-BD53-DEA14D178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19325" y="11870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495300</xdr:colOff>
      <xdr:row>196</xdr:row>
      <xdr:rowOff>352425</xdr:rowOff>
    </xdr:to>
    <xdr:pic>
      <xdr:nvPicPr>
        <xdr:cNvPr id="204" name="Picture 30">
          <a:extLst>
            <a:ext uri="{FF2B5EF4-FFF2-40B4-BE49-F238E27FC236}">
              <a16:creationId xmlns:a16="http://schemas.microsoft.com/office/drawing/2014/main" id="{D70AC842-62EA-4645-9426-A890B4D1F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19325" y="11184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495300</xdr:colOff>
      <xdr:row>192</xdr:row>
      <xdr:rowOff>352425</xdr:rowOff>
    </xdr:to>
    <xdr:pic>
      <xdr:nvPicPr>
        <xdr:cNvPr id="205" name="Picture 31">
          <a:extLst>
            <a:ext uri="{FF2B5EF4-FFF2-40B4-BE49-F238E27FC236}">
              <a16:creationId xmlns:a16="http://schemas.microsoft.com/office/drawing/2014/main" id="{C6D0325E-A723-48CA-8C75-5586C1BF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219325" y="10955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495300</xdr:colOff>
      <xdr:row>239</xdr:row>
      <xdr:rowOff>352425</xdr:rowOff>
    </xdr:to>
    <xdr:pic>
      <xdr:nvPicPr>
        <xdr:cNvPr id="206" name="Picture 32">
          <a:extLst>
            <a:ext uri="{FF2B5EF4-FFF2-40B4-BE49-F238E27FC236}">
              <a16:creationId xmlns:a16="http://schemas.microsoft.com/office/drawing/2014/main" id="{265ED6EC-DDFB-4B09-8047-602B9ED36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19325" y="13641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495300</xdr:colOff>
      <xdr:row>229</xdr:row>
      <xdr:rowOff>352425</xdr:rowOff>
    </xdr:to>
    <xdr:pic>
      <xdr:nvPicPr>
        <xdr:cNvPr id="207" name="Picture 33">
          <a:extLst>
            <a:ext uri="{FF2B5EF4-FFF2-40B4-BE49-F238E27FC236}">
              <a16:creationId xmlns:a16="http://schemas.microsoft.com/office/drawing/2014/main" id="{47B9BE40-FD2E-4F2B-B4B5-25F3787D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219325" y="13070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495300</xdr:colOff>
      <xdr:row>301</xdr:row>
      <xdr:rowOff>352425</xdr:rowOff>
    </xdr:to>
    <xdr:pic>
      <xdr:nvPicPr>
        <xdr:cNvPr id="208" name="Picture 34">
          <a:extLst>
            <a:ext uri="{FF2B5EF4-FFF2-40B4-BE49-F238E27FC236}">
              <a16:creationId xmlns:a16="http://schemas.microsoft.com/office/drawing/2014/main" id="{DE91D28C-CF2F-42BE-905E-8F42FB40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219325" y="17185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495300</xdr:colOff>
      <xdr:row>125</xdr:row>
      <xdr:rowOff>352425</xdr:rowOff>
    </xdr:to>
    <xdr:pic>
      <xdr:nvPicPr>
        <xdr:cNvPr id="209" name="Picture 35">
          <a:extLst>
            <a:ext uri="{FF2B5EF4-FFF2-40B4-BE49-F238E27FC236}">
              <a16:creationId xmlns:a16="http://schemas.microsoft.com/office/drawing/2014/main" id="{97AC739B-2FC2-4551-B707-17FC8A282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19325" y="7126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495300</xdr:colOff>
      <xdr:row>246</xdr:row>
      <xdr:rowOff>352425</xdr:rowOff>
    </xdr:to>
    <xdr:pic>
      <xdr:nvPicPr>
        <xdr:cNvPr id="210" name="Picture 37">
          <a:extLst>
            <a:ext uri="{FF2B5EF4-FFF2-40B4-BE49-F238E27FC236}">
              <a16:creationId xmlns:a16="http://schemas.microsoft.com/office/drawing/2014/main" id="{5C75D3C7-4472-4322-8E90-BC7DD4ECE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19325" y="14041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495300</xdr:colOff>
      <xdr:row>65</xdr:row>
      <xdr:rowOff>352425</xdr:rowOff>
    </xdr:to>
    <xdr:pic>
      <xdr:nvPicPr>
        <xdr:cNvPr id="211" name="Picture 38">
          <a:extLst>
            <a:ext uri="{FF2B5EF4-FFF2-40B4-BE49-F238E27FC236}">
              <a16:creationId xmlns:a16="http://schemas.microsoft.com/office/drawing/2014/main" id="{1830EC49-E617-4A7A-9F6A-59DF02758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19325" y="3697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495300</xdr:colOff>
      <xdr:row>249</xdr:row>
      <xdr:rowOff>352425</xdr:rowOff>
    </xdr:to>
    <xdr:pic>
      <xdr:nvPicPr>
        <xdr:cNvPr id="212" name="Picture 39">
          <a:extLst>
            <a:ext uri="{FF2B5EF4-FFF2-40B4-BE49-F238E27FC236}">
              <a16:creationId xmlns:a16="http://schemas.microsoft.com/office/drawing/2014/main" id="{60B4683B-303D-4B8D-B84A-612810386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19325" y="14213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495300</xdr:colOff>
      <xdr:row>247</xdr:row>
      <xdr:rowOff>352425</xdr:rowOff>
    </xdr:to>
    <xdr:pic>
      <xdr:nvPicPr>
        <xdr:cNvPr id="213" name="Picture 40">
          <a:extLst>
            <a:ext uri="{FF2B5EF4-FFF2-40B4-BE49-F238E27FC236}">
              <a16:creationId xmlns:a16="http://schemas.microsoft.com/office/drawing/2014/main" id="{2458705F-5770-4AB4-AAE1-2F7C239D7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19325" y="14098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495300</xdr:colOff>
      <xdr:row>66</xdr:row>
      <xdr:rowOff>352425</xdr:rowOff>
    </xdr:to>
    <xdr:pic>
      <xdr:nvPicPr>
        <xdr:cNvPr id="214" name="Picture 41">
          <a:extLst>
            <a:ext uri="{FF2B5EF4-FFF2-40B4-BE49-F238E27FC236}">
              <a16:creationId xmlns:a16="http://schemas.microsoft.com/office/drawing/2014/main" id="{D7ADA1CF-1B87-4D96-B16A-DB150875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19325" y="3754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495300</xdr:colOff>
      <xdr:row>250</xdr:row>
      <xdr:rowOff>352425</xdr:rowOff>
    </xdr:to>
    <xdr:pic>
      <xdr:nvPicPr>
        <xdr:cNvPr id="215" name="Picture 42">
          <a:extLst>
            <a:ext uri="{FF2B5EF4-FFF2-40B4-BE49-F238E27FC236}">
              <a16:creationId xmlns:a16="http://schemas.microsoft.com/office/drawing/2014/main" id="{F593FE92-BBDB-4C25-9890-16D21925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219325" y="14270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495300</xdr:colOff>
      <xdr:row>245</xdr:row>
      <xdr:rowOff>352425</xdr:rowOff>
    </xdr:to>
    <xdr:pic>
      <xdr:nvPicPr>
        <xdr:cNvPr id="216" name="Picture 43">
          <a:extLst>
            <a:ext uri="{FF2B5EF4-FFF2-40B4-BE49-F238E27FC236}">
              <a16:creationId xmlns:a16="http://schemas.microsoft.com/office/drawing/2014/main" id="{EE95E450-4D2E-4B1C-95B0-3F2ECA31D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219325" y="13984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495300</xdr:colOff>
      <xdr:row>67</xdr:row>
      <xdr:rowOff>352425</xdr:rowOff>
    </xdr:to>
    <xdr:pic>
      <xdr:nvPicPr>
        <xdr:cNvPr id="217" name="Picture 44">
          <a:extLst>
            <a:ext uri="{FF2B5EF4-FFF2-40B4-BE49-F238E27FC236}">
              <a16:creationId xmlns:a16="http://schemas.microsoft.com/office/drawing/2014/main" id="{F2065E49-CF18-489D-B694-17657D215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219325" y="3811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495300</xdr:colOff>
      <xdr:row>251</xdr:row>
      <xdr:rowOff>352425</xdr:rowOff>
    </xdr:to>
    <xdr:pic>
      <xdr:nvPicPr>
        <xdr:cNvPr id="218" name="Picture 45">
          <a:extLst>
            <a:ext uri="{FF2B5EF4-FFF2-40B4-BE49-F238E27FC236}">
              <a16:creationId xmlns:a16="http://schemas.microsoft.com/office/drawing/2014/main" id="{2370B30C-04EE-4809-8CC9-F5661B9D5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219325" y="14327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495300</xdr:colOff>
      <xdr:row>248</xdr:row>
      <xdr:rowOff>352425</xdr:rowOff>
    </xdr:to>
    <xdr:pic>
      <xdr:nvPicPr>
        <xdr:cNvPr id="219" name="Picture 46">
          <a:extLst>
            <a:ext uri="{FF2B5EF4-FFF2-40B4-BE49-F238E27FC236}">
              <a16:creationId xmlns:a16="http://schemas.microsoft.com/office/drawing/2014/main" id="{FA16838D-4F9F-4603-BD87-2AC716559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219325" y="14156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495300</xdr:colOff>
      <xdr:row>68</xdr:row>
      <xdr:rowOff>352425</xdr:rowOff>
    </xdr:to>
    <xdr:pic>
      <xdr:nvPicPr>
        <xdr:cNvPr id="220" name="Picture 47">
          <a:extLst>
            <a:ext uri="{FF2B5EF4-FFF2-40B4-BE49-F238E27FC236}">
              <a16:creationId xmlns:a16="http://schemas.microsoft.com/office/drawing/2014/main" id="{F06820D4-DF09-42D9-BCAB-1E7BC605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219325" y="3869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495300</xdr:colOff>
      <xdr:row>69</xdr:row>
      <xdr:rowOff>352425</xdr:rowOff>
    </xdr:to>
    <xdr:pic>
      <xdr:nvPicPr>
        <xdr:cNvPr id="221" name="Picture 48">
          <a:extLst>
            <a:ext uri="{FF2B5EF4-FFF2-40B4-BE49-F238E27FC236}">
              <a16:creationId xmlns:a16="http://schemas.microsoft.com/office/drawing/2014/main" id="{0E4C4CCE-65B8-490A-AC12-9C0DB3AB1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219325" y="3926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495300</xdr:colOff>
      <xdr:row>244</xdr:row>
      <xdr:rowOff>352425</xdr:rowOff>
    </xdr:to>
    <xdr:pic>
      <xdr:nvPicPr>
        <xdr:cNvPr id="222" name="Picture 49">
          <a:extLst>
            <a:ext uri="{FF2B5EF4-FFF2-40B4-BE49-F238E27FC236}">
              <a16:creationId xmlns:a16="http://schemas.microsoft.com/office/drawing/2014/main" id="{1CD068F4-04D0-4151-91B3-A5B11B20E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219325" y="13927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495300</xdr:colOff>
      <xdr:row>265</xdr:row>
      <xdr:rowOff>352425</xdr:rowOff>
    </xdr:to>
    <xdr:pic>
      <xdr:nvPicPr>
        <xdr:cNvPr id="223" name="Picture 50">
          <a:extLst>
            <a:ext uri="{FF2B5EF4-FFF2-40B4-BE49-F238E27FC236}">
              <a16:creationId xmlns:a16="http://schemas.microsoft.com/office/drawing/2014/main" id="{63DDCD43-F8B8-49CA-BA8F-5054DF0C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219325" y="15127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495300</xdr:colOff>
      <xdr:row>252</xdr:row>
      <xdr:rowOff>352425</xdr:rowOff>
    </xdr:to>
    <xdr:pic>
      <xdr:nvPicPr>
        <xdr:cNvPr id="224" name="Picture 51">
          <a:extLst>
            <a:ext uri="{FF2B5EF4-FFF2-40B4-BE49-F238E27FC236}">
              <a16:creationId xmlns:a16="http://schemas.microsoft.com/office/drawing/2014/main" id="{7D9A8244-858F-4F74-AAE4-E8BA8222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219325" y="14384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495300</xdr:colOff>
      <xdr:row>75</xdr:row>
      <xdr:rowOff>352425</xdr:rowOff>
    </xdr:to>
    <xdr:pic>
      <xdr:nvPicPr>
        <xdr:cNvPr id="225" name="Picture 52">
          <a:extLst>
            <a:ext uri="{FF2B5EF4-FFF2-40B4-BE49-F238E27FC236}">
              <a16:creationId xmlns:a16="http://schemas.microsoft.com/office/drawing/2014/main" id="{EB1EE590-29FD-425C-BB8D-1B5C4F021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219325" y="4269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495300</xdr:colOff>
      <xdr:row>306</xdr:row>
      <xdr:rowOff>352425</xdr:rowOff>
    </xdr:to>
    <xdr:pic>
      <xdr:nvPicPr>
        <xdr:cNvPr id="226" name="Picture 55">
          <a:extLst>
            <a:ext uri="{FF2B5EF4-FFF2-40B4-BE49-F238E27FC236}">
              <a16:creationId xmlns:a16="http://schemas.microsoft.com/office/drawing/2014/main" id="{522E4BF4-252D-4846-9BF5-F48323923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219325" y="17470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110</xdr:row>
      <xdr:rowOff>19050</xdr:rowOff>
    </xdr:from>
    <xdr:to>
      <xdr:col>3</xdr:col>
      <xdr:colOff>485775</xdr:colOff>
      <xdr:row>110</xdr:row>
      <xdr:rowOff>352425</xdr:rowOff>
    </xdr:to>
    <xdr:pic>
      <xdr:nvPicPr>
        <xdr:cNvPr id="227" name="Picture 57">
          <a:extLst>
            <a:ext uri="{FF2B5EF4-FFF2-40B4-BE49-F238E27FC236}">
              <a16:creationId xmlns:a16="http://schemas.microsoft.com/office/drawing/2014/main" id="{5EC4B671-3ECE-4CFC-8F78-FFBF28E19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09800" y="6269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111</xdr:row>
      <xdr:rowOff>19050</xdr:rowOff>
    </xdr:from>
    <xdr:to>
      <xdr:col>3</xdr:col>
      <xdr:colOff>485775</xdr:colOff>
      <xdr:row>111</xdr:row>
      <xdr:rowOff>352425</xdr:rowOff>
    </xdr:to>
    <xdr:pic>
      <xdr:nvPicPr>
        <xdr:cNvPr id="228" name="Picture 58">
          <a:extLst>
            <a:ext uri="{FF2B5EF4-FFF2-40B4-BE49-F238E27FC236}">
              <a16:creationId xmlns:a16="http://schemas.microsoft.com/office/drawing/2014/main" id="{79ADB394-7313-42B2-A1EB-FE5549C1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09800" y="6326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112</xdr:row>
      <xdr:rowOff>19050</xdr:rowOff>
    </xdr:from>
    <xdr:to>
      <xdr:col>3</xdr:col>
      <xdr:colOff>485775</xdr:colOff>
      <xdr:row>112</xdr:row>
      <xdr:rowOff>352425</xdr:rowOff>
    </xdr:to>
    <xdr:pic>
      <xdr:nvPicPr>
        <xdr:cNvPr id="229" name="Picture 59">
          <a:extLst>
            <a:ext uri="{FF2B5EF4-FFF2-40B4-BE49-F238E27FC236}">
              <a16:creationId xmlns:a16="http://schemas.microsoft.com/office/drawing/2014/main" id="{95AA76B2-B0A3-44C2-9A8F-7E0B3F1C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209800" y="6383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495300</xdr:colOff>
      <xdr:row>316</xdr:row>
      <xdr:rowOff>352425</xdr:rowOff>
    </xdr:to>
    <xdr:pic>
      <xdr:nvPicPr>
        <xdr:cNvPr id="230" name="Picture 63">
          <a:extLst>
            <a:ext uri="{FF2B5EF4-FFF2-40B4-BE49-F238E27FC236}">
              <a16:creationId xmlns:a16="http://schemas.microsoft.com/office/drawing/2014/main" id="{A320967E-BFFD-418E-80B9-8500E019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219325" y="18042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495300</xdr:colOff>
      <xdr:row>28</xdr:row>
      <xdr:rowOff>352425</xdr:rowOff>
    </xdr:to>
    <xdr:pic>
      <xdr:nvPicPr>
        <xdr:cNvPr id="231" name="Picture 64">
          <a:extLst>
            <a:ext uri="{FF2B5EF4-FFF2-40B4-BE49-F238E27FC236}">
              <a16:creationId xmlns:a16="http://schemas.microsoft.com/office/drawing/2014/main" id="{13F286BB-7972-4207-A14B-1B9F68BE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583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495300</xdr:colOff>
      <xdr:row>272</xdr:row>
      <xdr:rowOff>352425</xdr:rowOff>
    </xdr:to>
    <xdr:pic>
      <xdr:nvPicPr>
        <xdr:cNvPr id="232" name="Picture 65">
          <a:extLst>
            <a:ext uri="{FF2B5EF4-FFF2-40B4-BE49-F238E27FC236}">
              <a16:creationId xmlns:a16="http://schemas.microsoft.com/office/drawing/2014/main" id="{B910FD78-B6CA-4242-85B0-F9AED72B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5527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495300</xdr:colOff>
      <xdr:row>271</xdr:row>
      <xdr:rowOff>352425</xdr:rowOff>
    </xdr:to>
    <xdr:pic>
      <xdr:nvPicPr>
        <xdr:cNvPr id="233" name="Picture 68">
          <a:extLst>
            <a:ext uri="{FF2B5EF4-FFF2-40B4-BE49-F238E27FC236}">
              <a16:creationId xmlns:a16="http://schemas.microsoft.com/office/drawing/2014/main" id="{3F671B90-C730-4553-A5D0-CFCF819F4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219325" y="15470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495300</xdr:colOff>
      <xdr:row>181</xdr:row>
      <xdr:rowOff>352425</xdr:rowOff>
    </xdr:to>
    <xdr:pic>
      <xdr:nvPicPr>
        <xdr:cNvPr id="234" name="Picture 69">
          <a:extLst>
            <a:ext uri="{FF2B5EF4-FFF2-40B4-BE49-F238E27FC236}">
              <a16:creationId xmlns:a16="http://schemas.microsoft.com/office/drawing/2014/main" id="{74896B0D-53D1-45AE-8D60-F0EB7AACA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219325" y="10327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495300</xdr:colOff>
      <xdr:row>215</xdr:row>
      <xdr:rowOff>352425</xdr:rowOff>
    </xdr:to>
    <xdr:pic>
      <xdr:nvPicPr>
        <xdr:cNvPr id="235" name="Picture 70">
          <a:extLst>
            <a:ext uri="{FF2B5EF4-FFF2-40B4-BE49-F238E27FC236}">
              <a16:creationId xmlns:a16="http://schemas.microsoft.com/office/drawing/2014/main" id="{2A9A1A3A-CD3D-4FFF-A80E-BF3EE74A1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219325" y="12270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495300</xdr:colOff>
      <xdr:row>29</xdr:row>
      <xdr:rowOff>352425</xdr:rowOff>
    </xdr:to>
    <xdr:pic>
      <xdr:nvPicPr>
        <xdr:cNvPr id="236" name="Picture 71">
          <a:extLst>
            <a:ext uri="{FF2B5EF4-FFF2-40B4-BE49-F238E27FC236}">
              <a16:creationId xmlns:a16="http://schemas.microsoft.com/office/drawing/2014/main" id="{C7441D6B-2624-452D-8395-36A46DFD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219325" y="1640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495300</xdr:colOff>
      <xdr:row>214</xdr:row>
      <xdr:rowOff>352425</xdr:rowOff>
    </xdr:to>
    <xdr:pic>
      <xdr:nvPicPr>
        <xdr:cNvPr id="237" name="Picture 72">
          <a:extLst>
            <a:ext uri="{FF2B5EF4-FFF2-40B4-BE49-F238E27FC236}">
              <a16:creationId xmlns:a16="http://schemas.microsoft.com/office/drawing/2014/main" id="{56AF0969-A999-4B51-AC02-EC8D2763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2212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495300</xdr:colOff>
      <xdr:row>213</xdr:row>
      <xdr:rowOff>352425</xdr:rowOff>
    </xdr:to>
    <xdr:pic>
      <xdr:nvPicPr>
        <xdr:cNvPr id="238" name="Picture 73">
          <a:extLst>
            <a:ext uri="{FF2B5EF4-FFF2-40B4-BE49-F238E27FC236}">
              <a16:creationId xmlns:a16="http://schemas.microsoft.com/office/drawing/2014/main" id="{B58178D3-93E2-4476-9CA9-AD9B67205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19325" y="12155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495300</xdr:colOff>
      <xdr:row>30</xdr:row>
      <xdr:rowOff>352425</xdr:rowOff>
    </xdr:to>
    <xdr:pic>
      <xdr:nvPicPr>
        <xdr:cNvPr id="239" name="Picture 74">
          <a:extLst>
            <a:ext uri="{FF2B5EF4-FFF2-40B4-BE49-F238E27FC236}">
              <a16:creationId xmlns:a16="http://schemas.microsoft.com/office/drawing/2014/main" id="{88BAA8A8-AFF3-4A28-ADB2-FD68FD77D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19325" y="1697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495300</xdr:colOff>
      <xdr:row>182</xdr:row>
      <xdr:rowOff>352425</xdr:rowOff>
    </xdr:to>
    <xdr:pic>
      <xdr:nvPicPr>
        <xdr:cNvPr id="240" name="Picture 75">
          <a:extLst>
            <a:ext uri="{FF2B5EF4-FFF2-40B4-BE49-F238E27FC236}">
              <a16:creationId xmlns:a16="http://schemas.microsoft.com/office/drawing/2014/main" id="{EC9607E1-4F19-464B-B389-2A6D82131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19325" y="10384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495300</xdr:colOff>
      <xdr:row>238</xdr:row>
      <xdr:rowOff>352425</xdr:rowOff>
    </xdr:to>
    <xdr:pic>
      <xdr:nvPicPr>
        <xdr:cNvPr id="241" name="Picture 76">
          <a:extLst>
            <a:ext uri="{FF2B5EF4-FFF2-40B4-BE49-F238E27FC236}">
              <a16:creationId xmlns:a16="http://schemas.microsoft.com/office/drawing/2014/main" id="{E4533BFF-D515-467F-A092-12633288F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19325" y="13584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495300</xdr:colOff>
      <xdr:row>270</xdr:row>
      <xdr:rowOff>352425</xdr:rowOff>
    </xdr:to>
    <xdr:pic>
      <xdr:nvPicPr>
        <xdr:cNvPr id="242" name="Picture 77">
          <a:extLst>
            <a:ext uri="{FF2B5EF4-FFF2-40B4-BE49-F238E27FC236}">
              <a16:creationId xmlns:a16="http://schemas.microsoft.com/office/drawing/2014/main" id="{1002BDA8-B363-44AC-B6FB-9A0C25312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19325" y="15413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495300</xdr:colOff>
      <xdr:row>179</xdr:row>
      <xdr:rowOff>352425</xdr:rowOff>
    </xdr:to>
    <xdr:pic>
      <xdr:nvPicPr>
        <xdr:cNvPr id="243" name="Picture 78">
          <a:extLst>
            <a:ext uri="{FF2B5EF4-FFF2-40B4-BE49-F238E27FC236}">
              <a16:creationId xmlns:a16="http://schemas.microsoft.com/office/drawing/2014/main" id="{A4E878C9-81D8-443A-B7F9-451424C43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219325" y="10212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495300</xdr:colOff>
      <xdr:row>211</xdr:row>
      <xdr:rowOff>352425</xdr:rowOff>
    </xdr:to>
    <xdr:pic>
      <xdr:nvPicPr>
        <xdr:cNvPr id="244" name="Picture 79">
          <a:extLst>
            <a:ext uri="{FF2B5EF4-FFF2-40B4-BE49-F238E27FC236}">
              <a16:creationId xmlns:a16="http://schemas.microsoft.com/office/drawing/2014/main" id="{BE8B164F-D216-4970-B6C5-D5861885C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219325" y="12041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495300</xdr:colOff>
      <xdr:row>170</xdr:row>
      <xdr:rowOff>352425</xdr:rowOff>
    </xdr:to>
    <xdr:pic>
      <xdr:nvPicPr>
        <xdr:cNvPr id="245" name="Picture 80">
          <a:extLst>
            <a:ext uri="{FF2B5EF4-FFF2-40B4-BE49-F238E27FC236}">
              <a16:creationId xmlns:a16="http://schemas.microsoft.com/office/drawing/2014/main" id="{77FC57DD-89C0-4E95-AB00-6D294E82E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219325" y="9698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495300</xdr:colOff>
      <xdr:row>216</xdr:row>
      <xdr:rowOff>352425</xdr:rowOff>
    </xdr:to>
    <xdr:pic>
      <xdr:nvPicPr>
        <xdr:cNvPr id="246" name="Picture 81">
          <a:extLst>
            <a:ext uri="{FF2B5EF4-FFF2-40B4-BE49-F238E27FC236}">
              <a16:creationId xmlns:a16="http://schemas.microsoft.com/office/drawing/2014/main" id="{D1C8BE4B-9885-4B32-8DA3-FB1B78D66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219325" y="12327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495300</xdr:colOff>
      <xdr:row>266</xdr:row>
      <xdr:rowOff>352425</xdr:rowOff>
    </xdr:to>
    <xdr:pic>
      <xdr:nvPicPr>
        <xdr:cNvPr id="247" name="Picture 83">
          <a:extLst>
            <a:ext uri="{FF2B5EF4-FFF2-40B4-BE49-F238E27FC236}">
              <a16:creationId xmlns:a16="http://schemas.microsoft.com/office/drawing/2014/main" id="{E05866A1-E14F-4963-BF09-F84B36EB9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19325" y="15184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495300</xdr:colOff>
      <xdr:row>180</xdr:row>
      <xdr:rowOff>352425</xdr:rowOff>
    </xdr:to>
    <xdr:pic>
      <xdr:nvPicPr>
        <xdr:cNvPr id="248" name="Picture 65">
          <a:extLst>
            <a:ext uri="{FF2B5EF4-FFF2-40B4-BE49-F238E27FC236}">
              <a16:creationId xmlns:a16="http://schemas.microsoft.com/office/drawing/2014/main" id="{6B152B50-F866-4B75-8AF6-D1E53C7D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0269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495300</xdr:colOff>
      <xdr:row>183</xdr:row>
      <xdr:rowOff>352425</xdr:rowOff>
    </xdr:to>
    <xdr:pic>
      <xdr:nvPicPr>
        <xdr:cNvPr id="249" name="Picture 85">
          <a:extLst>
            <a:ext uri="{FF2B5EF4-FFF2-40B4-BE49-F238E27FC236}">
              <a16:creationId xmlns:a16="http://schemas.microsoft.com/office/drawing/2014/main" id="{32950336-1F41-4405-BC1E-5B9EC434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19325" y="10441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495300</xdr:colOff>
      <xdr:row>96</xdr:row>
      <xdr:rowOff>352425</xdr:rowOff>
    </xdr:to>
    <xdr:pic>
      <xdr:nvPicPr>
        <xdr:cNvPr id="250" name="Picture 87">
          <a:extLst>
            <a:ext uri="{FF2B5EF4-FFF2-40B4-BE49-F238E27FC236}">
              <a16:creationId xmlns:a16="http://schemas.microsoft.com/office/drawing/2014/main" id="{4AE880A5-196B-4CAA-A9FD-FD1D0352E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19325" y="5469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495300</xdr:colOff>
      <xdr:row>97</xdr:row>
      <xdr:rowOff>352425</xdr:rowOff>
    </xdr:to>
    <xdr:pic>
      <xdr:nvPicPr>
        <xdr:cNvPr id="251" name="Picture 88">
          <a:extLst>
            <a:ext uri="{FF2B5EF4-FFF2-40B4-BE49-F238E27FC236}">
              <a16:creationId xmlns:a16="http://schemas.microsoft.com/office/drawing/2014/main" id="{D75D0C5B-F858-443B-B655-0A0B7116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19325" y="5526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495300</xdr:colOff>
      <xdr:row>98</xdr:row>
      <xdr:rowOff>352425</xdr:rowOff>
    </xdr:to>
    <xdr:pic>
      <xdr:nvPicPr>
        <xdr:cNvPr id="252" name="Picture 89">
          <a:extLst>
            <a:ext uri="{FF2B5EF4-FFF2-40B4-BE49-F238E27FC236}">
              <a16:creationId xmlns:a16="http://schemas.microsoft.com/office/drawing/2014/main" id="{1783F128-4FD1-49E1-82D2-28FD1A0B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19325" y="5583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495300</xdr:colOff>
      <xdr:row>99</xdr:row>
      <xdr:rowOff>352425</xdr:rowOff>
    </xdr:to>
    <xdr:pic>
      <xdr:nvPicPr>
        <xdr:cNvPr id="253" name="Picture 90">
          <a:extLst>
            <a:ext uri="{FF2B5EF4-FFF2-40B4-BE49-F238E27FC236}">
              <a16:creationId xmlns:a16="http://schemas.microsoft.com/office/drawing/2014/main" id="{AC0FB616-A023-4A6C-BE5C-79348A32C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19325" y="5640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495300</xdr:colOff>
      <xdr:row>95</xdr:row>
      <xdr:rowOff>352425</xdr:rowOff>
    </xdr:to>
    <xdr:pic>
      <xdr:nvPicPr>
        <xdr:cNvPr id="254" name="Picture 91">
          <a:extLst>
            <a:ext uri="{FF2B5EF4-FFF2-40B4-BE49-F238E27FC236}">
              <a16:creationId xmlns:a16="http://schemas.microsoft.com/office/drawing/2014/main" id="{5A445E8D-3731-40CC-8052-2657BC1C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19325" y="5412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495300</xdr:colOff>
      <xdr:row>185</xdr:row>
      <xdr:rowOff>352425</xdr:rowOff>
    </xdr:to>
    <xdr:pic>
      <xdr:nvPicPr>
        <xdr:cNvPr id="255" name="Picture 92">
          <a:extLst>
            <a:ext uri="{FF2B5EF4-FFF2-40B4-BE49-F238E27FC236}">
              <a16:creationId xmlns:a16="http://schemas.microsoft.com/office/drawing/2014/main" id="{80501BE0-CDFE-4BE0-A8C8-012D31B1E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19325" y="10555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495300</xdr:colOff>
      <xdr:row>186</xdr:row>
      <xdr:rowOff>352425</xdr:rowOff>
    </xdr:to>
    <xdr:pic>
      <xdr:nvPicPr>
        <xdr:cNvPr id="256" name="Picture 93">
          <a:extLst>
            <a:ext uri="{FF2B5EF4-FFF2-40B4-BE49-F238E27FC236}">
              <a16:creationId xmlns:a16="http://schemas.microsoft.com/office/drawing/2014/main" id="{2700A67E-CA7D-48B1-8D21-C8A35DEAB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19325" y="10612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495300</xdr:colOff>
      <xdr:row>188</xdr:row>
      <xdr:rowOff>352425</xdr:rowOff>
    </xdr:to>
    <xdr:pic>
      <xdr:nvPicPr>
        <xdr:cNvPr id="257" name="Picture 95">
          <a:extLst>
            <a:ext uri="{FF2B5EF4-FFF2-40B4-BE49-F238E27FC236}">
              <a16:creationId xmlns:a16="http://schemas.microsoft.com/office/drawing/2014/main" id="{5EAE8510-3DBD-4358-AEB9-87C6841B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19325" y="10727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495300</xdr:colOff>
      <xdr:row>187</xdr:row>
      <xdr:rowOff>352425</xdr:rowOff>
    </xdr:to>
    <xdr:pic>
      <xdr:nvPicPr>
        <xdr:cNvPr id="258" name="Picture 94">
          <a:extLst>
            <a:ext uri="{FF2B5EF4-FFF2-40B4-BE49-F238E27FC236}">
              <a16:creationId xmlns:a16="http://schemas.microsoft.com/office/drawing/2014/main" id="{BDE49625-0BF3-4D13-890B-EF3D6EC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219325" y="10669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495300</xdr:colOff>
      <xdr:row>189</xdr:row>
      <xdr:rowOff>352425</xdr:rowOff>
    </xdr:to>
    <xdr:pic>
      <xdr:nvPicPr>
        <xdr:cNvPr id="259" name="Picture 97">
          <a:extLst>
            <a:ext uri="{FF2B5EF4-FFF2-40B4-BE49-F238E27FC236}">
              <a16:creationId xmlns:a16="http://schemas.microsoft.com/office/drawing/2014/main" id="{42F13556-FCCB-4D33-9C08-8B705C66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219325" y="10784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495300</xdr:colOff>
      <xdr:row>197</xdr:row>
      <xdr:rowOff>352425</xdr:rowOff>
    </xdr:to>
    <xdr:pic>
      <xdr:nvPicPr>
        <xdr:cNvPr id="260" name="Picture 98">
          <a:extLst>
            <a:ext uri="{FF2B5EF4-FFF2-40B4-BE49-F238E27FC236}">
              <a16:creationId xmlns:a16="http://schemas.microsoft.com/office/drawing/2014/main" id="{73D9955F-5360-4389-9950-DA7E2294B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19325" y="11241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495300</xdr:colOff>
      <xdr:row>198</xdr:row>
      <xdr:rowOff>352425</xdr:rowOff>
    </xdr:to>
    <xdr:pic>
      <xdr:nvPicPr>
        <xdr:cNvPr id="261" name="Picture 99">
          <a:extLst>
            <a:ext uri="{FF2B5EF4-FFF2-40B4-BE49-F238E27FC236}">
              <a16:creationId xmlns:a16="http://schemas.microsoft.com/office/drawing/2014/main" id="{539C2635-DA63-402B-A510-A5D3F039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19325" y="11298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495300</xdr:colOff>
      <xdr:row>199</xdr:row>
      <xdr:rowOff>352425</xdr:rowOff>
    </xdr:to>
    <xdr:pic>
      <xdr:nvPicPr>
        <xdr:cNvPr id="262" name="Picture 1">
          <a:extLst>
            <a:ext uri="{FF2B5EF4-FFF2-40B4-BE49-F238E27FC236}">
              <a16:creationId xmlns:a16="http://schemas.microsoft.com/office/drawing/2014/main" id="{F8A70DA9-9597-4ADC-94A6-933AD398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19325" y="11355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495300</xdr:colOff>
      <xdr:row>195</xdr:row>
      <xdr:rowOff>352425</xdr:rowOff>
    </xdr:to>
    <xdr:pic>
      <xdr:nvPicPr>
        <xdr:cNvPr id="263" name="Picture 2">
          <a:extLst>
            <a:ext uri="{FF2B5EF4-FFF2-40B4-BE49-F238E27FC236}">
              <a16:creationId xmlns:a16="http://schemas.microsoft.com/office/drawing/2014/main" id="{46561E36-B74C-4120-885E-C676C362A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219325" y="11127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495300</xdr:colOff>
      <xdr:row>103</xdr:row>
      <xdr:rowOff>352425</xdr:rowOff>
    </xdr:to>
    <xdr:pic>
      <xdr:nvPicPr>
        <xdr:cNvPr id="264" name="Picture 3">
          <a:extLst>
            <a:ext uri="{FF2B5EF4-FFF2-40B4-BE49-F238E27FC236}">
              <a16:creationId xmlns:a16="http://schemas.microsoft.com/office/drawing/2014/main" id="{3C49C5B7-AFB4-468C-A7F6-5BA1218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19325" y="5869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495300</xdr:colOff>
      <xdr:row>104</xdr:row>
      <xdr:rowOff>352425</xdr:rowOff>
    </xdr:to>
    <xdr:pic>
      <xdr:nvPicPr>
        <xdr:cNvPr id="265" name="Picture 4">
          <a:extLst>
            <a:ext uri="{FF2B5EF4-FFF2-40B4-BE49-F238E27FC236}">
              <a16:creationId xmlns:a16="http://schemas.microsoft.com/office/drawing/2014/main" id="{734AFB40-0E95-463E-87F0-E1E229AB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19325" y="5926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495300</xdr:colOff>
      <xdr:row>106</xdr:row>
      <xdr:rowOff>352425</xdr:rowOff>
    </xdr:to>
    <xdr:pic>
      <xdr:nvPicPr>
        <xdr:cNvPr id="266" name="Picture 5">
          <a:extLst>
            <a:ext uri="{FF2B5EF4-FFF2-40B4-BE49-F238E27FC236}">
              <a16:creationId xmlns:a16="http://schemas.microsoft.com/office/drawing/2014/main" id="{CF788227-D002-4FB8-893C-FCCB8D09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19325" y="6040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495300</xdr:colOff>
      <xdr:row>105</xdr:row>
      <xdr:rowOff>352425</xdr:rowOff>
    </xdr:to>
    <xdr:pic>
      <xdr:nvPicPr>
        <xdr:cNvPr id="267" name="Picture 6">
          <a:extLst>
            <a:ext uri="{FF2B5EF4-FFF2-40B4-BE49-F238E27FC236}">
              <a16:creationId xmlns:a16="http://schemas.microsoft.com/office/drawing/2014/main" id="{43143DDB-F20D-41ED-A8E2-A61902C95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19325" y="5983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495300</xdr:colOff>
      <xdr:row>113</xdr:row>
      <xdr:rowOff>352425</xdr:rowOff>
    </xdr:to>
    <xdr:pic>
      <xdr:nvPicPr>
        <xdr:cNvPr id="268" name="Picture 7">
          <a:extLst>
            <a:ext uri="{FF2B5EF4-FFF2-40B4-BE49-F238E27FC236}">
              <a16:creationId xmlns:a16="http://schemas.microsoft.com/office/drawing/2014/main" id="{7AF794CB-9273-41D1-9300-39C0C0541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219325" y="6440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495300</xdr:colOff>
      <xdr:row>191</xdr:row>
      <xdr:rowOff>352425</xdr:rowOff>
    </xdr:to>
    <xdr:pic>
      <xdr:nvPicPr>
        <xdr:cNvPr id="269" name="Picture 8">
          <a:extLst>
            <a:ext uri="{FF2B5EF4-FFF2-40B4-BE49-F238E27FC236}">
              <a16:creationId xmlns:a16="http://schemas.microsoft.com/office/drawing/2014/main" id="{70B548AF-2A11-4AC2-9CAA-D0C855A7B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19325" y="10898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495300</xdr:colOff>
      <xdr:row>200</xdr:row>
      <xdr:rowOff>352425</xdr:rowOff>
    </xdr:to>
    <xdr:pic>
      <xdr:nvPicPr>
        <xdr:cNvPr id="270" name="Picture 9">
          <a:extLst>
            <a:ext uri="{FF2B5EF4-FFF2-40B4-BE49-F238E27FC236}">
              <a16:creationId xmlns:a16="http://schemas.microsoft.com/office/drawing/2014/main" id="{AD2847E5-47B5-4F7B-9696-E3133EC3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219325" y="11412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495300</xdr:colOff>
      <xdr:row>177</xdr:row>
      <xdr:rowOff>352425</xdr:rowOff>
    </xdr:to>
    <xdr:pic>
      <xdr:nvPicPr>
        <xdr:cNvPr id="271" name="Picture 10">
          <a:extLst>
            <a:ext uri="{FF2B5EF4-FFF2-40B4-BE49-F238E27FC236}">
              <a16:creationId xmlns:a16="http://schemas.microsoft.com/office/drawing/2014/main" id="{A9F773A1-352A-4A64-AD31-78B7D498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19325" y="10098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495300</xdr:colOff>
      <xdr:row>178</xdr:row>
      <xdr:rowOff>352425</xdr:rowOff>
    </xdr:to>
    <xdr:pic>
      <xdr:nvPicPr>
        <xdr:cNvPr id="272" name="Picture 12">
          <a:extLst>
            <a:ext uri="{FF2B5EF4-FFF2-40B4-BE49-F238E27FC236}">
              <a16:creationId xmlns:a16="http://schemas.microsoft.com/office/drawing/2014/main" id="{D085BB24-03C1-427E-B355-77E63F92D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219325" y="10155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495300</xdr:colOff>
      <xdr:row>176</xdr:row>
      <xdr:rowOff>352425</xdr:rowOff>
    </xdr:to>
    <xdr:pic>
      <xdr:nvPicPr>
        <xdr:cNvPr id="273" name="Picture 13">
          <a:extLst>
            <a:ext uri="{FF2B5EF4-FFF2-40B4-BE49-F238E27FC236}">
              <a16:creationId xmlns:a16="http://schemas.microsoft.com/office/drawing/2014/main" id="{1A1F0D8B-A1F5-4F86-BFDC-91B140EE7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219325" y="10041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495300</xdr:colOff>
      <xdr:row>175</xdr:row>
      <xdr:rowOff>352425</xdr:rowOff>
    </xdr:to>
    <xdr:pic>
      <xdr:nvPicPr>
        <xdr:cNvPr id="274" name="Picture 14">
          <a:extLst>
            <a:ext uri="{FF2B5EF4-FFF2-40B4-BE49-F238E27FC236}">
              <a16:creationId xmlns:a16="http://schemas.microsoft.com/office/drawing/2014/main" id="{19C3ED02-5539-4E46-B3FD-A07E4424E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19325" y="9984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495300</xdr:colOff>
      <xdr:row>173</xdr:row>
      <xdr:rowOff>352425</xdr:rowOff>
    </xdr:to>
    <xdr:pic>
      <xdr:nvPicPr>
        <xdr:cNvPr id="275" name="Picture 15">
          <a:extLst>
            <a:ext uri="{FF2B5EF4-FFF2-40B4-BE49-F238E27FC236}">
              <a16:creationId xmlns:a16="http://schemas.microsoft.com/office/drawing/2014/main" id="{9A413474-516D-4311-ADE2-E07FBE10F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19325" y="9869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495300</xdr:colOff>
      <xdr:row>201</xdr:row>
      <xdr:rowOff>352425</xdr:rowOff>
    </xdr:to>
    <xdr:pic>
      <xdr:nvPicPr>
        <xdr:cNvPr id="276" name="Picture 16">
          <a:extLst>
            <a:ext uri="{FF2B5EF4-FFF2-40B4-BE49-F238E27FC236}">
              <a16:creationId xmlns:a16="http://schemas.microsoft.com/office/drawing/2014/main" id="{C063E572-35F4-4151-9BA8-89CC8789E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219325" y="11470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495300</xdr:colOff>
      <xdr:row>202</xdr:row>
      <xdr:rowOff>352425</xdr:rowOff>
    </xdr:to>
    <xdr:pic>
      <xdr:nvPicPr>
        <xdr:cNvPr id="277" name="Picture 17">
          <a:extLst>
            <a:ext uri="{FF2B5EF4-FFF2-40B4-BE49-F238E27FC236}">
              <a16:creationId xmlns:a16="http://schemas.microsoft.com/office/drawing/2014/main" id="{42A024DC-F502-4FE3-8A24-B03F9D96C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219325" y="11527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495300</xdr:colOff>
      <xdr:row>184</xdr:row>
      <xdr:rowOff>352425</xdr:rowOff>
    </xdr:to>
    <xdr:pic>
      <xdr:nvPicPr>
        <xdr:cNvPr id="278" name="Picture 18">
          <a:extLst>
            <a:ext uri="{FF2B5EF4-FFF2-40B4-BE49-F238E27FC236}">
              <a16:creationId xmlns:a16="http://schemas.microsoft.com/office/drawing/2014/main" id="{A149FE63-CA87-4646-B004-657D18EA4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219325" y="10498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495300</xdr:colOff>
      <xdr:row>236</xdr:row>
      <xdr:rowOff>352425</xdr:rowOff>
    </xdr:to>
    <xdr:pic>
      <xdr:nvPicPr>
        <xdr:cNvPr id="279" name="Picture 72">
          <a:extLst>
            <a:ext uri="{FF2B5EF4-FFF2-40B4-BE49-F238E27FC236}">
              <a16:creationId xmlns:a16="http://schemas.microsoft.com/office/drawing/2014/main" id="{95D6749A-7777-45F4-AD12-9DE03F74D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3470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495300</xdr:colOff>
      <xdr:row>274</xdr:row>
      <xdr:rowOff>352425</xdr:rowOff>
    </xdr:to>
    <xdr:pic>
      <xdr:nvPicPr>
        <xdr:cNvPr id="280" name="Picture 72">
          <a:extLst>
            <a:ext uri="{FF2B5EF4-FFF2-40B4-BE49-F238E27FC236}">
              <a16:creationId xmlns:a16="http://schemas.microsoft.com/office/drawing/2014/main" id="{0BE17B93-65BD-4379-A4DA-65723EA06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19325" y="15641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495300</xdr:colOff>
      <xdr:row>237</xdr:row>
      <xdr:rowOff>352425</xdr:rowOff>
    </xdr:to>
    <xdr:pic>
      <xdr:nvPicPr>
        <xdr:cNvPr id="281" name="Picture 70">
          <a:extLst>
            <a:ext uri="{FF2B5EF4-FFF2-40B4-BE49-F238E27FC236}">
              <a16:creationId xmlns:a16="http://schemas.microsoft.com/office/drawing/2014/main" id="{0CCA38A7-ECA0-483F-8C78-F08C7CC5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219325" y="13527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495300</xdr:colOff>
      <xdr:row>329</xdr:row>
      <xdr:rowOff>352425</xdr:rowOff>
    </xdr:to>
    <xdr:pic>
      <xdr:nvPicPr>
        <xdr:cNvPr id="282" name="Picture 120">
          <a:extLst>
            <a:ext uri="{FF2B5EF4-FFF2-40B4-BE49-F238E27FC236}">
              <a16:creationId xmlns:a16="http://schemas.microsoft.com/office/drawing/2014/main" id="{EEC6842E-BD42-461B-9E9C-464FB6FAF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219325" y="18785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495300</xdr:colOff>
      <xdr:row>331</xdr:row>
      <xdr:rowOff>352425</xdr:rowOff>
    </xdr:to>
    <xdr:pic>
      <xdr:nvPicPr>
        <xdr:cNvPr id="283" name="Picture 121">
          <a:extLst>
            <a:ext uri="{FF2B5EF4-FFF2-40B4-BE49-F238E27FC236}">
              <a16:creationId xmlns:a16="http://schemas.microsoft.com/office/drawing/2014/main" id="{BE3E2069-996E-4B95-B1B3-FF28708CB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19325" y="18899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495300</xdr:colOff>
      <xdr:row>26</xdr:row>
      <xdr:rowOff>361950</xdr:rowOff>
    </xdr:to>
    <xdr:pic>
      <xdr:nvPicPr>
        <xdr:cNvPr id="284" name="Picture 122">
          <a:extLst>
            <a:ext uri="{FF2B5EF4-FFF2-40B4-BE49-F238E27FC236}">
              <a16:creationId xmlns:a16="http://schemas.microsoft.com/office/drawing/2014/main" id="{F78D0FE1-8F16-4BFB-B422-97E9273C0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219325" y="146875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495300</xdr:colOff>
      <xdr:row>27</xdr:row>
      <xdr:rowOff>361950</xdr:rowOff>
    </xdr:to>
    <xdr:pic>
      <xdr:nvPicPr>
        <xdr:cNvPr id="285" name="Picture 123">
          <a:extLst>
            <a:ext uri="{FF2B5EF4-FFF2-40B4-BE49-F238E27FC236}">
              <a16:creationId xmlns:a16="http://schemas.microsoft.com/office/drawing/2014/main" id="{5B886C72-6912-499A-B525-606D837EB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219325" y="152590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495300</xdr:colOff>
      <xdr:row>10</xdr:row>
      <xdr:rowOff>352425</xdr:rowOff>
    </xdr:to>
    <xdr:pic>
      <xdr:nvPicPr>
        <xdr:cNvPr id="286" name="Picture 19">
          <a:extLst>
            <a:ext uri="{FF2B5EF4-FFF2-40B4-BE49-F238E27FC236}">
              <a16:creationId xmlns:a16="http://schemas.microsoft.com/office/drawing/2014/main" id="{AF53D3A3-6B67-4A31-AD60-01F40E942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219325" y="554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495300</xdr:colOff>
      <xdr:row>330</xdr:row>
      <xdr:rowOff>352425</xdr:rowOff>
    </xdr:to>
    <xdr:pic>
      <xdr:nvPicPr>
        <xdr:cNvPr id="287" name="Picture 21">
          <a:extLst>
            <a:ext uri="{FF2B5EF4-FFF2-40B4-BE49-F238E27FC236}">
              <a16:creationId xmlns:a16="http://schemas.microsoft.com/office/drawing/2014/main" id="{36D1FD22-8B7F-4B38-BD84-0B2C0C508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219325" y="18842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495300</xdr:colOff>
      <xdr:row>305</xdr:row>
      <xdr:rowOff>352425</xdr:rowOff>
    </xdr:to>
    <xdr:pic>
      <xdr:nvPicPr>
        <xdr:cNvPr id="288" name="Picture 23">
          <a:extLst>
            <a:ext uri="{FF2B5EF4-FFF2-40B4-BE49-F238E27FC236}">
              <a16:creationId xmlns:a16="http://schemas.microsoft.com/office/drawing/2014/main" id="{958503BD-E43F-4629-94E7-8C930FC6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219325" y="17413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495300</xdr:colOff>
      <xdr:row>256</xdr:row>
      <xdr:rowOff>352425</xdr:rowOff>
    </xdr:to>
    <xdr:pic>
      <xdr:nvPicPr>
        <xdr:cNvPr id="289" name="Picture 87">
          <a:extLst>
            <a:ext uri="{FF2B5EF4-FFF2-40B4-BE49-F238E27FC236}">
              <a16:creationId xmlns:a16="http://schemas.microsoft.com/office/drawing/2014/main" id="{CD0436DB-3B8A-4C97-A8A1-79307A25E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19325" y="14613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495300</xdr:colOff>
      <xdr:row>257</xdr:row>
      <xdr:rowOff>352425</xdr:rowOff>
    </xdr:to>
    <xdr:pic>
      <xdr:nvPicPr>
        <xdr:cNvPr id="290" name="Picture 88">
          <a:extLst>
            <a:ext uri="{FF2B5EF4-FFF2-40B4-BE49-F238E27FC236}">
              <a16:creationId xmlns:a16="http://schemas.microsoft.com/office/drawing/2014/main" id="{57A18149-3BA7-4D22-B72E-D08A97652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19325" y="14670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495300</xdr:colOff>
      <xdr:row>235</xdr:row>
      <xdr:rowOff>352425</xdr:rowOff>
    </xdr:to>
    <xdr:pic>
      <xdr:nvPicPr>
        <xdr:cNvPr id="291" name="Picture 89">
          <a:extLst>
            <a:ext uri="{FF2B5EF4-FFF2-40B4-BE49-F238E27FC236}">
              <a16:creationId xmlns:a16="http://schemas.microsoft.com/office/drawing/2014/main" id="{FD629D5C-88E4-46F8-92DF-6FF5BD55E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19325" y="13413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495300</xdr:colOff>
      <xdr:row>258</xdr:row>
      <xdr:rowOff>352425</xdr:rowOff>
    </xdr:to>
    <xdr:pic>
      <xdr:nvPicPr>
        <xdr:cNvPr id="292" name="Picture 90">
          <a:extLst>
            <a:ext uri="{FF2B5EF4-FFF2-40B4-BE49-F238E27FC236}">
              <a16:creationId xmlns:a16="http://schemas.microsoft.com/office/drawing/2014/main" id="{AA8F2199-63E5-430D-A72F-29C0B21D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19325" y="14727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495300</xdr:colOff>
      <xdr:row>232</xdr:row>
      <xdr:rowOff>352425</xdr:rowOff>
    </xdr:to>
    <xdr:pic>
      <xdr:nvPicPr>
        <xdr:cNvPr id="293" name="Picture 91">
          <a:extLst>
            <a:ext uri="{FF2B5EF4-FFF2-40B4-BE49-F238E27FC236}">
              <a16:creationId xmlns:a16="http://schemas.microsoft.com/office/drawing/2014/main" id="{E05186CF-3482-4B68-A4F8-19F443165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19325" y="13241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495300</xdr:colOff>
      <xdr:row>227</xdr:row>
      <xdr:rowOff>352425</xdr:rowOff>
    </xdr:to>
    <xdr:pic>
      <xdr:nvPicPr>
        <xdr:cNvPr id="294" name="Picture 87">
          <a:extLst>
            <a:ext uri="{FF2B5EF4-FFF2-40B4-BE49-F238E27FC236}">
              <a16:creationId xmlns:a16="http://schemas.microsoft.com/office/drawing/2014/main" id="{4C26BBC6-1E0A-417E-857F-14BC5D67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19325" y="12955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495300</xdr:colOff>
      <xdr:row>228</xdr:row>
      <xdr:rowOff>352425</xdr:rowOff>
    </xdr:to>
    <xdr:pic>
      <xdr:nvPicPr>
        <xdr:cNvPr id="295" name="Picture 88">
          <a:extLst>
            <a:ext uri="{FF2B5EF4-FFF2-40B4-BE49-F238E27FC236}">
              <a16:creationId xmlns:a16="http://schemas.microsoft.com/office/drawing/2014/main" id="{77687055-90E0-4EE2-8B15-4A6C2594C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19325" y="13013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495300</xdr:colOff>
      <xdr:row>223</xdr:row>
      <xdr:rowOff>352425</xdr:rowOff>
    </xdr:to>
    <xdr:pic>
      <xdr:nvPicPr>
        <xdr:cNvPr id="296" name="Picture 89">
          <a:extLst>
            <a:ext uri="{FF2B5EF4-FFF2-40B4-BE49-F238E27FC236}">
              <a16:creationId xmlns:a16="http://schemas.microsoft.com/office/drawing/2014/main" id="{6750B99E-3A27-4C6B-82F0-265686AB0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19325" y="12727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495300</xdr:colOff>
      <xdr:row>233</xdr:row>
      <xdr:rowOff>352425</xdr:rowOff>
    </xdr:to>
    <xdr:pic>
      <xdr:nvPicPr>
        <xdr:cNvPr id="297" name="Picture 24">
          <a:extLst>
            <a:ext uri="{FF2B5EF4-FFF2-40B4-BE49-F238E27FC236}">
              <a16:creationId xmlns:a16="http://schemas.microsoft.com/office/drawing/2014/main" id="{7A3226DC-BED8-4909-9AF8-752EEF26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19325" y="13298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495300</xdr:colOff>
      <xdr:row>254</xdr:row>
      <xdr:rowOff>352425</xdr:rowOff>
    </xdr:to>
    <xdr:pic>
      <xdr:nvPicPr>
        <xdr:cNvPr id="298" name="Picture 25">
          <a:extLst>
            <a:ext uri="{FF2B5EF4-FFF2-40B4-BE49-F238E27FC236}">
              <a16:creationId xmlns:a16="http://schemas.microsoft.com/office/drawing/2014/main" id="{77CB2436-F312-444E-B7E3-EF4E01AF4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19325" y="14498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495300</xdr:colOff>
      <xdr:row>8</xdr:row>
      <xdr:rowOff>352425</xdr:rowOff>
    </xdr:to>
    <xdr:pic>
      <xdr:nvPicPr>
        <xdr:cNvPr id="299" name="Picture 26">
          <a:extLst>
            <a:ext uri="{FF2B5EF4-FFF2-40B4-BE49-F238E27FC236}">
              <a16:creationId xmlns:a16="http://schemas.microsoft.com/office/drawing/2014/main" id="{DDDB4DB8-BC36-44CC-BEE8-A8ED2DE83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219325" y="440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276225</xdr:colOff>
      <xdr:row>32</xdr:row>
      <xdr:rowOff>381000</xdr:rowOff>
    </xdr:to>
    <xdr:pic>
      <xdr:nvPicPr>
        <xdr:cNvPr id="301" name="Picture 6">
          <a:extLst>
            <a:ext uri="{FF2B5EF4-FFF2-40B4-BE49-F238E27FC236}">
              <a16:creationId xmlns:a16="http://schemas.microsoft.com/office/drawing/2014/main" id="{0BE9BE93-C92E-4B60-B9F8-FEEB3E694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200275" y="18097500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3</xdr:col>
      <xdr:colOff>381000</xdr:colOff>
      <xdr:row>31</xdr:row>
      <xdr:rowOff>342900</xdr:rowOff>
    </xdr:to>
    <xdr:pic>
      <xdr:nvPicPr>
        <xdr:cNvPr id="302" name="Picture 4">
          <a:extLst>
            <a:ext uri="{FF2B5EF4-FFF2-40B4-BE49-F238E27FC236}">
              <a16:creationId xmlns:a16="http://schemas.microsoft.com/office/drawing/2014/main" id="{92F8CBAD-A752-4AF8-AB66-143F20A53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200275" y="17526000"/>
          <a:ext cx="3810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21166</xdr:colOff>
      <xdr:row>264</xdr:row>
      <xdr:rowOff>21166</xdr:rowOff>
    </xdr:from>
    <xdr:to>
      <xdr:col>3</xdr:col>
      <xdr:colOff>383116</xdr:colOff>
      <xdr:row>264</xdr:row>
      <xdr:rowOff>278341</xdr:rowOff>
    </xdr:to>
    <xdr:pic>
      <xdr:nvPicPr>
        <xdr:cNvPr id="303" name="Grafik 264" descr="003287_S1093_blau auf weiß.jpg">
          <a:extLst>
            <a:ext uri="{FF2B5EF4-FFF2-40B4-BE49-F238E27FC236}">
              <a16:creationId xmlns:a16="http://schemas.microsoft.com/office/drawing/2014/main" id="{828E2A30-05DF-40F1-82E4-AF56A8C54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21441" y="150706666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3</xdr:col>
      <xdr:colOff>381000</xdr:colOff>
      <xdr:row>169</xdr:row>
      <xdr:rowOff>266700</xdr:rowOff>
    </xdr:to>
    <xdr:pic>
      <xdr:nvPicPr>
        <xdr:cNvPr id="304" name="Picture 24">
          <a:extLst>
            <a:ext uri="{FF2B5EF4-FFF2-40B4-BE49-F238E27FC236}">
              <a16:creationId xmlns:a16="http://schemas.microsoft.com/office/drawing/2014/main" id="{09F71FCB-8A18-4AEF-8B39-92F54CE33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0275" y="9639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3</xdr:col>
      <xdr:colOff>476250</xdr:colOff>
      <xdr:row>325</xdr:row>
      <xdr:rowOff>333375</xdr:rowOff>
    </xdr:to>
    <xdr:pic>
      <xdr:nvPicPr>
        <xdr:cNvPr id="305" name="Picture 10">
          <a:extLst>
            <a:ext uri="{FF2B5EF4-FFF2-40B4-BE49-F238E27FC236}">
              <a16:creationId xmlns:a16="http://schemas.microsoft.com/office/drawing/2014/main" id="{33091920-0F19-4E1C-BD62-D312ECA8A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200275" y="185547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326</xdr:row>
      <xdr:rowOff>19050</xdr:rowOff>
    </xdr:from>
    <xdr:to>
      <xdr:col>3</xdr:col>
      <xdr:colOff>476250</xdr:colOff>
      <xdr:row>326</xdr:row>
      <xdr:rowOff>504825</xdr:rowOff>
    </xdr:to>
    <xdr:pic>
      <xdr:nvPicPr>
        <xdr:cNvPr id="306" name="Picture 1">
          <a:extLst>
            <a:ext uri="{FF2B5EF4-FFF2-40B4-BE49-F238E27FC236}">
              <a16:creationId xmlns:a16="http://schemas.microsoft.com/office/drawing/2014/main" id="{A381277B-2EB8-4487-9DAC-D11AB5045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200275" y="18613755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3</xdr:col>
      <xdr:colOff>476250</xdr:colOff>
      <xdr:row>327</xdr:row>
      <xdr:rowOff>485775</xdr:rowOff>
    </xdr:to>
    <xdr:pic>
      <xdr:nvPicPr>
        <xdr:cNvPr id="307" name="Picture 1">
          <a:extLst>
            <a:ext uri="{FF2B5EF4-FFF2-40B4-BE49-F238E27FC236}">
              <a16:creationId xmlns:a16="http://schemas.microsoft.com/office/drawing/2014/main" id="{3455B56C-152B-4996-B3DC-28FD86A7F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200275" y="18669000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466725</xdr:colOff>
      <xdr:row>318</xdr:row>
      <xdr:rowOff>390525</xdr:rowOff>
    </xdr:to>
    <xdr:pic>
      <xdr:nvPicPr>
        <xdr:cNvPr id="308" name="Grafik 4">
          <a:extLst>
            <a:ext uri="{FF2B5EF4-FFF2-40B4-BE49-F238E27FC236}">
              <a16:creationId xmlns:a16="http://schemas.microsoft.com/office/drawing/2014/main" id="{EA62C08A-724C-4ED3-9478-A3807714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219325" y="181565550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419100</xdr:colOff>
      <xdr:row>323</xdr:row>
      <xdr:rowOff>400050</xdr:rowOff>
    </xdr:to>
    <xdr:pic>
      <xdr:nvPicPr>
        <xdr:cNvPr id="309" name="Grafik 2">
          <a:extLst>
            <a:ext uri="{FF2B5EF4-FFF2-40B4-BE49-F238E27FC236}">
              <a16:creationId xmlns:a16="http://schemas.microsoft.com/office/drawing/2014/main" id="{5B38120B-7885-419D-8735-D6010885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219325" y="184423050"/>
          <a:ext cx="400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495300</xdr:colOff>
      <xdr:row>174</xdr:row>
      <xdr:rowOff>352425</xdr:rowOff>
    </xdr:to>
    <xdr:pic>
      <xdr:nvPicPr>
        <xdr:cNvPr id="310" name="Picture 11">
          <a:extLst>
            <a:ext uri="{FF2B5EF4-FFF2-40B4-BE49-F238E27FC236}">
              <a16:creationId xmlns:a16="http://schemas.microsoft.com/office/drawing/2014/main" id="{80399E8C-C917-43DE-8455-487FAA8F9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219325" y="9926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324</xdr:row>
      <xdr:rowOff>10583</xdr:rowOff>
    </xdr:from>
    <xdr:to>
      <xdr:col>3</xdr:col>
      <xdr:colOff>486833</xdr:colOff>
      <xdr:row>324</xdr:row>
      <xdr:rowOff>343958</xdr:rowOff>
    </xdr:to>
    <xdr:pic>
      <xdr:nvPicPr>
        <xdr:cNvPr id="311" name="Picture 2">
          <a:extLst>
            <a:ext uri="{FF2B5EF4-FFF2-40B4-BE49-F238E27FC236}">
              <a16:creationId xmlns:a16="http://schemas.microsoft.com/office/drawing/2014/main" id="{61C68F60-CC95-481B-B25E-B46038E75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210858" y="184986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328</xdr:row>
      <xdr:rowOff>21166</xdr:rowOff>
    </xdr:from>
    <xdr:to>
      <xdr:col>3</xdr:col>
      <xdr:colOff>486833</xdr:colOff>
      <xdr:row>328</xdr:row>
      <xdr:rowOff>354541</xdr:rowOff>
    </xdr:to>
    <xdr:pic>
      <xdr:nvPicPr>
        <xdr:cNvPr id="312" name="Picture 2">
          <a:extLst>
            <a:ext uri="{FF2B5EF4-FFF2-40B4-BE49-F238E27FC236}">
              <a16:creationId xmlns:a16="http://schemas.microsoft.com/office/drawing/2014/main" id="{9E2E4A50-5756-40F1-9DFB-3F40D68A6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10858" y="187282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21168</xdr:colOff>
      <xdr:row>70</xdr:row>
      <xdr:rowOff>10585</xdr:rowOff>
    </xdr:from>
    <xdr:to>
      <xdr:col>3</xdr:col>
      <xdr:colOff>497418</xdr:colOff>
      <xdr:row>70</xdr:row>
      <xdr:rowOff>343960</xdr:rowOff>
    </xdr:to>
    <xdr:pic>
      <xdr:nvPicPr>
        <xdr:cNvPr id="313" name="Picture 1">
          <a:extLst>
            <a:ext uri="{FF2B5EF4-FFF2-40B4-BE49-F238E27FC236}">
              <a16:creationId xmlns:a16="http://schemas.microsoft.com/office/drawing/2014/main" id="{270DD945-04E3-433D-B6F8-CE816B305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221443" y="3982508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71</xdr:row>
      <xdr:rowOff>10583</xdr:rowOff>
    </xdr:from>
    <xdr:to>
      <xdr:col>3</xdr:col>
      <xdr:colOff>486833</xdr:colOff>
      <xdr:row>71</xdr:row>
      <xdr:rowOff>343958</xdr:rowOff>
    </xdr:to>
    <xdr:pic>
      <xdr:nvPicPr>
        <xdr:cNvPr id="314" name="Picture 2">
          <a:extLst>
            <a:ext uri="{FF2B5EF4-FFF2-40B4-BE49-F238E27FC236}">
              <a16:creationId xmlns:a16="http://schemas.microsoft.com/office/drawing/2014/main" id="{AA212B4D-9087-4E9B-B8EC-525263A97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210858" y="403965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72</xdr:row>
      <xdr:rowOff>10583</xdr:rowOff>
    </xdr:from>
    <xdr:to>
      <xdr:col>3</xdr:col>
      <xdr:colOff>486833</xdr:colOff>
      <xdr:row>72</xdr:row>
      <xdr:rowOff>343958</xdr:rowOff>
    </xdr:to>
    <xdr:pic>
      <xdr:nvPicPr>
        <xdr:cNvPr id="315" name="Picture 3">
          <a:extLst>
            <a:ext uri="{FF2B5EF4-FFF2-40B4-BE49-F238E27FC236}">
              <a16:creationId xmlns:a16="http://schemas.microsoft.com/office/drawing/2014/main" id="{9BA300EC-6FCE-4EDB-9DC4-0AF1A3D7B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210858" y="40968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73</xdr:row>
      <xdr:rowOff>10583</xdr:rowOff>
    </xdr:from>
    <xdr:to>
      <xdr:col>3</xdr:col>
      <xdr:colOff>486833</xdr:colOff>
      <xdr:row>73</xdr:row>
      <xdr:rowOff>343958</xdr:rowOff>
    </xdr:to>
    <xdr:pic>
      <xdr:nvPicPr>
        <xdr:cNvPr id="316" name="Picture 4">
          <a:extLst>
            <a:ext uri="{FF2B5EF4-FFF2-40B4-BE49-F238E27FC236}">
              <a16:creationId xmlns:a16="http://schemas.microsoft.com/office/drawing/2014/main" id="{998C257D-7802-4E98-A62A-91A754BF5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210858" y="415395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74</xdr:row>
      <xdr:rowOff>10583</xdr:rowOff>
    </xdr:from>
    <xdr:to>
      <xdr:col>3</xdr:col>
      <xdr:colOff>486833</xdr:colOff>
      <xdr:row>74</xdr:row>
      <xdr:rowOff>343958</xdr:rowOff>
    </xdr:to>
    <xdr:pic>
      <xdr:nvPicPr>
        <xdr:cNvPr id="317" name="Picture 5">
          <a:extLst>
            <a:ext uri="{FF2B5EF4-FFF2-40B4-BE49-F238E27FC236}">
              <a16:creationId xmlns:a16="http://schemas.microsoft.com/office/drawing/2014/main" id="{A0C81B04-DB36-4D41-94F1-60FA9DAA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210858" y="42111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100</xdr:row>
      <xdr:rowOff>21166</xdr:rowOff>
    </xdr:from>
    <xdr:to>
      <xdr:col>3</xdr:col>
      <xdr:colOff>497416</xdr:colOff>
      <xdr:row>100</xdr:row>
      <xdr:rowOff>354541</xdr:rowOff>
    </xdr:to>
    <xdr:pic>
      <xdr:nvPicPr>
        <xdr:cNvPr id="318" name="Picture 1">
          <a:extLst>
            <a:ext uri="{FF2B5EF4-FFF2-40B4-BE49-F238E27FC236}">
              <a16:creationId xmlns:a16="http://schemas.microsoft.com/office/drawing/2014/main" id="{6B140540-ED3A-41A2-A7F2-F5197DE25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221441" y="56980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101</xdr:row>
      <xdr:rowOff>21166</xdr:rowOff>
    </xdr:from>
    <xdr:to>
      <xdr:col>3</xdr:col>
      <xdr:colOff>497416</xdr:colOff>
      <xdr:row>101</xdr:row>
      <xdr:rowOff>354541</xdr:rowOff>
    </xdr:to>
    <xdr:pic>
      <xdr:nvPicPr>
        <xdr:cNvPr id="319" name="Picture 2">
          <a:extLst>
            <a:ext uri="{FF2B5EF4-FFF2-40B4-BE49-F238E27FC236}">
              <a16:creationId xmlns:a16="http://schemas.microsoft.com/office/drawing/2014/main" id="{28BF3188-BCBF-42B7-BF1C-CA65BBE0D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221441" y="57552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102</xdr:row>
      <xdr:rowOff>21166</xdr:rowOff>
    </xdr:from>
    <xdr:to>
      <xdr:col>3</xdr:col>
      <xdr:colOff>497416</xdr:colOff>
      <xdr:row>102</xdr:row>
      <xdr:rowOff>354541</xdr:rowOff>
    </xdr:to>
    <xdr:pic>
      <xdr:nvPicPr>
        <xdr:cNvPr id="320" name="Picture 4">
          <a:extLst>
            <a:ext uri="{FF2B5EF4-FFF2-40B4-BE49-F238E27FC236}">
              <a16:creationId xmlns:a16="http://schemas.microsoft.com/office/drawing/2014/main" id="{BF7D637C-47C0-440A-8086-3419C9174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221441" y="58123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107</xdr:row>
      <xdr:rowOff>21166</xdr:rowOff>
    </xdr:from>
    <xdr:to>
      <xdr:col>3</xdr:col>
      <xdr:colOff>497416</xdr:colOff>
      <xdr:row>107</xdr:row>
      <xdr:rowOff>354541</xdr:rowOff>
    </xdr:to>
    <xdr:pic>
      <xdr:nvPicPr>
        <xdr:cNvPr id="321" name="Picture 1">
          <a:extLst>
            <a:ext uri="{FF2B5EF4-FFF2-40B4-BE49-F238E27FC236}">
              <a16:creationId xmlns:a16="http://schemas.microsoft.com/office/drawing/2014/main" id="{2F73FB00-585E-4F09-8729-62A7DA7FF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221441" y="60981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108</xdr:row>
      <xdr:rowOff>21166</xdr:rowOff>
    </xdr:from>
    <xdr:to>
      <xdr:col>3</xdr:col>
      <xdr:colOff>497416</xdr:colOff>
      <xdr:row>108</xdr:row>
      <xdr:rowOff>354541</xdr:rowOff>
    </xdr:to>
    <xdr:pic>
      <xdr:nvPicPr>
        <xdr:cNvPr id="322" name="Picture 1">
          <a:extLst>
            <a:ext uri="{FF2B5EF4-FFF2-40B4-BE49-F238E27FC236}">
              <a16:creationId xmlns:a16="http://schemas.microsoft.com/office/drawing/2014/main" id="{A32E8ED3-AEC7-4D4F-B2C9-0FD1CB74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221441" y="615526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109</xdr:row>
      <xdr:rowOff>21166</xdr:rowOff>
    </xdr:from>
    <xdr:to>
      <xdr:col>3</xdr:col>
      <xdr:colOff>497416</xdr:colOff>
      <xdr:row>109</xdr:row>
      <xdr:rowOff>354541</xdr:rowOff>
    </xdr:to>
    <xdr:pic>
      <xdr:nvPicPr>
        <xdr:cNvPr id="323" name="Picture 3">
          <a:extLst>
            <a:ext uri="{FF2B5EF4-FFF2-40B4-BE49-F238E27FC236}">
              <a16:creationId xmlns:a16="http://schemas.microsoft.com/office/drawing/2014/main" id="{512E4120-0C69-45A2-B954-7A7CAD5E4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221441" y="62124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315</xdr:row>
      <xdr:rowOff>31749</xdr:rowOff>
    </xdr:from>
    <xdr:to>
      <xdr:col>3</xdr:col>
      <xdr:colOff>486833</xdr:colOff>
      <xdr:row>315</xdr:row>
      <xdr:rowOff>365124</xdr:rowOff>
    </xdr:to>
    <xdr:pic>
      <xdr:nvPicPr>
        <xdr:cNvPr id="324" name="Picture 4">
          <a:extLst>
            <a:ext uri="{FF2B5EF4-FFF2-40B4-BE49-F238E27FC236}">
              <a16:creationId xmlns:a16="http://schemas.microsoft.com/office/drawing/2014/main" id="{FBF4ECE0-3036-456B-9FAD-9C3DEACF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210858" y="1798637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10583</xdr:colOff>
      <xdr:row>172</xdr:row>
      <xdr:rowOff>31749</xdr:rowOff>
    </xdr:from>
    <xdr:to>
      <xdr:col>3</xdr:col>
      <xdr:colOff>486773</xdr:colOff>
      <xdr:row>172</xdr:row>
      <xdr:rowOff>365082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A80CDC34-48DD-4D11-8206-F598E91C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210858" y="98139249"/>
          <a:ext cx="476190" cy="333333"/>
        </a:xfrm>
        <a:prstGeom prst="rect">
          <a:avLst/>
        </a:prstGeom>
      </xdr:spPr>
    </xdr:pic>
    <xdr:clientData fLocksWithSheet="0"/>
  </xdr:twoCellAnchor>
  <xdr:twoCellAnchor>
    <xdr:from>
      <xdr:col>3</xdr:col>
      <xdr:colOff>21166</xdr:colOff>
      <xdr:row>307</xdr:row>
      <xdr:rowOff>21166</xdr:rowOff>
    </xdr:from>
    <xdr:to>
      <xdr:col>3</xdr:col>
      <xdr:colOff>497356</xdr:colOff>
      <xdr:row>307</xdr:row>
      <xdr:rowOff>354499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877F671F-6BCF-43CA-A663-689585E6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221441" y="175281166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31750</xdr:colOff>
      <xdr:row>299</xdr:row>
      <xdr:rowOff>31750</xdr:rowOff>
    </xdr:from>
    <xdr:to>
      <xdr:col>3</xdr:col>
      <xdr:colOff>508000</xdr:colOff>
      <xdr:row>299</xdr:row>
      <xdr:rowOff>365125</xdr:rowOff>
    </xdr:to>
    <xdr:pic>
      <xdr:nvPicPr>
        <xdr:cNvPr id="327" name="Picture 164">
          <a:extLst>
            <a:ext uri="{FF2B5EF4-FFF2-40B4-BE49-F238E27FC236}">
              <a16:creationId xmlns:a16="http://schemas.microsoft.com/office/drawing/2014/main" id="{238B932F-287C-4CCA-BB96-61D31340F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232025" y="1707197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21166</xdr:colOff>
      <xdr:row>300</xdr:row>
      <xdr:rowOff>31749</xdr:rowOff>
    </xdr:from>
    <xdr:to>
      <xdr:col>3</xdr:col>
      <xdr:colOff>497416</xdr:colOff>
      <xdr:row>300</xdr:row>
      <xdr:rowOff>365124</xdr:rowOff>
    </xdr:to>
    <xdr:pic>
      <xdr:nvPicPr>
        <xdr:cNvPr id="328" name="Picture 170">
          <a:extLst>
            <a:ext uri="{FF2B5EF4-FFF2-40B4-BE49-F238E27FC236}">
              <a16:creationId xmlns:a16="http://schemas.microsoft.com/office/drawing/2014/main" id="{3E29CEE2-8130-42DB-889E-643E52622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221441" y="1712912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21166</xdr:colOff>
      <xdr:row>332</xdr:row>
      <xdr:rowOff>21166</xdr:rowOff>
    </xdr:from>
    <xdr:to>
      <xdr:col>3</xdr:col>
      <xdr:colOff>497356</xdr:colOff>
      <xdr:row>332</xdr:row>
      <xdr:rowOff>354499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ED2170F6-925D-4EFF-AC69-29F502E0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221441" y="189568666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333</xdr:row>
      <xdr:rowOff>21166</xdr:rowOff>
    </xdr:from>
    <xdr:to>
      <xdr:col>3</xdr:col>
      <xdr:colOff>497356</xdr:colOff>
      <xdr:row>333</xdr:row>
      <xdr:rowOff>354499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657C230-4893-42EE-B691-CF8D989C1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221441" y="190140166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334</xdr:row>
      <xdr:rowOff>21166</xdr:rowOff>
    </xdr:from>
    <xdr:to>
      <xdr:col>3</xdr:col>
      <xdr:colOff>497356</xdr:colOff>
      <xdr:row>334</xdr:row>
      <xdr:rowOff>354499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165FB0BA-F704-4FB5-91FC-788499EE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21441" y="190711666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342</xdr:row>
      <xdr:rowOff>10583</xdr:rowOff>
    </xdr:from>
    <xdr:to>
      <xdr:col>3</xdr:col>
      <xdr:colOff>497416</xdr:colOff>
      <xdr:row>342</xdr:row>
      <xdr:rowOff>343958</xdr:rowOff>
    </xdr:to>
    <xdr:pic>
      <xdr:nvPicPr>
        <xdr:cNvPr id="332" name="Picture 11">
          <a:extLst>
            <a:ext uri="{FF2B5EF4-FFF2-40B4-BE49-F238E27FC236}">
              <a16:creationId xmlns:a16="http://schemas.microsoft.com/office/drawing/2014/main" id="{3CFD2971-6D3E-4C7A-AAB0-4650336D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21441" y="195273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341</xdr:row>
      <xdr:rowOff>10583</xdr:rowOff>
    </xdr:from>
    <xdr:to>
      <xdr:col>3</xdr:col>
      <xdr:colOff>497416</xdr:colOff>
      <xdr:row>341</xdr:row>
      <xdr:rowOff>343958</xdr:rowOff>
    </xdr:to>
    <xdr:pic>
      <xdr:nvPicPr>
        <xdr:cNvPr id="333" name="Picture 16">
          <a:extLst>
            <a:ext uri="{FF2B5EF4-FFF2-40B4-BE49-F238E27FC236}">
              <a16:creationId xmlns:a16="http://schemas.microsoft.com/office/drawing/2014/main" id="{78AD7FB0-8F42-4607-B301-24C24B54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21441" y="1947015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339</xdr:row>
      <xdr:rowOff>21166</xdr:rowOff>
    </xdr:from>
    <xdr:to>
      <xdr:col>3</xdr:col>
      <xdr:colOff>497416</xdr:colOff>
      <xdr:row>339</xdr:row>
      <xdr:rowOff>354541</xdr:rowOff>
    </xdr:to>
    <xdr:pic>
      <xdr:nvPicPr>
        <xdr:cNvPr id="334" name="Picture 14">
          <a:extLst>
            <a:ext uri="{FF2B5EF4-FFF2-40B4-BE49-F238E27FC236}">
              <a16:creationId xmlns:a16="http://schemas.microsoft.com/office/drawing/2014/main" id="{B4326076-B53B-41B4-87DD-6FF3159F4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21441" y="193569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340</xdr:row>
      <xdr:rowOff>10583</xdr:rowOff>
    </xdr:from>
    <xdr:to>
      <xdr:col>3</xdr:col>
      <xdr:colOff>497416</xdr:colOff>
      <xdr:row>340</xdr:row>
      <xdr:rowOff>343958</xdr:rowOff>
    </xdr:to>
    <xdr:pic>
      <xdr:nvPicPr>
        <xdr:cNvPr id="335" name="Picture 18">
          <a:extLst>
            <a:ext uri="{FF2B5EF4-FFF2-40B4-BE49-F238E27FC236}">
              <a16:creationId xmlns:a16="http://schemas.microsoft.com/office/drawing/2014/main" id="{FB721B29-2641-4A55-AAE3-0A6BCECC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21441" y="194130083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21166</xdr:colOff>
      <xdr:row>335</xdr:row>
      <xdr:rowOff>21166</xdr:rowOff>
    </xdr:from>
    <xdr:to>
      <xdr:col>3</xdr:col>
      <xdr:colOff>497416</xdr:colOff>
      <xdr:row>335</xdr:row>
      <xdr:rowOff>354541</xdr:rowOff>
    </xdr:to>
    <xdr:pic>
      <xdr:nvPicPr>
        <xdr:cNvPr id="336" name="Picture 1">
          <a:extLst>
            <a:ext uri="{FF2B5EF4-FFF2-40B4-BE49-F238E27FC236}">
              <a16:creationId xmlns:a16="http://schemas.microsoft.com/office/drawing/2014/main" id="{FCF294CE-B9A8-4991-B91B-93DBD6827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21441" y="191283166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31750</xdr:colOff>
      <xdr:row>336</xdr:row>
      <xdr:rowOff>52918</xdr:rowOff>
    </xdr:from>
    <xdr:to>
      <xdr:col>3</xdr:col>
      <xdr:colOff>497476</xdr:colOff>
      <xdr:row>336</xdr:row>
      <xdr:rowOff>378926</xdr:rowOff>
    </xdr:to>
    <xdr:pic>
      <xdr:nvPicPr>
        <xdr:cNvPr id="337" name="Picture 82">
          <a:extLst>
            <a:ext uri="{FF2B5EF4-FFF2-40B4-BE49-F238E27FC236}">
              <a16:creationId xmlns:a16="http://schemas.microsoft.com/office/drawing/2014/main" id="{7F684102-7A80-4F53-8E7C-E912BDFE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32025" y="191886418"/>
          <a:ext cx="465726" cy="326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21167</xdr:colOff>
      <xdr:row>337</xdr:row>
      <xdr:rowOff>79376</xdr:rowOff>
    </xdr:from>
    <xdr:to>
      <xdr:col>3</xdr:col>
      <xdr:colOff>486893</xdr:colOff>
      <xdr:row>337</xdr:row>
      <xdr:rowOff>414699</xdr:rowOff>
    </xdr:to>
    <xdr:pic>
      <xdr:nvPicPr>
        <xdr:cNvPr id="338" name="Picture 85">
          <a:extLst>
            <a:ext uri="{FF2B5EF4-FFF2-40B4-BE49-F238E27FC236}">
              <a16:creationId xmlns:a16="http://schemas.microsoft.com/office/drawing/2014/main" id="{9C5DF9FF-C319-4AD4-9F32-10551170C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21442" y="192484376"/>
          <a:ext cx="465726" cy="335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31750</xdr:colOff>
      <xdr:row>338</xdr:row>
      <xdr:rowOff>74084</xdr:rowOff>
    </xdr:from>
    <xdr:to>
      <xdr:col>3</xdr:col>
      <xdr:colOff>497417</xdr:colOff>
      <xdr:row>338</xdr:row>
      <xdr:rowOff>400051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4D17A17C-CF06-45CA-BD13-457AE33D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232025" y="193050584"/>
          <a:ext cx="465667" cy="325967"/>
        </a:xfrm>
        <a:prstGeom prst="rect">
          <a:avLst/>
        </a:prstGeom>
      </xdr:spPr>
    </xdr:pic>
    <xdr:clientData/>
  </xdr:twoCellAnchor>
  <xdr:twoCellAnchor>
    <xdr:from>
      <xdr:col>3</xdr:col>
      <xdr:colOff>21166</xdr:colOff>
      <xdr:row>343</xdr:row>
      <xdr:rowOff>31749</xdr:rowOff>
    </xdr:from>
    <xdr:to>
      <xdr:col>3</xdr:col>
      <xdr:colOff>497416</xdr:colOff>
      <xdr:row>343</xdr:row>
      <xdr:rowOff>365124</xdr:rowOff>
    </xdr:to>
    <xdr:pic>
      <xdr:nvPicPr>
        <xdr:cNvPr id="340" name="Picture 151">
          <a:extLst>
            <a:ext uri="{FF2B5EF4-FFF2-40B4-BE49-F238E27FC236}">
              <a16:creationId xmlns:a16="http://schemas.microsoft.com/office/drawing/2014/main" id="{27BC7B8F-0EA2-4A10-8CE4-058700F01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21441" y="195865749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3</xdr:col>
      <xdr:colOff>31749</xdr:colOff>
      <xdr:row>304</xdr:row>
      <xdr:rowOff>52915</xdr:rowOff>
    </xdr:from>
    <xdr:to>
      <xdr:col>3</xdr:col>
      <xdr:colOff>507939</xdr:colOff>
      <xdr:row>304</xdr:row>
      <xdr:rowOff>386248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BE034AFA-BE9B-4D33-A8A2-03963DE2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232024" y="173598415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137583</xdr:colOff>
      <xdr:row>344</xdr:row>
      <xdr:rowOff>105833</xdr:rowOff>
    </xdr:from>
    <xdr:to>
      <xdr:col>3</xdr:col>
      <xdr:colOff>451908</xdr:colOff>
      <xdr:row>344</xdr:row>
      <xdr:rowOff>420158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E363AE86-F40D-404C-9A18-97408029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337858" y="196511333"/>
          <a:ext cx="314325" cy="3143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276225</xdr:colOff>
      <xdr:row>32</xdr:row>
      <xdr:rowOff>381000</xdr:rowOff>
    </xdr:to>
    <xdr:pic>
      <xdr:nvPicPr>
        <xdr:cNvPr id="343" name="Picture 6">
          <a:extLst>
            <a:ext uri="{FF2B5EF4-FFF2-40B4-BE49-F238E27FC236}">
              <a16:creationId xmlns:a16="http://schemas.microsoft.com/office/drawing/2014/main" id="{54EF1BEC-2C5A-4781-8F93-6657022C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200275" y="18097500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345</xdr:row>
      <xdr:rowOff>127001</xdr:rowOff>
    </xdr:from>
    <xdr:to>
      <xdr:col>3</xdr:col>
      <xdr:colOff>465667</xdr:colOff>
      <xdr:row>345</xdr:row>
      <xdr:rowOff>497418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8FB61B6A-4107-4CBD-AEB2-BFD323BF5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95525" y="197104001"/>
          <a:ext cx="370417" cy="370417"/>
        </a:xfrm>
        <a:prstGeom prst="rect">
          <a:avLst/>
        </a:prstGeom>
      </xdr:spPr>
    </xdr:pic>
    <xdr:clientData/>
  </xdr:twoCellAnchor>
  <xdr:twoCellAnchor>
    <xdr:from>
      <xdr:col>3</xdr:col>
      <xdr:colOff>42332</xdr:colOff>
      <xdr:row>346</xdr:row>
      <xdr:rowOff>42332</xdr:rowOff>
    </xdr:from>
    <xdr:to>
      <xdr:col>3</xdr:col>
      <xdr:colOff>499532</xdr:colOff>
      <xdr:row>346</xdr:row>
      <xdr:rowOff>362372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B49E4F07-C54C-44F2-B2FA-9111EDC8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607" y="197590832"/>
          <a:ext cx="457200" cy="320040"/>
        </a:xfrm>
        <a:prstGeom prst="rect">
          <a:avLst/>
        </a:prstGeom>
      </xdr:spPr>
    </xdr:pic>
    <xdr:clientData/>
  </xdr:twoCellAnchor>
  <xdr:twoCellAnchor>
    <xdr:from>
      <xdr:col>3</xdr:col>
      <xdr:colOff>52915</xdr:colOff>
      <xdr:row>9</xdr:row>
      <xdr:rowOff>63498</xdr:rowOff>
    </xdr:from>
    <xdr:to>
      <xdr:col>3</xdr:col>
      <xdr:colOff>510115</xdr:colOff>
      <xdr:row>9</xdr:row>
      <xdr:rowOff>383538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545EC95E-4F6A-468A-A82C-A8894881B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190" y="5016498"/>
          <a:ext cx="457200" cy="3200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3</xdr:col>
      <xdr:colOff>476190</xdr:colOff>
      <xdr:row>295</xdr:row>
      <xdr:rowOff>333333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75CE6D65-8DA1-4E48-8FF0-BD6FDA2A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200275" y="168402000"/>
          <a:ext cx="476190" cy="333333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</xdr:row>
      <xdr:rowOff>19050</xdr:rowOff>
    </xdr:from>
    <xdr:to>
      <xdr:col>3</xdr:col>
      <xdr:colOff>495300</xdr:colOff>
      <xdr:row>2</xdr:row>
      <xdr:rowOff>352425</xdr:rowOff>
    </xdr:to>
    <xdr:pic>
      <xdr:nvPicPr>
        <xdr:cNvPr id="349" name="Picture 27">
          <a:extLst>
            <a:ext uri="{FF2B5EF4-FFF2-40B4-BE49-F238E27FC236}">
              <a16:creationId xmlns:a16="http://schemas.microsoft.com/office/drawing/2014/main" id="{0A7279FE-9D44-4E47-824C-20FEF9A03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219325" y="97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1057275</xdr:colOff>
      <xdr:row>53</xdr:row>
      <xdr:rowOff>19050</xdr:rowOff>
    </xdr:from>
    <xdr:to>
      <xdr:col>10</xdr:col>
      <xdr:colOff>1304925</xdr:colOff>
      <xdr:row>54</xdr:row>
      <xdr:rowOff>95250</xdr:rowOff>
    </xdr:to>
    <xdr:sp macro="" textlink="">
      <xdr:nvSpPr>
        <xdr:cNvPr id="2049" name="Freeform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SpPr>
          <a:spLocks/>
        </xdr:cNvSpPr>
      </xdr:nvSpPr>
      <xdr:spPr bwMode="auto">
        <a:xfrm>
          <a:off x="9896475" y="7515225"/>
          <a:ext cx="0" cy="238125"/>
        </a:xfrm>
        <a:custGeom>
          <a:avLst/>
          <a:gdLst>
            <a:gd name="T0" fmla="*/ 0 w 42"/>
            <a:gd name="T1" fmla="*/ 23 h 23"/>
            <a:gd name="T2" fmla="*/ 42 w 42"/>
            <a:gd name="T3" fmla="*/ 23 h 23"/>
            <a:gd name="T4" fmla="*/ 42 w 42"/>
            <a:gd name="T5" fmla="*/ 0 h 23"/>
            <a:gd name="T6" fmla="*/ 0 60000 65536"/>
            <a:gd name="T7" fmla="*/ 0 60000 65536"/>
            <a:gd name="T8" fmla="*/ 0 60000 65536"/>
            <a:gd name="T9" fmla="*/ 0 w 42"/>
            <a:gd name="T10" fmla="*/ 0 h 23"/>
            <a:gd name="T11" fmla="*/ 42 w 42"/>
            <a:gd name="T12" fmla="*/ 23 h 2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2" h="23">
              <a:moveTo>
                <a:pt x="0" y="23"/>
              </a:moveTo>
              <a:lnTo>
                <a:pt x="42" y="23"/>
              </a:lnTo>
              <a:lnTo>
                <a:pt x="42" y="0"/>
              </a:lnTo>
            </a:path>
          </a:pathLst>
        </a:custGeom>
        <a:noFill/>
        <a:ln w="1905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34636</xdr:colOff>
      <xdr:row>2</xdr:row>
      <xdr:rowOff>25977</xdr:rowOff>
    </xdr:from>
    <xdr:to>
      <xdr:col>5</xdr:col>
      <xdr:colOff>510886</xdr:colOff>
      <xdr:row>2</xdr:row>
      <xdr:rowOff>359352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41F00690-81B0-4E2F-B43B-F5150F3D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54136" y="223396752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20</xdr:row>
      <xdr:rowOff>0</xdr:rowOff>
    </xdr:from>
    <xdr:to>
      <xdr:col>6</xdr:col>
      <xdr:colOff>381000</xdr:colOff>
      <xdr:row>20</xdr:row>
      <xdr:rowOff>266700</xdr:rowOff>
    </xdr:to>
    <xdr:sp macro="" textlink="">
      <xdr:nvSpPr>
        <xdr:cNvPr id="2" name="Picture 2">
          <a:extLst>
            <a:ext uri="{FF2B5EF4-FFF2-40B4-BE49-F238E27FC236}">
              <a16:creationId xmlns:a16="http://schemas.microsoft.com/office/drawing/2014/main" id="{2A2125A5-ACC2-4F55-9C25-71CCA451F6FB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3152775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4</xdr:col>
      <xdr:colOff>381000</xdr:colOff>
      <xdr:row>8</xdr:row>
      <xdr:rowOff>266700</xdr:rowOff>
    </xdr:to>
    <xdr:pic>
      <xdr:nvPicPr>
        <xdr:cNvPr id="36" name="Grafik 94" descr="001997_Saar-Schlesien-Weg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86700" y="4381500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571500</xdr:rowOff>
    </xdr:from>
    <xdr:to>
      <xdr:col>0</xdr:col>
      <xdr:colOff>409575</xdr:colOff>
      <xdr:row>302</xdr:row>
      <xdr:rowOff>0</xdr:rowOff>
    </xdr:to>
    <xdr:pic>
      <xdr:nvPicPr>
        <xdr:cNvPr id="57" name="Picture 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00275" y="1724025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84</xdr:row>
      <xdr:rowOff>0</xdr:rowOff>
    </xdr:from>
    <xdr:to>
      <xdr:col>3</xdr:col>
      <xdr:colOff>381000</xdr:colOff>
      <xdr:row>84</xdr:row>
      <xdr:rowOff>266700</xdr:rowOff>
    </xdr:to>
    <xdr:pic>
      <xdr:nvPicPr>
        <xdr:cNvPr id="142" name="Grafik 161" descr="003376_S1071_blau-auf-weiss.jpg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47434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3</xdr:col>
      <xdr:colOff>381000</xdr:colOff>
      <xdr:row>120</xdr:row>
      <xdr:rowOff>257175</xdr:rowOff>
    </xdr:to>
    <xdr:pic>
      <xdr:nvPicPr>
        <xdr:cNvPr id="143" name="Picture 14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674370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3</xdr:col>
      <xdr:colOff>381000</xdr:colOff>
      <xdr:row>82</xdr:row>
      <xdr:rowOff>266700</xdr:rowOff>
    </xdr:to>
    <xdr:pic>
      <xdr:nvPicPr>
        <xdr:cNvPr id="144" name="Picture 16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46291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3</xdr:col>
      <xdr:colOff>381000</xdr:colOff>
      <xdr:row>43</xdr:row>
      <xdr:rowOff>266700</xdr:rowOff>
    </xdr:to>
    <xdr:pic>
      <xdr:nvPicPr>
        <xdr:cNvPr id="145" name="Picture 16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2400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381000</xdr:colOff>
      <xdr:row>15</xdr:row>
      <xdr:rowOff>266700</xdr:rowOff>
    </xdr:to>
    <xdr:pic>
      <xdr:nvPicPr>
        <xdr:cNvPr id="146" name="Picture 20" descr="G:\GRAFIK-DOKUMENTE\Logos-Zeichen-Banner\Markierungen Digitales Wegenetz\BMP_JPG - Breite 40 Pixel\JPG\006500_Rotmain-Wanderweg.jpg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85975" y="8572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381000</xdr:colOff>
      <xdr:row>16</xdr:row>
      <xdr:rowOff>266700</xdr:rowOff>
    </xdr:to>
    <xdr:pic>
      <xdr:nvPicPr>
        <xdr:cNvPr id="147" name="Picture 21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85975" y="9144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381000</xdr:colOff>
      <xdr:row>39</xdr:row>
      <xdr:rowOff>266700</xdr:rowOff>
    </xdr:to>
    <xdr:pic>
      <xdr:nvPicPr>
        <xdr:cNvPr id="148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85975" y="2171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3</xdr:col>
      <xdr:colOff>381000</xdr:colOff>
      <xdr:row>72</xdr:row>
      <xdr:rowOff>266700</xdr:rowOff>
    </xdr:to>
    <xdr:pic>
      <xdr:nvPicPr>
        <xdr:cNvPr id="149" name="Picture 23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40576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3</xdr:col>
      <xdr:colOff>381000</xdr:colOff>
      <xdr:row>88</xdr:row>
      <xdr:rowOff>266700</xdr:rowOff>
    </xdr:to>
    <xdr:pic>
      <xdr:nvPicPr>
        <xdr:cNvPr id="150" name="Picture 22" descr="G:\GRAFIK-DOKUMENTE\Logos-Zeichen-Banner\Markierungen Digitales Wegenetz\BMP_JPG - Breite 40 Pixel\JPG\003378_S1310_blau auf weiss_Wanderweg 85 (Brand b.Marktredwitz-Lindenberg).jpg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85975" y="49720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381000</xdr:colOff>
      <xdr:row>83</xdr:row>
      <xdr:rowOff>266700</xdr:rowOff>
    </xdr:to>
    <xdr:pic>
      <xdr:nvPicPr>
        <xdr:cNvPr id="151" name="Picture 24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4686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3</xdr:col>
      <xdr:colOff>381000</xdr:colOff>
      <xdr:row>86</xdr:row>
      <xdr:rowOff>266700</xdr:rowOff>
    </xdr:to>
    <xdr:pic>
      <xdr:nvPicPr>
        <xdr:cNvPr id="152" name="Picture 24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48577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3</xdr:col>
      <xdr:colOff>304800</xdr:colOff>
      <xdr:row>89</xdr:row>
      <xdr:rowOff>304800</xdr:rowOff>
    </xdr:to>
    <xdr:pic>
      <xdr:nvPicPr>
        <xdr:cNvPr id="153" name="Picture 25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50292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381000</xdr:colOff>
      <xdr:row>107</xdr:row>
      <xdr:rowOff>247650</xdr:rowOff>
    </xdr:to>
    <xdr:pic>
      <xdr:nvPicPr>
        <xdr:cNvPr id="154" name="Picture 26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5" y="60007500"/>
          <a:ext cx="3810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3</xdr:col>
      <xdr:colOff>381000</xdr:colOff>
      <xdr:row>10</xdr:row>
      <xdr:rowOff>266700</xdr:rowOff>
    </xdr:to>
    <xdr:pic>
      <xdr:nvPicPr>
        <xdr:cNvPr id="155" name="Picture 44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571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3</xdr:col>
      <xdr:colOff>361950</xdr:colOff>
      <xdr:row>9</xdr:row>
      <xdr:rowOff>257175</xdr:rowOff>
    </xdr:to>
    <xdr:pic>
      <xdr:nvPicPr>
        <xdr:cNvPr id="156" name="Picture 45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85975" y="5143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381000</xdr:colOff>
      <xdr:row>7</xdr:row>
      <xdr:rowOff>295275</xdr:rowOff>
    </xdr:to>
    <xdr:pic>
      <xdr:nvPicPr>
        <xdr:cNvPr id="157" name="Picture 47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000500"/>
          <a:ext cx="3810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381000</xdr:colOff>
      <xdr:row>5</xdr:row>
      <xdr:rowOff>266700</xdr:rowOff>
    </xdr:to>
    <xdr:pic>
      <xdr:nvPicPr>
        <xdr:cNvPr id="158" name="Picture 48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85975" y="2857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381000</xdr:colOff>
      <xdr:row>4</xdr:row>
      <xdr:rowOff>276225</xdr:rowOff>
    </xdr:to>
    <xdr:pic>
      <xdr:nvPicPr>
        <xdr:cNvPr id="159" name="Picture 49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85975" y="2286000"/>
          <a:ext cx="381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381000</xdr:colOff>
      <xdr:row>2</xdr:row>
      <xdr:rowOff>266700</xdr:rowOff>
    </xdr:to>
    <xdr:pic>
      <xdr:nvPicPr>
        <xdr:cNvPr id="160" name="Picture 57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85975" y="114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</xdr:row>
      <xdr:rowOff>0</xdr:rowOff>
    </xdr:from>
    <xdr:to>
      <xdr:col>3</xdr:col>
      <xdr:colOff>323850</xdr:colOff>
      <xdr:row>1</xdr:row>
      <xdr:rowOff>323850</xdr:rowOff>
    </xdr:to>
    <xdr:pic>
      <xdr:nvPicPr>
        <xdr:cNvPr id="161" name="Picture 58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85975" y="57150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3</xdr:col>
      <xdr:colOff>381000</xdr:colOff>
      <xdr:row>121</xdr:row>
      <xdr:rowOff>257175</xdr:rowOff>
    </xdr:to>
    <xdr:pic>
      <xdr:nvPicPr>
        <xdr:cNvPr id="162" name="Picture 59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68008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3</xdr:col>
      <xdr:colOff>381000</xdr:colOff>
      <xdr:row>122</xdr:row>
      <xdr:rowOff>257175</xdr:rowOff>
    </xdr:to>
    <xdr:pic>
      <xdr:nvPicPr>
        <xdr:cNvPr id="163" name="Picture 59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68580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3</xdr:col>
      <xdr:colOff>381000</xdr:colOff>
      <xdr:row>123</xdr:row>
      <xdr:rowOff>257175</xdr:rowOff>
    </xdr:to>
    <xdr:pic>
      <xdr:nvPicPr>
        <xdr:cNvPr id="164" name="Picture 59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69151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3</xdr:col>
      <xdr:colOff>381000</xdr:colOff>
      <xdr:row>124</xdr:row>
      <xdr:rowOff>257175</xdr:rowOff>
    </xdr:to>
    <xdr:pic>
      <xdr:nvPicPr>
        <xdr:cNvPr id="165" name="Picture 59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69723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3</xdr:col>
      <xdr:colOff>381000</xdr:colOff>
      <xdr:row>125</xdr:row>
      <xdr:rowOff>257175</xdr:rowOff>
    </xdr:to>
    <xdr:pic>
      <xdr:nvPicPr>
        <xdr:cNvPr id="166" name="Picture 59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0294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3</xdr:col>
      <xdr:colOff>381000</xdr:colOff>
      <xdr:row>126</xdr:row>
      <xdr:rowOff>257175</xdr:rowOff>
    </xdr:to>
    <xdr:pic>
      <xdr:nvPicPr>
        <xdr:cNvPr id="167" name="Picture 59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0866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381000</xdr:colOff>
      <xdr:row>127</xdr:row>
      <xdr:rowOff>257175</xdr:rowOff>
    </xdr:to>
    <xdr:pic>
      <xdr:nvPicPr>
        <xdr:cNvPr id="168" name="Picture 59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1437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3</xdr:col>
      <xdr:colOff>381000</xdr:colOff>
      <xdr:row>128</xdr:row>
      <xdr:rowOff>257175</xdr:rowOff>
    </xdr:to>
    <xdr:pic>
      <xdr:nvPicPr>
        <xdr:cNvPr id="169" name="Picture 59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2009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3</xdr:col>
      <xdr:colOff>381000</xdr:colOff>
      <xdr:row>129</xdr:row>
      <xdr:rowOff>257175</xdr:rowOff>
    </xdr:to>
    <xdr:pic>
      <xdr:nvPicPr>
        <xdr:cNvPr id="170" name="Picture 59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2580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3</xdr:col>
      <xdr:colOff>381000</xdr:colOff>
      <xdr:row>131</xdr:row>
      <xdr:rowOff>257175</xdr:rowOff>
    </xdr:to>
    <xdr:pic>
      <xdr:nvPicPr>
        <xdr:cNvPr id="171" name="Picture 59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3723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3</xdr:col>
      <xdr:colOff>381000</xdr:colOff>
      <xdr:row>133</xdr:row>
      <xdr:rowOff>257175</xdr:rowOff>
    </xdr:to>
    <xdr:pic>
      <xdr:nvPicPr>
        <xdr:cNvPr id="172" name="Picture 59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4866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3</xdr:col>
      <xdr:colOff>381000</xdr:colOff>
      <xdr:row>134</xdr:row>
      <xdr:rowOff>257175</xdr:rowOff>
    </xdr:to>
    <xdr:pic>
      <xdr:nvPicPr>
        <xdr:cNvPr id="173" name="Picture 59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5438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3</xdr:col>
      <xdr:colOff>381000</xdr:colOff>
      <xdr:row>137</xdr:row>
      <xdr:rowOff>257175</xdr:rowOff>
    </xdr:to>
    <xdr:pic>
      <xdr:nvPicPr>
        <xdr:cNvPr id="174" name="Picture 59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7152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381000</xdr:colOff>
      <xdr:row>6</xdr:row>
      <xdr:rowOff>266700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3429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3</xdr:col>
      <xdr:colOff>304800</xdr:colOff>
      <xdr:row>30</xdr:row>
      <xdr:rowOff>304800</xdr:rowOff>
    </xdr:to>
    <xdr:pic>
      <xdr:nvPicPr>
        <xdr:cNvPr id="177" name="Picture 25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6573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28</xdr:row>
      <xdr:rowOff>19050</xdr:rowOff>
    </xdr:from>
    <xdr:to>
      <xdr:col>3</xdr:col>
      <xdr:colOff>390525</xdr:colOff>
      <xdr:row>28</xdr:row>
      <xdr:rowOff>285750</xdr:rowOff>
    </xdr:to>
    <xdr:pic>
      <xdr:nvPicPr>
        <xdr:cNvPr id="178" name="Picture 23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5449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381000</xdr:colOff>
      <xdr:row>3</xdr:row>
      <xdr:rowOff>266700</xdr:rowOff>
    </xdr:to>
    <xdr:pic>
      <xdr:nvPicPr>
        <xdr:cNvPr id="179" name="Picture 1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85975" y="1714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3</xdr:col>
      <xdr:colOff>381000</xdr:colOff>
      <xdr:row>27</xdr:row>
      <xdr:rowOff>266700</xdr:rowOff>
    </xdr:to>
    <xdr:pic>
      <xdr:nvPicPr>
        <xdr:cNvPr id="180" name="Picture 16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1485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3</xdr:col>
      <xdr:colOff>361950</xdr:colOff>
      <xdr:row>26</xdr:row>
      <xdr:rowOff>257175</xdr:rowOff>
    </xdr:to>
    <xdr:pic>
      <xdr:nvPicPr>
        <xdr:cNvPr id="181" name="Grafik 250" descr="003206_S1312_blau auf weiß.jpg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85975" y="14287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3</xdr:col>
      <xdr:colOff>381000</xdr:colOff>
      <xdr:row>19</xdr:row>
      <xdr:rowOff>266700</xdr:rowOff>
    </xdr:to>
    <xdr:pic>
      <xdr:nvPicPr>
        <xdr:cNvPr id="182" name="Grafik 161" descr="003376_S1071_blau-auf-weiss.jpg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1028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3</xdr:col>
      <xdr:colOff>361950</xdr:colOff>
      <xdr:row>25</xdr:row>
      <xdr:rowOff>257175</xdr:rowOff>
    </xdr:to>
    <xdr:pic>
      <xdr:nvPicPr>
        <xdr:cNvPr id="183" name="Grafik 264" descr="003287_S1093_blau auf weiß.jpg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85975" y="13716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381000</xdr:colOff>
      <xdr:row>23</xdr:row>
      <xdr:rowOff>266700</xdr:rowOff>
    </xdr:to>
    <xdr:pic>
      <xdr:nvPicPr>
        <xdr:cNvPr id="184" name="Picture 23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12573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3</xdr:col>
      <xdr:colOff>361950</xdr:colOff>
      <xdr:row>97</xdr:row>
      <xdr:rowOff>257175</xdr:rowOff>
    </xdr:to>
    <xdr:pic>
      <xdr:nvPicPr>
        <xdr:cNvPr id="185" name="Grafik 271" descr="003292_S1070_blau auf weiß.jpg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54864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361950</xdr:colOff>
      <xdr:row>24</xdr:row>
      <xdr:rowOff>257175</xdr:rowOff>
    </xdr:to>
    <xdr:pic>
      <xdr:nvPicPr>
        <xdr:cNvPr id="186" name="Grafik 279" descr="S1307_blau auf weiß.jpg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13144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3</xdr:col>
      <xdr:colOff>381000</xdr:colOff>
      <xdr:row>91</xdr:row>
      <xdr:rowOff>266700</xdr:rowOff>
    </xdr:to>
    <xdr:pic>
      <xdr:nvPicPr>
        <xdr:cNvPr id="187" name="Picture 23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5143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3</xdr:col>
      <xdr:colOff>381000</xdr:colOff>
      <xdr:row>80</xdr:row>
      <xdr:rowOff>285750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85975" y="45148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3</xdr:col>
      <xdr:colOff>304800</xdr:colOff>
      <xdr:row>81</xdr:row>
      <xdr:rowOff>304800</xdr:rowOff>
    </xdr:to>
    <xdr:pic>
      <xdr:nvPicPr>
        <xdr:cNvPr id="189" name="Picture 25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4572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3</xdr:col>
      <xdr:colOff>361950</xdr:colOff>
      <xdr:row>92</xdr:row>
      <xdr:rowOff>257175</xdr:rowOff>
    </xdr:to>
    <xdr:pic>
      <xdr:nvPicPr>
        <xdr:cNvPr id="190" name="Grafik 286" descr="003358_S1082_blau auf weiß.jpg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52006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3</xdr:col>
      <xdr:colOff>381000</xdr:colOff>
      <xdr:row>93</xdr:row>
      <xdr:rowOff>266700</xdr:rowOff>
    </xdr:to>
    <xdr:pic>
      <xdr:nvPicPr>
        <xdr:cNvPr id="191" name="Picture 23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52578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3</xdr:col>
      <xdr:colOff>304800</xdr:colOff>
      <xdr:row>87</xdr:row>
      <xdr:rowOff>304800</xdr:rowOff>
    </xdr:to>
    <xdr:pic>
      <xdr:nvPicPr>
        <xdr:cNvPr id="192" name="Picture 25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4914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3</xdr:col>
      <xdr:colOff>381000</xdr:colOff>
      <xdr:row>66</xdr:row>
      <xdr:rowOff>266700</xdr:rowOff>
    </xdr:to>
    <xdr:pic>
      <xdr:nvPicPr>
        <xdr:cNvPr id="193" name="Picture 24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37147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35</xdr:row>
      <xdr:rowOff>47625</xdr:rowOff>
    </xdr:from>
    <xdr:to>
      <xdr:col>3</xdr:col>
      <xdr:colOff>409575</xdr:colOff>
      <xdr:row>35</xdr:row>
      <xdr:rowOff>352425</xdr:rowOff>
    </xdr:to>
    <xdr:pic>
      <xdr:nvPicPr>
        <xdr:cNvPr id="194" name="Picture 25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1947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3</xdr:col>
      <xdr:colOff>381000</xdr:colOff>
      <xdr:row>90</xdr:row>
      <xdr:rowOff>266700</xdr:rowOff>
    </xdr:to>
    <xdr:pic>
      <xdr:nvPicPr>
        <xdr:cNvPr id="195" name="Picture 23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50863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381000</xdr:colOff>
      <xdr:row>21</xdr:row>
      <xdr:rowOff>266700</xdr:rowOff>
    </xdr:to>
    <xdr:pic>
      <xdr:nvPicPr>
        <xdr:cNvPr id="196" name="Picture 4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11430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3</xdr:col>
      <xdr:colOff>381000</xdr:colOff>
      <xdr:row>78</xdr:row>
      <xdr:rowOff>266700</xdr:rowOff>
    </xdr:to>
    <xdr:pic>
      <xdr:nvPicPr>
        <xdr:cNvPr id="197" name="Picture 24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44005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381000</xdr:colOff>
      <xdr:row>32</xdr:row>
      <xdr:rowOff>266700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17716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3</xdr:col>
      <xdr:colOff>304800</xdr:colOff>
      <xdr:row>94</xdr:row>
      <xdr:rowOff>304800</xdr:rowOff>
    </xdr:to>
    <xdr:pic>
      <xdr:nvPicPr>
        <xdr:cNvPr id="199" name="Picture 25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5314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3</xdr:col>
      <xdr:colOff>361950</xdr:colOff>
      <xdr:row>108</xdr:row>
      <xdr:rowOff>257175</xdr:rowOff>
    </xdr:to>
    <xdr:pic>
      <xdr:nvPicPr>
        <xdr:cNvPr id="200" name="Grafik 409" descr="003358_S1082_blau auf weiß.jpg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60579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381000</xdr:colOff>
      <xdr:row>76</xdr:row>
      <xdr:rowOff>266700</xdr:rowOff>
    </xdr:to>
    <xdr:pic>
      <xdr:nvPicPr>
        <xdr:cNvPr id="201" name="Grafik 159" descr="003376_S1071_blau-auf-weiss.jpg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42862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381000</xdr:colOff>
      <xdr:row>17</xdr:row>
      <xdr:rowOff>381000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85975" y="97155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3</xdr:col>
      <xdr:colOff>304800</xdr:colOff>
      <xdr:row>111</xdr:row>
      <xdr:rowOff>304800</xdr:rowOff>
    </xdr:to>
    <xdr:pic>
      <xdr:nvPicPr>
        <xdr:cNvPr id="203" name="Picture 25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62293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381000</xdr:colOff>
      <xdr:row>42</xdr:row>
      <xdr:rowOff>266700</xdr:rowOff>
    </xdr:to>
    <xdr:pic>
      <xdr:nvPicPr>
        <xdr:cNvPr id="204" name="Picture 4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23431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3</xdr:col>
      <xdr:colOff>381000</xdr:colOff>
      <xdr:row>110</xdr:row>
      <xdr:rowOff>266700</xdr:rowOff>
    </xdr:to>
    <xdr:pic>
      <xdr:nvPicPr>
        <xdr:cNvPr id="205" name="Picture 16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61722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3</xdr:col>
      <xdr:colOff>381000</xdr:colOff>
      <xdr:row>100</xdr:row>
      <xdr:rowOff>266700</xdr:rowOff>
    </xdr:to>
    <xdr:pic>
      <xdr:nvPicPr>
        <xdr:cNvPr id="206" name="Picture 24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56578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112</xdr:row>
      <xdr:rowOff>0</xdr:rowOff>
    </xdr:from>
    <xdr:to>
      <xdr:col>3</xdr:col>
      <xdr:colOff>400050</xdr:colOff>
      <xdr:row>112</xdr:row>
      <xdr:rowOff>266700</xdr:rowOff>
    </xdr:to>
    <xdr:pic>
      <xdr:nvPicPr>
        <xdr:cNvPr id="207" name="Picture 16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05025" y="62865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400050</xdr:colOff>
      <xdr:row>113</xdr:row>
      <xdr:rowOff>285750</xdr:rowOff>
    </xdr:to>
    <xdr:pic>
      <xdr:nvPicPr>
        <xdr:cNvPr id="208" name="Picture 24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05025" y="634555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3</xdr:col>
      <xdr:colOff>361950</xdr:colOff>
      <xdr:row>65</xdr:row>
      <xdr:rowOff>257175</xdr:rowOff>
    </xdr:to>
    <xdr:pic>
      <xdr:nvPicPr>
        <xdr:cNvPr id="209" name="Grafik 423" descr="003292_S1070_blau auf weiß.jpg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36576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3</xdr:col>
      <xdr:colOff>381000</xdr:colOff>
      <xdr:row>96</xdr:row>
      <xdr:rowOff>266700</xdr:rowOff>
    </xdr:to>
    <xdr:pic>
      <xdr:nvPicPr>
        <xdr:cNvPr id="210" name="Picture 23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54292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381000</xdr:colOff>
      <xdr:row>58</xdr:row>
      <xdr:rowOff>266700</xdr:rowOff>
    </xdr:to>
    <xdr:pic>
      <xdr:nvPicPr>
        <xdr:cNvPr id="211" name="Picture 1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85975" y="32575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3</xdr:col>
      <xdr:colOff>381000</xdr:colOff>
      <xdr:row>62</xdr:row>
      <xdr:rowOff>266700</xdr:rowOff>
    </xdr:to>
    <xdr:pic>
      <xdr:nvPicPr>
        <xdr:cNvPr id="212" name="Grafik 161" descr="003376_S1071_blau-auf-weiss.jpg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34861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361950</xdr:colOff>
      <xdr:row>55</xdr:row>
      <xdr:rowOff>257175</xdr:rowOff>
    </xdr:to>
    <xdr:pic>
      <xdr:nvPicPr>
        <xdr:cNvPr id="213" name="Grafik 430" descr="003206_S1312_blau auf weiß.jpg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85975" y="30861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118</xdr:row>
      <xdr:rowOff>38100</xdr:rowOff>
    </xdr:from>
    <xdr:to>
      <xdr:col>3</xdr:col>
      <xdr:colOff>419100</xdr:colOff>
      <xdr:row>118</xdr:row>
      <xdr:rowOff>419100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24075" y="663321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3</xdr:col>
      <xdr:colOff>381000</xdr:colOff>
      <xdr:row>57</xdr:row>
      <xdr:rowOff>266700</xdr:rowOff>
    </xdr:to>
    <xdr:pic>
      <xdr:nvPicPr>
        <xdr:cNvPr id="215" name="Picture 1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32004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3</xdr:col>
      <xdr:colOff>381000</xdr:colOff>
      <xdr:row>101</xdr:row>
      <xdr:rowOff>266700</xdr:rowOff>
    </xdr:to>
    <xdr:pic>
      <xdr:nvPicPr>
        <xdr:cNvPr id="216" name="Grafik 161" descr="003376_S1071_blau-auf-weiss.jpg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57150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3</xdr:col>
      <xdr:colOff>381000</xdr:colOff>
      <xdr:row>109</xdr:row>
      <xdr:rowOff>257175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85975" y="611505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3</xdr:col>
      <xdr:colOff>381000</xdr:colOff>
      <xdr:row>64</xdr:row>
      <xdr:rowOff>266700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36004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3</xdr:col>
      <xdr:colOff>381000</xdr:colOff>
      <xdr:row>47</xdr:row>
      <xdr:rowOff>266700</xdr:rowOff>
    </xdr:to>
    <xdr:pic>
      <xdr:nvPicPr>
        <xdr:cNvPr id="219" name="Picture 1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26289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3</xdr:col>
      <xdr:colOff>304800</xdr:colOff>
      <xdr:row>63</xdr:row>
      <xdr:rowOff>304800</xdr:rowOff>
    </xdr:to>
    <xdr:pic>
      <xdr:nvPicPr>
        <xdr:cNvPr id="220" name="Picture 25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3543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3</xdr:col>
      <xdr:colOff>381000</xdr:colOff>
      <xdr:row>11</xdr:row>
      <xdr:rowOff>266700</xdr:rowOff>
    </xdr:to>
    <xdr:pic>
      <xdr:nvPicPr>
        <xdr:cNvPr id="221" name="Picture 1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85975" y="6286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381000</xdr:colOff>
      <xdr:row>14</xdr:row>
      <xdr:rowOff>314325</xdr:rowOff>
    </xdr:to>
    <xdr:pic>
      <xdr:nvPicPr>
        <xdr:cNvPr id="222" name="Picture 2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85975" y="8001000"/>
          <a:ext cx="381000" cy="314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361950</xdr:colOff>
      <xdr:row>20</xdr:row>
      <xdr:rowOff>257175</xdr:rowOff>
    </xdr:to>
    <xdr:pic>
      <xdr:nvPicPr>
        <xdr:cNvPr id="223" name="Grafik 480" descr="003287_S1093_blau auf weiß.jpg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85975" y="10858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390525</xdr:colOff>
      <xdr:row>31</xdr:row>
      <xdr:rowOff>276225</xdr:rowOff>
    </xdr:to>
    <xdr:pic>
      <xdr:nvPicPr>
        <xdr:cNvPr id="224" name="Picture 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71545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3</xdr:col>
      <xdr:colOff>304800</xdr:colOff>
      <xdr:row>33</xdr:row>
      <xdr:rowOff>304800</xdr:rowOff>
    </xdr:to>
    <xdr:pic>
      <xdr:nvPicPr>
        <xdr:cNvPr id="225" name="Picture 25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1828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390525</xdr:colOff>
      <xdr:row>34</xdr:row>
      <xdr:rowOff>276225</xdr:rowOff>
    </xdr:to>
    <xdr:pic>
      <xdr:nvPicPr>
        <xdr:cNvPr id="226" name="Picture 23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88690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3</xdr:col>
      <xdr:colOff>304800</xdr:colOff>
      <xdr:row>36</xdr:row>
      <xdr:rowOff>304800</xdr:rowOff>
    </xdr:to>
    <xdr:pic>
      <xdr:nvPicPr>
        <xdr:cNvPr id="227" name="Picture 25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3</xdr:col>
      <xdr:colOff>381000</xdr:colOff>
      <xdr:row>37</xdr:row>
      <xdr:rowOff>266700</xdr:rowOff>
    </xdr:to>
    <xdr:pic>
      <xdr:nvPicPr>
        <xdr:cNvPr id="228" name="Picture 16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20574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381000</xdr:colOff>
      <xdr:row>38</xdr:row>
      <xdr:rowOff>266700</xdr:rowOff>
    </xdr:to>
    <xdr:pic>
      <xdr:nvPicPr>
        <xdr:cNvPr id="229" name="Picture 1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85975" y="21145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381000</xdr:colOff>
      <xdr:row>22</xdr:row>
      <xdr:rowOff>266700</xdr:rowOff>
    </xdr:to>
    <xdr:pic>
      <xdr:nvPicPr>
        <xdr:cNvPr id="230" name="Picture 23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12001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3</xdr:col>
      <xdr:colOff>381000</xdr:colOff>
      <xdr:row>40</xdr:row>
      <xdr:rowOff>266700</xdr:rowOff>
    </xdr:to>
    <xdr:pic>
      <xdr:nvPicPr>
        <xdr:cNvPr id="231" name="Grafik 161" descr="003376_S1071_blau-auf-weiss.jpg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22288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381000</xdr:colOff>
      <xdr:row>41</xdr:row>
      <xdr:rowOff>266700</xdr:rowOff>
    </xdr:to>
    <xdr:pic>
      <xdr:nvPicPr>
        <xdr:cNvPr id="232" name="Picture 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22860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3</xdr:col>
      <xdr:colOff>381000</xdr:colOff>
      <xdr:row>44</xdr:row>
      <xdr:rowOff>266700</xdr:rowOff>
    </xdr:to>
    <xdr:pic>
      <xdr:nvPicPr>
        <xdr:cNvPr id="233" name="Picture 23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24574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3</xdr:col>
      <xdr:colOff>381000</xdr:colOff>
      <xdr:row>45</xdr:row>
      <xdr:rowOff>266700</xdr:rowOff>
    </xdr:to>
    <xdr:pic>
      <xdr:nvPicPr>
        <xdr:cNvPr id="234" name="Picture 4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25146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3</xdr:col>
      <xdr:colOff>361950</xdr:colOff>
      <xdr:row>48</xdr:row>
      <xdr:rowOff>257175</xdr:rowOff>
    </xdr:to>
    <xdr:pic>
      <xdr:nvPicPr>
        <xdr:cNvPr id="235" name="Grafik 492" descr="S1307_blau auf weiß.jpg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26860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390525</xdr:colOff>
      <xdr:row>49</xdr:row>
      <xdr:rowOff>276225</xdr:rowOff>
    </xdr:to>
    <xdr:pic>
      <xdr:nvPicPr>
        <xdr:cNvPr id="236" name="Picture 23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2744152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304800</xdr:colOff>
      <xdr:row>50</xdr:row>
      <xdr:rowOff>304800</xdr:rowOff>
    </xdr:to>
    <xdr:pic>
      <xdr:nvPicPr>
        <xdr:cNvPr id="237" name="Picture 25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28003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361950</xdr:colOff>
      <xdr:row>51</xdr:row>
      <xdr:rowOff>257175</xdr:rowOff>
    </xdr:to>
    <xdr:pic>
      <xdr:nvPicPr>
        <xdr:cNvPr id="238" name="Grafik 509" descr="S1307_blau auf weiß.jpg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28575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381000</xdr:colOff>
      <xdr:row>52</xdr:row>
      <xdr:rowOff>266700</xdr:rowOff>
    </xdr:to>
    <xdr:pic>
      <xdr:nvPicPr>
        <xdr:cNvPr id="239" name="Picture 23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29146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53</xdr:row>
      <xdr:rowOff>0</xdr:rowOff>
    </xdr:from>
    <xdr:to>
      <xdr:col>3</xdr:col>
      <xdr:colOff>381000</xdr:colOff>
      <xdr:row>53</xdr:row>
      <xdr:rowOff>266700</xdr:rowOff>
    </xdr:to>
    <xdr:pic>
      <xdr:nvPicPr>
        <xdr:cNvPr id="240" name="Picture 1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5975" y="29718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3</xdr:col>
      <xdr:colOff>361950</xdr:colOff>
      <xdr:row>54</xdr:row>
      <xdr:rowOff>257175</xdr:rowOff>
    </xdr:to>
    <xdr:pic>
      <xdr:nvPicPr>
        <xdr:cNvPr id="241" name="Grafik 518" descr="003292_S1070_blau auf weiß.jpg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30289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3</xdr:col>
      <xdr:colOff>381000</xdr:colOff>
      <xdr:row>59</xdr:row>
      <xdr:rowOff>266700</xdr:rowOff>
    </xdr:to>
    <xdr:pic>
      <xdr:nvPicPr>
        <xdr:cNvPr id="242" name="Picture 23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3314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3</xdr:col>
      <xdr:colOff>304800</xdr:colOff>
      <xdr:row>60</xdr:row>
      <xdr:rowOff>304800</xdr:rowOff>
    </xdr:to>
    <xdr:pic>
      <xdr:nvPicPr>
        <xdr:cNvPr id="243" name="Picture 25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33718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3</xdr:col>
      <xdr:colOff>381000</xdr:colOff>
      <xdr:row>67</xdr:row>
      <xdr:rowOff>266700</xdr:rowOff>
    </xdr:to>
    <xdr:pic>
      <xdr:nvPicPr>
        <xdr:cNvPr id="244" name="Picture 16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37719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3</xdr:col>
      <xdr:colOff>381000</xdr:colOff>
      <xdr:row>68</xdr:row>
      <xdr:rowOff>266700</xdr:rowOff>
    </xdr:to>
    <xdr:pic>
      <xdr:nvPicPr>
        <xdr:cNvPr id="245" name="Grafik 161" descr="003376_S1071_blau-auf-weiss.jpg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38290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3</xdr:col>
      <xdr:colOff>381000</xdr:colOff>
      <xdr:row>70</xdr:row>
      <xdr:rowOff>266700</xdr:rowOff>
    </xdr:to>
    <xdr:pic>
      <xdr:nvPicPr>
        <xdr:cNvPr id="246" name="Grafik 161" descr="003376_S1071_blau-auf-weiss.jpg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39433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3</xdr:col>
      <xdr:colOff>381000</xdr:colOff>
      <xdr:row>69</xdr:row>
      <xdr:rowOff>285750</xdr:rowOff>
    </xdr:to>
    <xdr:pic>
      <xdr:nvPicPr>
        <xdr:cNvPr id="247" name="Picture 1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85975" y="388620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3</xdr:col>
      <xdr:colOff>304800</xdr:colOff>
      <xdr:row>77</xdr:row>
      <xdr:rowOff>304800</xdr:rowOff>
    </xdr:to>
    <xdr:pic>
      <xdr:nvPicPr>
        <xdr:cNvPr id="248" name="Picture 25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4343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381000</xdr:colOff>
      <xdr:row>85</xdr:row>
      <xdr:rowOff>266700</xdr:rowOff>
    </xdr:to>
    <xdr:pic>
      <xdr:nvPicPr>
        <xdr:cNvPr id="249" name="Picture 2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085975" y="48006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3</xdr:col>
      <xdr:colOff>304800</xdr:colOff>
      <xdr:row>95</xdr:row>
      <xdr:rowOff>304800</xdr:rowOff>
    </xdr:to>
    <xdr:pic>
      <xdr:nvPicPr>
        <xdr:cNvPr id="250" name="Picture 25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5372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3</xdr:col>
      <xdr:colOff>381000</xdr:colOff>
      <xdr:row>106</xdr:row>
      <xdr:rowOff>266700</xdr:rowOff>
    </xdr:to>
    <xdr:pic>
      <xdr:nvPicPr>
        <xdr:cNvPr id="251" name="Picture 1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85975" y="59436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3</xdr:col>
      <xdr:colOff>304800</xdr:colOff>
      <xdr:row>74</xdr:row>
      <xdr:rowOff>304800</xdr:rowOff>
    </xdr:to>
    <xdr:pic>
      <xdr:nvPicPr>
        <xdr:cNvPr id="252" name="Picture 25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4171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3</xdr:col>
      <xdr:colOff>361950</xdr:colOff>
      <xdr:row>75</xdr:row>
      <xdr:rowOff>257175</xdr:rowOff>
    </xdr:to>
    <xdr:pic>
      <xdr:nvPicPr>
        <xdr:cNvPr id="253" name="Grafik 537" descr="003292_S1070_blau auf weiß.jpg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42291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3</xdr:col>
      <xdr:colOff>381000</xdr:colOff>
      <xdr:row>79</xdr:row>
      <xdr:rowOff>266700</xdr:rowOff>
    </xdr:to>
    <xdr:pic>
      <xdr:nvPicPr>
        <xdr:cNvPr id="254" name="Picture 2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44577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119</xdr:row>
      <xdr:rowOff>38100</xdr:rowOff>
    </xdr:from>
    <xdr:to>
      <xdr:col>3</xdr:col>
      <xdr:colOff>419100</xdr:colOff>
      <xdr:row>119</xdr:row>
      <xdr:rowOff>419100</xdr:rowOff>
    </xdr:to>
    <xdr:pic>
      <xdr:nvPicPr>
        <xdr:cNvPr id="255" name="Picture 1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24075" y="669036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3</xdr:col>
      <xdr:colOff>304800</xdr:colOff>
      <xdr:row>46</xdr:row>
      <xdr:rowOff>304800</xdr:rowOff>
    </xdr:to>
    <xdr:pic>
      <xdr:nvPicPr>
        <xdr:cNvPr id="256" name="Picture 2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2571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3</xdr:col>
      <xdr:colOff>381000</xdr:colOff>
      <xdr:row>73</xdr:row>
      <xdr:rowOff>266700</xdr:rowOff>
    </xdr:to>
    <xdr:pic>
      <xdr:nvPicPr>
        <xdr:cNvPr id="257" name="Picture 23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41148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3</xdr:col>
      <xdr:colOff>381000</xdr:colOff>
      <xdr:row>135</xdr:row>
      <xdr:rowOff>257175</xdr:rowOff>
    </xdr:to>
    <xdr:pic>
      <xdr:nvPicPr>
        <xdr:cNvPr id="258" name="Picture 59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60095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381000</xdr:colOff>
      <xdr:row>130</xdr:row>
      <xdr:rowOff>257175</xdr:rowOff>
    </xdr:to>
    <xdr:pic>
      <xdr:nvPicPr>
        <xdr:cNvPr id="259" name="Picture 59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3152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3</xdr:col>
      <xdr:colOff>381000</xdr:colOff>
      <xdr:row>138</xdr:row>
      <xdr:rowOff>257175</xdr:rowOff>
    </xdr:to>
    <xdr:pic>
      <xdr:nvPicPr>
        <xdr:cNvPr id="260" name="Picture 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7724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3</xdr:col>
      <xdr:colOff>381000</xdr:colOff>
      <xdr:row>136</xdr:row>
      <xdr:rowOff>257175</xdr:rowOff>
    </xdr:to>
    <xdr:pic>
      <xdr:nvPicPr>
        <xdr:cNvPr id="261" name="Picture 59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6581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3</xdr:col>
      <xdr:colOff>381000</xdr:colOff>
      <xdr:row>71</xdr:row>
      <xdr:rowOff>266700</xdr:rowOff>
    </xdr:to>
    <xdr:pic>
      <xdr:nvPicPr>
        <xdr:cNvPr id="262" name="Picture 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85975" y="40005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3</xdr:col>
      <xdr:colOff>361950</xdr:colOff>
      <xdr:row>99</xdr:row>
      <xdr:rowOff>257175</xdr:rowOff>
    </xdr:to>
    <xdr:pic>
      <xdr:nvPicPr>
        <xdr:cNvPr id="263" name="Grafik 409" descr="003358_S1082_blau auf weiß.jpg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85975" y="560070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3</xdr:col>
      <xdr:colOff>381000</xdr:colOff>
      <xdr:row>61</xdr:row>
      <xdr:rowOff>266700</xdr:rowOff>
    </xdr:to>
    <xdr:pic>
      <xdr:nvPicPr>
        <xdr:cNvPr id="264" name="Picture 1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85975" y="342900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117</xdr:row>
      <xdr:rowOff>38100</xdr:rowOff>
    </xdr:from>
    <xdr:to>
      <xdr:col>3</xdr:col>
      <xdr:colOff>419100</xdr:colOff>
      <xdr:row>117</xdr:row>
      <xdr:rowOff>419100</xdr:rowOff>
    </xdr:to>
    <xdr:pic>
      <xdr:nvPicPr>
        <xdr:cNvPr id="265" name="Picture 1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24075" y="6576060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381000</xdr:colOff>
      <xdr:row>56</xdr:row>
      <xdr:rowOff>266700</xdr:rowOff>
    </xdr:to>
    <xdr:pic>
      <xdr:nvPicPr>
        <xdr:cNvPr id="266" name="Picture 16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314325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3</xdr:col>
      <xdr:colOff>381000</xdr:colOff>
      <xdr:row>132</xdr:row>
      <xdr:rowOff>257175</xdr:rowOff>
    </xdr:to>
    <xdr:pic>
      <xdr:nvPicPr>
        <xdr:cNvPr id="267" name="Picture 59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85975" y="74295000"/>
          <a:ext cx="381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3</xdr:col>
      <xdr:colOff>361950</xdr:colOff>
      <xdr:row>98</xdr:row>
      <xdr:rowOff>257175</xdr:rowOff>
    </xdr:to>
    <xdr:pic>
      <xdr:nvPicPr>
        <xdr:cNvPr id="268" name="Grafik 302" descr="003206_S1312_blau auf weiß.jpg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85975" y="55435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381000</xdr:colOff>
      <xdr:row>105</xdr:row>
      <xdr:rowOff>266700</xdr:rowOff>
    </xdr:to>
    <xdr:pic>
      <xdr:nvPicPr>
        <xdr:cNvPr id="269" name="Picture 1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85975" y="58864500"/>
          <a:ext cx="3810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381000</xdr:colOff>
      <xdr:row>8</xdr:row>
      <xdr:rowOff>266700</xdr:rowOff>
    </xdr:to>
    <xdr:pic>
      <xdr:nvPicPr>
        <xdr:cNvPr id="270" name="Picture 46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85975" y="4572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3</xdr:col>
      <xdr:colOff>381000</xdr:colOff>
      <xdr:row>140</xdr:row>
      <xdr:rowOff>257175</xdr:rowOff>
    </xdr:to>
    <xdr:pic>
      <xdr:nvPicPr>
        <xdr:cNvPr id="271" name="Picture 1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85975" y="78867000"/>
          <a:ext cx="381000" cy="257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381000</xdr:colOff>
      <xdr:row>141</xdr:row>
      <xdr:rowOff>371475</xdr:rowOff>
    </xdr:to>
    <xdr:pic>
      <xdr:nvPicPr>
        <xdr:cNvPr id="272" name="Picture 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85975" y="79438500"/>
          <a:ext cx="381000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114</xdr:row>
      <xdr:rowOff>38100</xdr:rowOff>
    </xdr:from>
    <xdr:to>
      <xdr:col>3</xdr:col>
      <xdr:colOff>342900</xdr:colOff>
      <xdr:row>114</xdr:row>
      <xdr:rowOff>342900</xdr:rowOff>
    </xdr:to>
    <xdr:pic>
      <xdr:nvPicPr>
        <xdr:cNvPr id="273" name="Picture 25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24075" y="64046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381000</xdr:colOff>
      <xdr:row>139</xdr:row>
      <xdr:rowOff>285750</xdr:rowOff>
    </xdr:to>
    <xdr:pic>
      <xdr:nvPicPr>
        <xdr:cNvPr id="274" name="Picture 2066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85975" y="78295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381000</xdr:colOff>
      <xdr:row>102</xdr:row>
      <xdr:rowOff>285750</xdr:rowOff>
    </xdr:to>
    <xdr:pic>
      <xdr:nvPicPr>
        <xdr:cNvPr id="275" name="Picture 188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85975" y="57721500"/>
          <a:ext cx="38100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495300</xdr:colOff>
      <xdr:row>29</xdr:row>
      <xdr:rowOff>495300</xdr:rowOff>
    </xdr:to>
    <xdr:pic>
      <xdr:nvPicPr>
        <xdr:cNvPr id="276" name="Picture 1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05025" y="16021050"/>
          <a:ext cx="476250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495300</xdr:colOff>
      <xdr:row>12</xdr:row>
      <xdr:rowOff>352425</xdr:rowOff>
    </xdr:to>
    <xdr:pic>
      <xdr:nvPicPr>
        <xdr:cNvPr id="277" name="Picture 2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05025" y="687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495300</xdr:colOff>
      <xdr:row>13</xdr:row>
      <xdr:rowOff>352425</xdr:rowOff>
    </xdr:to>
    <xdr:pic>
      <xdr:nvPicPr>
        <xdr:cNvPr id="278" name="Picture 2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05025" y="744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361950</xdr:colOff>
      <xdr:row>115</xdr:row>
      <xdr:rowOff>257175</xdr:rowOff>
    </xdr:to>
    <xdr:pic>
      <xdr:nvPicPr>
        <xdr:cNvPr id="279" name="Grafik 264" descr="003287_S1093_blau auf weiß.jpg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85975" y="64579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381000</xdr:colOff>
      <xdr:row>116</xdr:row>
      <xdr:rowOff>266700</xdr:rowOff>
    </xdr:to>
    <xdr:pic>
      <xdr:nvPicPr>
        <xdr:cNvPr id="280" name="Picture 24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85975" y="65151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3</xdr:col>
      <xdr:colOff>476250</xdr:colOff>
      <xdr:row>103</xdr:row>
      <xdr:rowOff>333375</xdr:rowOff>
    </xdr:to>
    <xdr:pic>
      <xdr:nvPicPr>
        <xdr:cNvPr id="281" name="Picture 1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85975" y="582930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361950</xdr:colOff>
      <xdr:row>142</xdr:row>
      <xdr:rowOff>257175</xdr:rowOff>
    </xdr:to>
    <xdr:pic>
      <xdr:nvPicPr>
        <xdr:cNvPr id="282" name="Grafik 442" descr="003206_S1312_blau auf weiß.jpg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86000" y="1034415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3</xdr:col>
      <xdr:colOff>476250</xdr:colOff>
      <xdr:row>104</xdr:row>
      <xdr:rowOff>485775</xdr:rowOff>
    </xdr:to>
    <xdr:pic>
      <xdr:nvPicPr>
        <xdr:cNvPr id="175" name="Picture 1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86000" y="8001000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171</xdr:row>
      <xdr:rowOff>28575</xdr:rowOff>
    </xdr:from>
    <xdr:to>
      <xdr:col>3</xdr:col>
      <xdr:colOff>438150</xdr:colOff>
      <xdr:row>171</xdr:row>
      <xdr:rowOff>295275</xdr:rowOff>
    </xdr:to>
    <xdr:pic>
      <xdr:nvPicPr>
        <xdr:cNvPr id="2" name="Grafik 154" descr="003027_S1318_grün-auf-weiss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43125" y="176622075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314325</xdr:colOff>
      <xdr:row>24</xdr:row>
      <xdr:rowOff>390525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93173550"/>
          <a:ext cx="2952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157</xdr:row>
      <xdr:rowOff>571500</xdr:rowOff>
    </xdr:from>
    <xdr:to>
      <xdr:col>3</xdr:col>
      <xdr:colOff>381000</xdr:colOff>
      <xdr:row>158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85975" y="1697355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285750</xdr:colOff>
      <xdr:row>66</xdr:row>
      <xdr:rowOff>400050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05025" y="117176550"/>
          <a:ext cx="2667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3</xdr:col>
      <xdr:colOff>381000</xdr:colOff>
      <xdr:row>77</xdr:row>
      <xdr:rowOff>266700</xdr:rowOff>
    </xdr:to>
    <xdr:pic>
      <xdr:nvPicPr>
        <xdr:cNvPr id="7" name="Grafik 151" descr="003027_S1318_grün-auf-weiss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12344400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400050</xdr:colOff>
      <xdr:row>78</xdr:row>
      <xdr:rowOff>400050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4034550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60</xdr:row>
      <xdr:rowOff>28575</xdr:rowOff>
    </xdr:from>
    <xdr:to>
      <xdr:col>3</xdr:col>
      <xdr:colOff>409575</xdr:colOff>
      <xdr:row>60</xdr:row>
      <xdr:rowOff>409575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13757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59</xdr:row>
      <xdr:rowOff>28575</xdr:rowOff>
    </xdr:from>
    <xdr:to>
      <xdr:col>3</xdr:col>
      <xdr:colOff>409575</xdr:colOff>
      <xdr:row>59</xdr:row>
      <xdr:rowOff>409575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14550" y="1131855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58</xdr:row>
      <xdr:rowOff>28575</xdr:rowOff>
    </xdr:from>
    <xdr:to>
      <xdr:col>3</xdr:col>
      <xdr:colOff>409575</xdr:colOff>
      <xdr:row>58</xdr:row>
      <xdr:rowOff>409575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14550" y="1126140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57</xdr:row>
      <xdr:rowOff>28575</xdr:rowOff>
    </xdr:from>
    <xdr:to>
      <xdr:col>3</xdr:col>
      <xdr:colOff>409575</xdr:colOff>
      <xdr:row>57</xdr:row>
      <xdr:rowOff>409575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14550" y="1120425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158</xdr:row>
      <xdr:rowOff>28575</xdr:rowOff>
    </xdr:from>
    <xdr:to>
      <xdr:col>3</xdr:col>
      <xdr:colOff>409575</xdr:colOff>
      <xdr:row>158</xdr:row>
      <xdr:rowOff>409575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14550" y="1691925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400050</xdr:colOff>
      <xdr:row>113</xdr:row>
      <xdr:rowOff>285750</xdr:rowOff>
    </xdr:to>
    <xdr:pic>
      <xdr:nvPicPr>
        <xdr:cNvPr id="14" name="Grafik 151" descr="003027_S1318_grün-auf-weiss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14403705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3</xdr:col>
      <xdr:colOff>381000</xdr:colOff>
      <xdr:row>73</xdr:row>
      <xdr:rowOff>401637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21158000"/>
          <a:ext cx="381000" cy="401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3</xdr:col>
      <xdr:colOff>381000</xdr:colOff>
      <xdr:row>71</xdr:row>
      <xdr:rowOff>390525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85975" y="12001500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3</xdr:col>
      <xdr:colOff>381000</xdr:colOff>
      <xdr:row>72</xdr:row>
      <xdr:rowOff>346363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120586500"/>
          <a:ext cx="381000" cy="346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3</xdr:col>
      <xdr:colOff>381000</xdr:colOff>
      <xdr:row>70</xdr:row>
      <xdr:rowOff>467591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85975" y="119443500"/>
          <a:ext cx="381000" cy="4675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400050</xdr:colOff>
      <xdr:row>27</xdr:row>
      <xdr:rowOff>219075</xdr:rowOff>
    </xdr:to>
    <xdr:pic>
      <xdr:nvPicPr>
        <xdr:cNvPr id="19" name="Picture 3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05025" y="94888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400050</xdr:colOff>
      <xdr:row>28</xdr:row>
      <xdr:rowOff>219075</xdr:rowOff>
    </xdr:to>
    <xdr:pic>
      <xdr:nvPicPr>
        <xdr:cNvPr id="20" name="Picture 672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05025" y="954595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400050</xdr:colOff>
      <xdr:row>29</xdr:row>
      <xdr:rowOff>219075</xdr:rowOff>
    </xdr:to>
    <xdr:pic>
      <xdr:nvPicPr>
        <xdr:cNvPr id="21" name="Picture 33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05025" y="96031050"/>
          <a:ext cx="381000" cy="20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167</xdr:row>
      <xdr:rowOff>19050</xdr:rowOff>
    </xdr:from>
    <xdr:to>
      <xdr:col>3</xdr:col>
      <xdr:colOff>504825</xdr:colOff>
      <xdr:row>167</xdr:row>
      <xdr:rowOff>352425</xdr:rowOff>
    </xdr:to>
    <xdr:pic>
      <xdr:nvPicPr>
        <xdr:cNvPr id="22" name="Picture 17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14550" y="17432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168</xdr:row>
      <xdr:rowOff>19050</xdr:rowOff>
    </xdr:from>
    <xdr:to>
      <xdr:col>3</xdr:col>
      <xdr:colOff>504825</xdr:colOff>
      <xdr:row>168</xdr:row>
      <xdr:rowOff>352425</xdr:rowOff>
    </xdr:to>
    <xdr:pic>
      <xdr:nvPicPr>
        <xdr:cNvPr id="23" name="Picture 17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14550" y="17489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</xdr:colOff>
      <xdr:row>169</xdr:row>
      <xdr:rowOff>66675</xdr:rowOff>
    </xdr:from>
    <xdr:to>
      <xdr:col>3</xdr:col>
      <xdr:colOff>514350</xdr:colOff>
      <xdr:row>169</xdr:row>
      <xdr:rowOff>400050</xdr:rowOff>
    </xdr:to>
    <xdr:pic>
      <xdr:nvPicPr>
        <xdr:cNvPr id="24" name="Picture 17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24075" y="1755171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170</xdr:row>
      <xdr:rowOff>47625</xdr:rowOff>
    </xdr:from>
    <xdr:to>
      <xdr:col>3</xdr:col>
      <xdr:colOff>504825</xdr:colOff>
      <xdr:row>170</xdr:row>
      <xdr:rowOff>381000</xdr:rowOff>
    </xdr:to>
    <xdr:pic>
      <xdr:nvPicPr>
        <xdr:cNvPr id="25" name="Picture 17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14550" y="1760696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159</xdr:row>
      <xdr:rowOff>28575</xdr:rowOff>
    </xdr:from>
    <xdr:to>
      <xdr:col>3</xdr:col>
      <xdr:colOff>504825</xdr:colOff>
      <xdr:row>159</xdr:row>
      <xdr:rowOff>361950</xdr:rowOff>
    </xdr:to>
    <xdr:pic>
      <xdr:nvPicPr>
        <xdr:cNvPr id="26" name="Picture 133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14550" y="169764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160</xdr:row>
      <xdr:rowOff>38100</xdr:rowOff>
    </xdr:from>
    <xdr:to>
      <xdr:col>3</xdr:col>
      <xdr:colOff>504825</xdr:colOff>
      <xdr:row>160</xdr:row>
      <xdr:rowOff>371475</xdr:rowOff>
    </xdr:to>
    <xdr:pic>
      <xdr:nvPicPr>
        <xdr:cNvPr id="27" name="Picture 137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14550" y="170345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161</xdr:row>
      <xdr:rowOff>38100</xdr:rowOff>
    </xdr:from>
    <xdr:to>
      <xdr:col>3</xdr:col>
      <xdr:colOff>495300</xdr:colOff>
      <xdr:row>161</xdr:row>
      <xdr:rowOff>371475</xdr:rowOff>
    </xdr:to>
    <xdr:pic>
      <xdr:nvPicPr>
        <xdr:cNvPr id="28" name="Picture 141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05025" y="1709166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162</xdr:row>
      <xdr:rowOff>28575</xdr:rowOff>
    </xdr:from>
    <xdr:to>
      <xdr:col>3</xdr:col>
      <xdr:colOff>504825</xdr:colOff>
      <xdr:row>162</xdr:row>
      <xdr:rowOff>361950</xdr:rowOff>
    </xdr:to>
    <xdr:pic>
      <xdr:nvPicPr>
        <xdr:cNvPr id="29" name="Picture 14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14550" y="171478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163</xdr:row>
      <xdr:rowOff>28575</xdr:rowOff>
    </xdr:from>
    <xdr:to>
      <xdr:col>3</xdr:col>
      <xdr:colOff>504825</xdr:colOff>
      <xdr:row>163</xdr:row>
      <xdr:rowOff>361950</xdr:rowOff>
    </xdr:to>
    <xdr:pic>
      <xdr:nvPicPr>
        <xdr:cNvPr id="30" name="Picture 14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14550" y="172050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164</xdr:row>
      <xdr:rowOff>28575</xdr:rowOff>
    </xdr:from>
    <xdr:to>
      <xdr:col>3</xdr:col>
      <xdr:colOff>504825</xdr:colOff>
      <xdr:row>164</xdr:row>
      <xdr:rowOff>361950</xdr:rowOff>
    </xdr:to>
    <xdr:pic>
      <xdr:nvPicPr>
        <xdr:cNvPr id="31" name="Picture 153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14550" y="172621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165</xdr:row>
      <xdr:rowOff>28575</xdr:rowOff>
    </xdr:from>
    <xdr:to>
      <xdr:col>3</xdr:col>
      <xdr:colOff>504825</xdr:colOff>
      <xdr:row>165</xdr:row>
      <xdr:rowOff>361950</xdr:rowOff>
    </xdr:to>
    <xdr:pic>
      <xdr:nvPicPr>
        <xdr:cNvPr id="32" name="Picture 15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14550" y="1731930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166</xdr:row>
      <xdr:rowOff>38100</xdr:rowOff>
    </xdr:from>
    <xdr:to>
      <xdr:col>3</xdr:col>
      <xdr:colOff>504825</xdr:colOff>
      <xdr:row>166</xdr:row>
      <xdr:rowOff>371475</xdr:rowOff>
    </xdr:to>
    <xdr:pic>
      <xdr:nvPicPr>
        <xdr:cNvPr id="33" name="Picture 156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14550" y="17377410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</xdr:row>
      <xdr:rowOff>19050</xdr:rowOff>
    </xdr:from>
    <xdr:to>
      <xdr:col>3</xdr:col>
      <xdr:colOff>495300</xdr:colOff>
      <xdr:row>1</xdr:row>
      <xdr:rowOff>352425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05025" y="8002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</xdr:row>
      <xdr:rowOff>19050</xdr:rowOff>
    </xdr:from>
    <xdr:to>
      <xdr:col>3</xdr:col>
      <xdr:colOff>495300</xdr:colOff>
      <xdr:row>2</xdr:row>
      <xdr:rowOff>352425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05025" y="8060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</xdr:row>
      <xdr:rowOff>19050</xdr:rowOff>
    </xdr:from>
    <xdr:to>
      <xdr:col>3</xdr:col>
      <xdr:colOff>495300</xdr:colOff>
      <xdr:row>3</xdr:row>
      <xdr:rowOff>352425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05025" y="8117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</xdr:row>
      <xdr:rowOff>19050</xdr:rowOff>
    </xdr:from>
    <xdr:to>
      <xdr:col>3</xdr:col>
      <xdr:colOff>495300</xdr:colOff>
      <xdr:row>4</xdr:row>
      <xdr:rowOff>352425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05025" y="8174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</xdr:row>
      <xdr:rowOff>19050</xdr:rowOff>
    </xdr:from>
    <xdr:to>
      <xdr:col>3</xdr:col>
      <xdr:colOff>495300</xdr:colOff>
      <xdr:row>5</xdr:row>
      <xdr:rowOff>352425</xdr:rowOff>
    </xdr:to>
    <xdr:pic>
      <xdr:nvPicPr>
        <xdr:cNvPr id="38" name="Picture 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05025" y="8231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</xdr:row>
      <xdr:rowOff>19050</xdr:rowOff>
    </xdr:from>
    <xdr:to>
      <xdr:col>3</xdr:col>
      <xdr:colOff>495300</xdr:colOff>
      <xdr:row>6</xdr:row>
      <xdr:rowOff>352425</xdr:rowOff>
    </xdr:to>
    <xdr:pic>
      <xdr:nvPicPr>
        <xdr:cNvPr id="39" name="Picture 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05025" y="8288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</xdr:row>
      <xdr:rowOff>19050</xdr:rowOff>
    </xdr:from>
    <xdr:to>
      <xdr:col>3</xdr:col>
      <xdr:colOff>495300</xdr:colOff>
      <xdr:row>7</xdr:row>
      <xdr:rowOff>352425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8345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</xdr:row>
      <xdr:rowOff>28575</xdr:rowOff>
    </xdr:from>
    <xdr:to>
      <xdr:col>3</xdr:col>
      <xdr:colOff>495300</xdr:colOff>
      <xdr:row>9</xdr:row>
      <xdr:rowOff>361950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84610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495300</xdr:colOff>
      <xdr:row>74</xdr:row>
      <xdr:rowOff>352425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12174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495300</xdr:colOff>
      <xdr:row>79</xdr:row>
      <xdr:rowOff>352425</xdr:rowOff>
    </xdr:to>
    <xdr:pic>
      <xdr:nvPicPr>
        <xdr:cNvPr id="43" name="Picture 1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12460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495300</xdr:colOff>
      <xdr:row>10</xdr:row>
      <xdr:rowOff>352425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05025" y="8517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495300</xdr:colOff>
      <xdr:row>68</xdr:row>
      <xdr:rowOff>352425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05025" y="11831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495300</xdr:colOff>
      <xdr:row>75</xdr:row>
      <xdr:rowOff>352425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05025" y="12232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495300</xdr:colOff>
      <xdr:row>80</xdr:row>
      <xdr:rowOff>352425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05025" y="12517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495300</xdr:colOff>
      <xdr:row>8</xdr:row>
      <xdr:rowOff>352425</xdr:rowOff>
    </xdr:to>
    <xdr:pic>
      <xdr:nvPicPr>
        <xdr:cNvPr id="48" name="Picture 4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05025" y="8402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495300</xdr:colOff>
      <xdr:row>11</xdr:row>
      <xdr:rowOff>352425</xdr:rowOff>
    </xdr:to>
    <xdr:pic>
      <xdr:nvPicPr>
        <xdr:cNvPr id="49" name="Picture 4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05025" y="8574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495300</xdr:colOff>
      <xdr:row>69</xdr:row>
      <xdr:rowOff>352425</xdr:rowOff>
    </xdr:to>
    <xdr:pic>
      <xdr:nvPicPr>
        <xdr:cNvPr id="50" name="Picture 4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05025" y="11889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495300</xdr:colOff>
      <xdr:row>76</xdr:row>
      <xdr:rowOff>352425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05025" y="12289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495300</xdr:colOff>
      <xdr:row>12</xdr:row>
      <xdr:rowOff>352425</xdr:rowOff>
    </xdr:to>
    <xdr:pic>
      <xdr:nvPicPr>
        <xdr:cNvPr id="52" name="Picture 5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05025" y="8631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13</xdr:row>
      <xdr:rowOff>19050</xdr:rowOff>
    </xdr:from>
    <xdr:to>
      <xdr:col>3</xdr:col>
      <xdr:colOff>485775</xdr:colOff>
      <xdr:row>13</xdr:row>
      <xdr:rowOff>352425</xdr:rowOff>
    </xdr:to>
    <xdr:pic>
      <xdr:nvPicPr>
        <xdr:cNvPr id="53" name="Picture 6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95500" y="8688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495300</xdr:colOff>
      <xdr:row>14</xdr:row>
      <xdr:rowOff>352425</xdr:rowOff>
    </xdr:to>
    <xdr:pic>
      <xdr:nvPicPr>
        <xdr:cNvPr id="54" name="Picture 7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05025" y="8745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495300</xdr:colOff>
      <xdr:row>15</xdr:row>
      <xdr:rowOff>352425</xdr:rowOff>
    </xdr:to>
    <xdr:pic>
      <xdr:nvPicPr>
        <xdr:cNvPr id="55" name="Picture 8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05025" y="8803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495300</xdr:colOff>
      <xdr:row>16</xdr:row>
      <xdr:rowOff>352425</xdr:rowOff>
    </xdr:to>
    <xdr:pic>
      <xdr:nvPicPr>
        <xdr:cNvPr id="56" name="Picture 9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05025" y="8860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495300</xdr:colOff>
      <xdr:row>17</xdr:row>
      <xdr:rowOff>352425</xdr:rowOff>
    </xdr:to>
    <xdr:pic>
      <xdr:nvPicPr>
        <xdr:cNvPr id="57" name="Picture 10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05025" y="8917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18</xdr:row>
      <xdr:rowOff>19050</xdr:rowOff>
    </xdr:from>
    <xdr:to>
      <xdr:col>3</xdr:col>
      <xdr:colOff>504825</xdr:colOff>
      <xdr:row>18</xdr:row>
      <xdr:rowOff>352425</xdr:rowOff>
    </xdr:to>
    <xdr:pic>
      <xdr:nvPicPr>
        <xdr:cNvPr id="58" name="Picture 11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14550" y="8974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495300</xdr:colOff>
      <xdr:row>46</xdr:row>
      <xdr:rowOff>352425</xdr:rowOff>
    </xdr:to>
    <xdr:pic>
      <xdr:nvPicPr>
        <xdr:cNvPr id="59" name="Picture 12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05025" y="10574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495300</xdr:colOff>
      <xdr:row>47</xdr:row>
      <xdr:rowOff>352425</xdr:rowOff>
    </xdr:to>
    <xdr:pic>
      <xdr:nvPicPr>
        <xdr:cNvPr id="60" name="Picture 13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05025" y="10631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28575</xdr:colOff>
      <xdr:row>19</xdr:row>
      <xdr:rowOff>19050</xdr:rowOff>
    </xdr:from>
    <xdr:to>
      <xdr:col>3</xdr:col>
      <xdr:colOff>504825</xdr:colOff>
      <xdr:row>19</xdr:row>
      <xdr:rowOff>352425</xdr:rowOff>
    </xdr:to>
    <xdr:pic>
      <xdr:nvPicPr>
        <xdr:cNvPr id="61" name="Picture 14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14550" y="9031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495300</xdr:colOff>
      <xdr:row>20</xdr:row>
      <xdr:rowOff>352425</xdr:rowOff>
    </xdr:to>
    <xdr:pic>
      <xdr:nvPicPr>
        <xdr:cNvPr id="62" name="Picture 15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05025" y="9088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495300</xdr:colOff>
      <xdr:row>48</xdr:row>
      <xdr:rowOff>352425</xdr:rowOff>
    </xdr:to>
    <xdr:pic>
      <xdr:nvPicPr>
        <xdr:cNvPr id="63" name="Picture 16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05025" y="10688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49</xdr:row>
      <xdr:rowOff>28575</xdr:rowOff>
    </xdr:from>
    <xdr:to>
      <xdr:col>3</xdr:col>
      <xdr:colOff>495300</xdr:colOff>
      <xdr:row>49</xdr:row>
      <xdr:rowOff>361950</xdr:rowOff>
    </xdr:to>
    <xdr:pic>
      <xdr:nvPicPr>
        <xdr:cNvPr id="64" name="Picture 17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05025" y="10747057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495300</xdr:colOff>
      <xdr:row>21</xdr:row>
      <xdr:rowOff>352425</xdr:rowOff>
    </xdr:to>
    <xdr:pic>
      <xdr:nvPicPr>
        <xdr:cNvPr id="65" name="Picture 18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05025" y="9145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495300</xdr:colOff>
      <xdr:row>22</xdr:row>
      <xdr:rowOff>352425</xdr:rowOff>
    </xdr:to>
    <xdr:pic>
      <xdr:nvPicPr>
        <xdr:cNvPr id="66" name="Picture 19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05025" y="9203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495300</xdr:colOff>
      <xdr:row>23</xdr:row>
      <xdr:rowOff>352425</xdr:rowOff>
    </xdr:to>
    <xdr:pic>
      <xdr:nvPicPr>
        <xdr:cNvPr id="67" name="Picture 20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05025" y="9260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495300</xdr:colOff>
      <xdr:row>25</xdr:row>
      <xdr:rowOff>352425</xdr:rowOff>
    </xdr:to>
    <xdr:pic>
      <xdr:nvPicPr>
        <xdr:cNvPr id="68" name="Picture 21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05025" y="9374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495300</xdr:colOff>
      <xdr:row>26</xdr:row>
      <xdr:rowOff>352425</xdr:rowOff>
    </xdr:to>
    <xdr:pic>
      <xdr:nvPicPr>
        <xdr:cNvPr id="69" name="Picture 22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05025" y="9431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495300</xdr:colOff>
      <xdr:row>32</xdr:row>
      <xdr:rowOff>352425</xdr:rowOff>
    </xdr:to>
    <xdr:pic>
      <xdr:nvPicPr>
        <xdr:cNvPr id="70" name="Picture 23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05025" y="9774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495300</xdr:colOff>
      <xdr:row>33</xdr:row>
      <xdr:rowOff>352425</xdr:rowOff>
    </xdr:to>
    <xdr:pic>
      <xdr:nvPicPr>
        <xdr:cNvPr id="71" name="Picture 24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05025" y="9831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62</xdr:row>
      <xdr:rowOff>19050</xdr:rowOff>
    </xdr:from>
    <xdr:to>
      <xdr:col>3</xdr:col>
      <xdr:colOff>495300</xdr:colOff>
      <xdr:row>62</xdr:row>
      <xdr:rowOff>352425</xdr:rowOff>
    </xdr:to>
    <xdr:pic>
      <xdr:nvPicPr>
        <xdr:cNvPr id="72" name="Picture 25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05025" y="11489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82</xdr:row>
      <xdr:rowOff>19050</xdr:rowOff>
    </xdr:from>
    <xdr:to>
      <xdr:col>3</xdr:col>
      <xdr:colOff>495300</xdr:colOff>
      <xdr:row>82</xdr:row>
      <xdr:rowOff>352425</xdr:rowOff>
    </xdr:to>
    <xdr:pic>
      <xdr:nvPicPr>
        <xdr:cNvPr id="73" name="Picture 26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05025" y="12632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495300</xdr:colOff>
      <xdr:row>61</xdr:row>
      <xdr:rowOff>352425</xdr:rowOff>
    </xdr:to>
    <xdr:pic>
      <xdr:nvPicPr>
        <xdr:cNvPr id="74" name="Picture 27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05025" y="11431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495300</xdr:colOff>
      <xdr:row>81</xdr:row>
      <xdr:rowOff>352425</xdr:rowOff>
    </xdr:to>
    <xdr:pic>
      <xdr:nvPicPr>
        <xdr:cNvPr id="75" name="Picture 28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05025" y="12574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495300</xdr:colOff>
      <xdr:row>63</xdr:row>
      <xdr:rowOff>352425</xdr:rowOff>
    </xdr:to>
    <xdr:pic>
      <xdr:nvPicPr>
        <xdr:cNvPr id="76" name="Picture 29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05025" y="11546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495300</xdr:colOff>
      <xdr:row>83</xdr:row>
      <xdr:rowOff>352425</xdr:rowOff>
    </xdr:to>
    <xdr:pic>
      <xdr:nvPicPr>
        <xdr:cNvPr id="77" name="Picture 30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05025" y="12689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84</xdr:row>
      <xdr:rowOff>19050</xdr:rowOff>
    </xdr:from>
    <xdr:to>
      <xdr:col>3</xdr:col>
      <xdr:colOff>495300</xdr:colOff>
      <xdr:row>84</xdr:row>
      <xdr:rowOff>352425</xdr:rowOff>
    </xdr:to>
    <xdr:pic>
      <xdr:nvPicPr>
        <xdr:cNvPr id="78" name="Picture 31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105025" y="12746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495300</xdr:colOff>
      <xdr:row>34</xdr:row>
      <xdr:rowOff>352425</xdr:rowOff>
    </xdr:to>
    <xdr:pic>
      <xdr:nvPicPr>
        <xdr:cNvPr id="79" name="Picture 32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05025" y="9888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495300</xdr:colOff>
      <xdr:row>35</xdr:row>
      <xdr:rowOff>352425</xdr:rowOff>
    </xdr:to>
    <xdr:pic>
      <xdr:nvPicPr>
        <xdr:cNvPr id="80" name="Picture 33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105025" y="9946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495300</xdr:colOff>
      <xdr:row>36</xdr:row>
      <xdr:rowOff>352425</xdr:rowOff>
    </xdr:to>
    <xdr:pic>
      <xdr:nvPicPr>
        <xdr:cNvPr id="81" name="Picture 34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05025" y="10003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495300</xdr:colOff>
      <xdr:row>30</xdr:row>
      <xdr:rowOff>352425</xdr:rowOff>
    </xdr:to>
    <xdr:pic>
      <xdr:nvPicPr>
        <xdr:cNvPr id="82" name="Picture 35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05025" y="9660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495300</xdr:colOff>
      <xdr:row>50</xdr:row>
      <xdr:rowOff>352425</xdr:rowOff>
    </xdr:to>
    <xdr:pic>
      <xdr:nvPicPr>
        <xdr:cNvPr id="83" name="Picture 36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05025" y="10803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495300</xdr:colOff>
      <xdr:row>142</xdr:row>
      <xdr:rowOff>352425</xdr:rowOff>
    </xdr:to>
    <xdr:pic>
      <xdr:nvPicPr>
        <xdr:cNvPr id="84" name="Picture 37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05025" y="16003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495300</xdr:colOff>
      <xdr:row>177</xdr:row>
      <xdr:rowOff>352425</xdr:rowOff>
    </xdr:to>
    <xdr:pic>
      <xdr:nvPicPr>
        <xdr:cNvPr id="85" name="Picture 38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05025" y="18004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495300</xdr:colOff>
      <xdr:row>51</xdr:row>
      <xdr:rowOff>352425</xdr:rowOff>
    </xdr:to>
    <xdr:pic>
      <xdr:nvPicPr>
        <xdr:cNvPr id="86" name="Picture 39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05025" y="10860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495300</xdr:colOff>
      <xdr:row>143</xdr:row>
      <xdr:rowOff>352425</xdr:rowOff>
    </xdr:to>
    <xdr:pic>
      <xdr:nvPicPr>
        <xdr:cNvPr id="87" name="Picture 40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05025" y="16061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495300</xdr:colOff>
      <xdr:row>178</xdr:row>
      <xdr:rowOff>352425</xdr:rowOff>
    </xdr:to>
    <xdr:pic>
      <xdr:nvPicPr>
        <xdr:cNvPr id="88" name="Picture 41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05025" y="18061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495300</xdr:colOff>
      <xdr:row>52</xdr:row>
      <xdr:rowOff>352425</xdr:rowOff>
    </xdr:to>
    <xdr:pic>
      <xdr:nvPicPr>
        <xdr:cNvPr id="89" name="Picture 42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05025" y="10917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495300</xdr:colOff>
      <xdr:row>144</xdr:row>
      <xdr:rowOff>352425</xdr:rowOff>
    </xdr:to>
    <xdr:pic>
      <xdr:nvPicPr>
        <xdr:cNvPr id="90" name="Picture 43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05025" y="16118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495300</xdr:colOff>
      <xdr:row>179</xdr:row>
      <xdr:rowOff>352425</xdr:rowOff>
    </xdr:to>
    <xdr:pic>
      <xdr:nvPicPr>
        <xdr:cNvPr id="91" name="Picture 44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05025" y="18118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495300</xdr:colOff>
      <xdr:row>53</xdr:row>
      <xdr:rowOff>352425</xdr:rowOff>
    </xdr:to>
    <xdr:pic>
      <xdr:nvPicPr>
        <xdr:cNvPr id="92" name="Picture 45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05025" y="10974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495300</xdr:colOff>
      <xdr:row>145</xdr:row>
      <xdr:rowOff>352425</xdr:rowOff>
    </xdr:to>
    <xdr:pic>
      <xdr:nvPicPr>
        <xdr:cNvPr id="93" name="Picture 46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05025" y="16175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495300</xdr:colOff>
      <xdr:row>180</xdr:row>
      <xdr:rowOff>352425</xdr:rowOff>
    </xdr:to>
    <xdr:pic>
      <xdr:nvPicPr>
        <xdr:cNvPr id="94" name="Picture 47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05025" y="18175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495300</xdr:colOff>
      <xdr:row>181</xdr:row>
      <xdr:rowOff>352425</xdr:rowOff>
    </xdr:to>
    <xdr:pic>
      <xdr:nvPicPr>
        <xdr:cNvPr id="95" name="Picture 48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05025" y="18232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495300</xdr:colOff>
      <xdr:row>146</xdr:row>
      <xdr:rowOff>352425</xdr:rowOff>
    </xdr:to>
    <xdr:pic>
      <xdr:nvPicPr>
        <xdr:cNvPr id="96" name="Picture 49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05025" y="16232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495300</xdr:colOff>
      <xdr:row>54</xdr:row>
      <xdr:rowOff>352425</xdr:rowOff>
    </xdr:to>
    <xdr:pic>
      <xdr:nvPicPr>
        <xdr:cNvPr id="97" name="Picture 50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05025" y="11031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495300</xdr:colOff>
      <xdr:row>55</xdr:row>
      <xdr:rowOff>352425</xdr:rowOff>
    </xdr:to>
    <xdr:pic>
      <xdr:nvPicPr>
        <xdr:cNvPr id="98" name="Picture 51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05025" y="11089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495300</xdr:colOff>
      <xdr:row>147</xdr:row>
      <xdr:rowOff>352425</xdr:rowOff>
    </xdr:to>
    <xdr:pic>
      <xdr:nvPicPr>
        <xdr:cNvPr id="99" name="Picture 52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05025" y="16289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172</xdr:row>
      <xdr:rowOff>19050</xdr:rowOff>
    </xdr:from>
    <xdr:to>
      <xdr:col>3</xdr:col>
      <xdr:colOff>495300</xdr:colOff>
      <xdr:row>172</xdr:row>
      <xdr:rowOff>352425</xdr:rowOff>
    </xdr:to>
    <xdr:pic>
      <xdr:nvPicPr>
        <xdr:cNvPr id="100" name="Picture 53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05025" y="17718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495300</xdr:colOff>
      <xdr:row>173</xdr:row>
      <xdr:rowOff>352425</xdr:rowOff>
    </xdr:to>
    <xdr:pic>
      <xdr:nvPicPr>
        <xdr:cNvPr id="101" name="Picture 54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05025" y="17775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495300</xdr:colOff>
      <xdr:row>148</xdr:row>
      <xdr:rowOff>352425</xdr:rowOff>
    </xdr:to>
    <xdr:pic>
      <xdr:nvPicPr>
        <xdr:cNvPr id="102" name="Picture 55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05025" y="16346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56</xdr:row>
      <xdr:rowOff>19050</xdr:rowOff>
    </xdr:from>
    <xdr:to>
      <xdr:col>3</xdr:col>
      <xdr:colOff>495300</xdr:colOff>
      <xdr:row>56</xdr:row>
      <xdr:rowOff>352425</xdr:rowOff>
    </xdr:to>
    <xdr:pic>
      <xdr:nvPicPr>
        <xdr:cNvPr id="103" name="Picture 56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05025" y="11146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149</xdr:row>
      <xdr:rowOff>19050</xdr:rowOff>
    </xdr:from>
    <xdr:to>
      <xdr:col>3</xdr:col>
      <xdr:colOff>485775</xdr:colOff>
      <xdr:row>149</xdr:row>
      <xdr:rowOff>352425</xdr:rowOff>
    </xdr:to>
    <xdr:pic>
      <xdr:nvPicPr>
        <xdr:cNvPr id="104" name="Picture 57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95500" y="16403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150</xdr:row>
      <xdr:rowOff>19050</xdr:rowOff>
    </xdr:from>
    <xdr:to>
      <xdr:col>3</xdr:col>
      <xdr:colOff>485775</xdr:colOff>
      <xdr:row>150</xdr:row>
      <xdr:rowOff>352425</xdr:rowOff>
    </xdr:to>
    <xdr:pic>
      <xdr:nvPicPr>
        <xdr:cNvPr id="105" name="Picture 58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95500" y="16461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151</xdr:row>
      <xdr:rowOff>19050</xdr:rowOff>
    </xdr:from>
    <xdr:to>
      <xdr:col>3</xdr:col>
      <xdr:colOff>485775</xdr:colOff>
      <xdr:row>151</xdr:row>
      <xdr:rowOff>352425</xdr:rowOff>
    </xdr:to>
    <xdr:pic>
      <xdr:nvPicPr>
        <xdr:cNvPr id="106" name="Picture 59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95500" y="16518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174</xdr:row>
      <xdr:rowOff>9525</xdr:rowOff>
    </xdr:from>
    <xdr:to>
      <xdr:col>3</xdr:col>
      <xdr:colOff>495300</xdr:colOff>
      <xdr:row>174</xdr:row>
      <xdr:rowOff>342900</xdr:rowOff>
    </xdr:to>
    <xdr:pic>
      <xdr:nvPicPr>
        <xdr:cNvPr id="107" name="Picture 60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05025" y="1783175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175</xdr:row>
      <xdr:rowOff>9525</xdr:rowOff>
    </xdr:from>
    <xdr:to>
      <xdr:col>3</xdr:col>
      <xdr:colOff>495300</xdr:colOff>
      <xdr:row>175</xdr:row>
      <xdr:rowOff>342900</xdr:rowOff>
    </xdr:to>
    <xdr:pic>
      <xdr:nvPicPr>
        <xdr:cNvPr id="108" name="Picture 61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05025" y="1788890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176</xdr:row>
      <xdr:rowOff>9525</xdr:rowOff>
    </xdr:from>
    <xdr:to>
      <xdr:col>3</xdr:col>
      <xdr:colOff>495300</xdr:colOff>
      <xdr:row>176</xdr:row>
      <xdr:rowOff>342900</xdr:rowOff>
    </xdr:to>
    <xdr:pic>
      <xdr:nvPicPr>
        <xdr:cNvPr id="109" name="Picture 62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05025" y="179460525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495300</xdr:colOff>
      <xdr:row>157</xdr:row>
      <xdr:rowOff>352425</xdr:rowOff>
    </xdr:to>
    <xdr:pic>
      <xdr:nvPicPr>
        <xdr:cNvPr id="110" name="Picture 63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05025" y="16861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495300</xdr:colOff>
      <xdr:row>152</xdr:row>
      <xdr:rowOff>352425</xdr:rowOff>
    </xdr:to>
    <xdr:pic>
      <xdr:nvPicPr>
        <xdr:cNvPr id="111" name="Picture 64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6575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114</xdr:row>
      <xdr:rowOff>19050</xdr:rowOff>
    </xdr:from>
    <xdr:to>
      <xdr:col>3</xdr:col>
      <xdr:colOff>495300</xdr:colOff>
      <xdr:row>114</xdr:row>
      <xdr:rowOff>352425</xdr:rowOff>
    </xdr:to>
    <xdr:pic>
      <xdr:nvPicPr>
        <xdr:cNvPr id="112" name="Picture 65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4460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495300</xdr:colOff>
      <xdr:row>115</xdr:row>
      <xdr:rowOff>352425</xdr:rowOff>
    </xdr:to>
    <xdr:pic>
      <xdr:nvPicPr>
        <xdr:cNvPr id="113" name="Picture 68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4518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495300</xdr:colOff>
      <xdr:row>119</xdr:row>
      <xdr:rowOff>352425</xdr:rowOff>
    </xdr:to>
    <xdr:pic>
      <xdr:nvPicPr>
        <xdr:cNvPr id="114" name="Picture 69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4746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495300</xdr:colOff>
      <xdr:row>131</xdr:row>
      <xdr:rowOff>352425</xdr:rowOff>
    </xdr:to>
    <xdr:pic>
      <xdr:nvPicPr>
        <xdr:cNvPr id="115" name="Picture 70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5375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495300</xdr:colOff>
      <xdr:row>153</xdr:row>
      <xdr:rowOff>352425</xdr:rowOff>
    </xdr:to>
    <xdr:pic>
      <xdr:nvPicPr>
        <xdr:cNvPr id="116" name="Picture 71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6632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495300</xdr:colOff>
      <xdr:row>130</xdr:row>
      <xdr:rowOff>352425</xdr:rowOff>
    </xdr:to>
    <xdr:pic>
      <xdr:nvPicPr>
        <xdr:cNvPr id="117" name="Picture 72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5318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495300</xdr:colOff>
      <xdr:row>132</xdr:row>
      <xdr:rowOff>352425</xdr:rowOff>
    </xdr:to>
    <xdr:pic>
      <xdr:nvPicPr>
        <xdr:cNvPr id="118" name="Picture 73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5432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495300</xdr:colOff>
      <xdr:row>154</xdr:row>
      <xdr:rowOff>352425</xdr:rowOff>
    </xdr:to>
    <xdr:pic>
      <xdr:nvPicPr>
        <xdr:cNvPr id="119" name="Picture 74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6689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495300</xdr:colOff>
      <xdr:row>120</xdr:row>
      <xdr:rowOff>352425</xdr:rowOff>
    </xdr:to>
    <xdr:pic>
      <xdr:nvPicPr>
        <xdr:cNvPr id="120" name="Picture 75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4803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495300</xdr:colOff>
      <xdr:row>127</xdr:row>
      <xdr:rowOff>352425</xdr:rowOff>
    </xdr:to>
    <xdr:pic>
      <xdr:nvPicPr>
        <xdr:cNvPr id="121" name="Picture 76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5203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495300</xdr:colOff>
      <xdr:row>116</xdr:row>
      <xdr:rowOff>352425</xdr:rowOff>
    </xdr:to>
    <xdr:pic>
      <xdr:nvPicPr>
        <xdr:cNvPr id="122" name="Picture 77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05025" y="14575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495300</xdr:colOff>
      <xdr:row>117</xdr:row>
      <xdr:rowOff>352425</xdr:rowOff>
    </xdr:to>
    <xdr:pic>
      <xdr:nvPicPr>
        <xdr:cNvPr id="123" name="Picture 78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4632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495300</xdr:colOff>
      <xdr:row>121</xdr:row>
      <xdr:rowOff>352425</xdr:rowOff>
    </xdr:to>
    <xdr:pic>
      <xdr:nvPicPr>
        <xdr:cNvPr id="124" name="Picture 79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4860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495300</xdr:colOff>
      <xdr:row>133</xdr:row>
      <xdr:rowOff>352425</xdr:rowOff>
    </xdr:to>
    <xdr:pic>
      <xdr:nvPicPr>
        <xdr:cNvPr id="125" name="Picture 80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5489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495300</xdr:colOff>
      <xdr:row>128</xdr:row>
      <xdr:rowOff>352425</xdr:rowOff>
    </xdr:to>
    <xdr:pic>
      <xdr:nvPicPr>
        <xdr:cNvPr id="126" name="Picture 81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5025" y="15260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495300</xdr:colOff>
      <xdr:row>67</xdr:row>
      <xdr:rowOff>352425</xdr:rowOff>
    </xdr:to>
    <xdr:pic>
      <xdr:nvPicPr>
        <xdr:cNvPr id="127" name="Picture 83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11774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495300</xdr:colOff>
      <xdr:row>118</xdr:row>
      <xdr:rowOff>352425</xdr:rowOff>
    </xdr:to>
    <xdr:pic>
      <xdr:nvPicPr>
        <xdr:cNvPr id="128" name="Picture 65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4689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495300</xdr:colOff>
      <xdr:row>122</xdr:row>
      <xdr:rowOff>352425</xdr:rowOff>
    </xdr:to>
    <xdr:pic>
      <xdr:nvPicPr>
        <xdr:cNvPr id="129" name="Picture 85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05025" y="14918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495300</xdr:colOff>
      <xdr:row>103</xdr:row>
      <xdr:rowOff>352425</xdr:rowOff>
    </xdr:to>
    <xdr:pic>
      <xdr:nvPicPr>
        <xdr:cNvPr id="130" name="Picture 87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05025" y="13832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495300</xdr:colOff>
      <xdr:row>104</xdr:row>
      <xdr:rowOff>352425</xdr:rowOff>
    </xdr:to>
    <xdr:pic>
      <xdr:nvPicPr>
        <xdr:cNvPr id="131" name="Picture 88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05025" y="13889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495300</xdr:colOff>
      <xdr:row>105</xdr:row>
      <xdr:rowOff>352425</xdr:rowOff>
    </xdr:to>
    <xdr:pic>
      <xdr:nvPicPr>
        <xdr:cNvPr id="132" name="Picture 89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05025" y="13946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495300</xdr:colOff>
      <xdr:row>106</xdr:row>
      <xdr:rowOff>352425</xdr:rowOff>
    </xdr:to>
    <xdr:pic>
      <xdr:nvPicPr>
        <xdr:cNvPr id="133" name="Picture 90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05025" y="14003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495300</xdr:colOff>
      <xdr:row>107</xdr:row>
      <xdr:rowOff>352425</xdr:rowOff>
    </xdr:to>
    <xdr:pic>
      <xdr:nvPicPr>
        <xdr:cNvPr id="134" name="Picture 91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05025" y="14060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495300</xdr:colOff>
      <xdr:row>108</xdr:row>
      <xdr:rowOff>352425</xdr:rowOff>
    </xdr:to>
    <xdr:pic>
      <xdr:nvPicPr>
        <xdr:cNvPr id="135" name="Picture 92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05025" y="14117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495300</xdr:colOff>
      <xdr:row>109</xdr:row>
      <xdr:rowOff>352425</xdr:rowOff>
    </xdr:to>
    <xdr:pic>
      <xdr:nvPicPr>
        <xdr:cNvPr id="136" name="Picture 93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05025" y="14175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111</xdr:row>
      <xdr:rowOff>19050</xdr:rowOff>
    </xdr:from>
    <xdr:to>
      <xdr:col>3</xdr:col>
      <xdr:colOff>495300</xdr:colOff>
      <xdr:row>111</xdr:row>
      <xdr:rowOff>352425</xdr:rowOff>
    </xdr:to>
    <xdr:pic>
      <xdr:nvPicPr>
        <xdr:cNvPr id="137" name="Picture 95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05025" y="14289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110</xdr:row>
      <xdr:rowOff>19050</xdr:rowOff>
    </xdr:from>
    <xdr:to>
      <xdr:col>3</xdr:col>
      <xdr:colOff>495300</xdr:colOff>
      <xdr:row>110</xdr:row>
      <xdr:rowOff>352425</xdr:rowOff>
    </xdr:to>
    <xdr:pic>
      <xdr:nvPicPr>
        <xdr:cNvPr id="138" name="Picture 94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05025" y="14232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495300</xdr:colOff>
      <xdr:row>112</xdr:row>
      <xdr:rowOff>352425</xdr:rowOff>
    </xdr:to>
    <xdr:pic>
      <xdr:nvPicPr>
        <xdr:cNvPr id="139" name="Picture 97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05025" y="14346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495300</xdr:colOff>
      <xdr:row>64</xdr:row>
      <xdr:rowOff>352425</xdr:rowOff>
    </xdr:to>
    <xdr:pic>
      <xdr:nvPicPr>
        <xdr:cNvPr id="140" name="Picture 98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05025" y="11603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495300</xdr:colOff>
      <xdr:row>65</xdr:row>
      <xdr:rowOff>352425</xdr:rowOff>
    </xdr:to>
    <xdr:pic>
      <xdr:nvPicPr>
        <xdr:cNvPr id="141" name="Picture 99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05025" y="11660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495300</xdr:colOff>
      <xdr:row>85</xdr:row>
      <xdr:rowOff>352425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05025" y="12803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86</xdr:row>
      <xdr:rowOff>19050</xdr:rowOff>
    </xdr:from>
    <xdr:to>
      <xdr:col>3</xdr:col>
      <xdr:colOff>495300</xdr:colOff>
      <xdr:row>86</xdr:row>
      <xdr:rowOff>352425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05025" y="12860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495300</xdr:colOff>
      <xdr:row>88</xdr:row>
      <xdr:rowOff>352425</xdr:rowOff>
    </xdr:to>
    <xdr:pic>
      <xdr:nvPicPr>
        <xdr:cNvPr id="144" name="Picture 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05025" y="129749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495300</xdr:colOff>
      <xdr:row>89</xdr:row>
      <xdr:rowOff>352425</xdr:rowOff>
    </xdr:to>
    <xdr:pic>
      <xdr:nvPicPr>
        <xdr:cNvPr id="145" name="Picture 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05025" y="130321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495300</xdr:colOff>
      <xdr:row>90</xdr:row>
      <xdr:rowOff>352425</xdr:rowOff>
    </xdr:to>
    <xdr:pic>
      <xdr:nvPicPr>
        <xdr:cNvPr id="146" name="Picture 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05025" y="130892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495300</xdr:colOff>
      <xdr:row>91</xdr:row>
      <xdr:rowOff>352425</xdr:rowOff>
    </xdr:to>
    <xdr:pic>
      <xdr:nvPicPr>
        <xdr:cNvPr id="147" name="Picture 6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05025" y="13146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495300</xdr:colOff>
      <xdr:row>92</xdr:row>
      <xdr:rowOff>352425</xdr:rowOff>
    </xdr:to>
    <xdr:pic>
      <xdr:nvPicPr>
        <xdr:cNvPr id="148" name="Picture 7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05025" y="132035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495300</xdr:colOff>
      <xdr:row>93</xdr:row>
      <xdr:rowOff>352425</xdr:rowOff>
    </xdr:to>
    <xdr:pic>
      <xdr:nvPicPr>
        <xdr:cNvPr id="149" name="Picture 8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05025" y="13260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495300</xdr:colOff>
      <xdr:row>87</xdr:row>
      <xdr:rowOff>352425</xdr:rowOff>
    </xdr:to>
    <xdr:pic>
      <xdr:nvPicPr>
        <xdr:cNvPr id="150" name="Picture 9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05025" y="129178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495300</xdr:colOff>
      <xdr:row>94</xdr:row>
      <xdr:rowOff>352425</xdr:rowOff>
    </xdr:to>
    <xdr:pic>
      <xdr:nvPicPr>
        <xdr:cNvPr id="151" name="Picture 10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05025" y="13317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495300</xdr:colOff>
      <xdr:row>95</xdr:row>
      <xdr:rowOff>352425</xdr:rowOff>
    </xdr:to>
    <xdr:pic>
      <xdr:nvPicPr>
        <xdr:cNvPr id="152" name="Picture 11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105025" y="133750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495300</xdr:colOff>
      <xdr:row>96</xdr:row>
      <xdr:rowOff>352425</xdr:rowOff>
    </xdr:to>
    <xdr:pic>
      <xdr:nvPicPr>
        <xdr:cNvPr id="153" name="Picture 1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05025" y="134321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495300</xdr:colOff>
      <xdr:row>97</xdr:row>
      <xdr:rowOff>352425</xdr:rowOff>
    </xdr:to>
    <xdr:pic>
      <xdr:nvPicPr>
        <xdr:cNvPr id="154" name="Picture 1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05025" y="13489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495300</xdr:colOff>
      <xdr:row>98</xdr:row>
      <xdr:rowOff>352425</xdr:rowOff>
    </xdr:to>
    <xdr:pic>
      <xdr:nvPicPr>
        <xdr:cNvPr id="155" name="Picture 1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05025" y="13546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495300</xdr:colOff>
      <xdr:row>99</xdr:row>
      <xdr:rowOff>352425</xdr:rowOff>
    </xdr:to>
    <xdr:pic>
      <xdr:nvPicPr>
        <xdr:cNvPr id="156" name="Picture 1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05025" y="13603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495300</xdr:colOff>
      <xdr:row>100</xdr:row>
      <xdr:rowOff>352425</xdr:rowOff>
    </xdr:to>
    <xdr:pic>
      <xdr:nvPicPr>
        <xdr:cNvPr id="157" name="Picture 1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05025" y="13660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101</xdr:row>
      <xdr:rowOff>19050</xdr:rowOff>
    </xdr:from>
    <xdr:to>
      <xdr:col>3</xdr:col>
      <xdr:colOff>495300</xdr:colOff>
      <xdr:row>101</xdr:row>
      <xdr:rowOff>352425</xdr:rowOff>
    </xdr:to>
    <xdr:pic>
      <xdr:nvPicPr>
        <xdr:cNvPr id="158" name="Picture 17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05025" y="13717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495300</xdr:colOff>
      <xdr:row>123</xdr:row>
      <xdr:rowOff>352425</xdr:rowOff>
    </xdr:to>
    <xdr:pic>
      <xdr:nvPicPr>
        <xdr:cNvPr id="159" name="Picture 1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05025" y="14975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495300</xdr:colOff>
      <xdr:row>125</xdr:row>
      <xdr:rowOff>352425</xdr:rowOff>
    </xdr:to>
    <xdr:pic>
      <xdr:nvPicPr>
        <xdr:cNvPr id="160" name="Picture 72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5089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495300</xdr:colOff>
      <xdr:row>124</xdr:row>
      <xdr:rowOff>352425</xdr:rowOff>
    </xdr:to>
    <xdr:pic>
      <xdr:nvPicPr>
        <xdr:cNvPr id="161" name="Picture 72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05025" y="15032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495300</xdr:colOff>
      <xdr:row>126</xdr:row>
      <xdr:rowOff>352425</xdr:rowOff>
    </xdr:to>
    <xdr:pic>
      <xdr:nvPicPr>
        <xdr:cNvPr id="162" name="Picture 70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05025" y="151466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495300</xdr:colOff>
      <xdr:row>134</xdr:row>
      <xdr:rowOff>352425</xdr:rowOff>
    </xdr:to>
    <xdr:pic>
      <xdr:nvPicPr>
        <xdr:cNvPr id="163" name="Picture 120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155467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495300</xdr:colOff>
      <xdr:row>135</xdr:row>
      <xdr:rowOff>352425</xdr:rowOff>
    </xdr:to>
    <xdr:pic>
      <xdr:nvPicPr>
        <xdr:cNvPr id="164" name="Picture 121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05025" y="156038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495300</xdr:colOff>
      <xdr:row>136</xdr:row>
      <xdr:rowOff>361950</xdr:rowOff>
    </xdr:to>
    <xdr:pic>
      <xdr:nvPicPr>
        <xdr:cNvPr id="165" name="Picture 122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05025" y="1566100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495300</xdr:colOff>
      <xdr:row>137</xdr:row>
      <xdr:rowOff>361950</xdr:rowOff>
    </xdr:to>
    <xdr:pic>
      <xdr:nvPicPr>
        <xdr:cNvPr id="166" name="Picture 123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05025" y="157181550"/>
          <a:ext cx="47625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495300</xdr:colOff>
      <xdr:row>138</xdr:row>
      <xdr:rowOff>352425</xdr:rowOff>
    </xdr:to>
    <xdr:pic>
      <xdr:nvPicPr>
        <xdr:cNvPr id="167" name="Picture 19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105025" y="15775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495300</xdr:colOff>
      <xdr:row>139</xdr:row>
      <xdr:rowOff>352425</xdr:rowOff>
    </xdr:to>
    <xdr:pic>
      <xdr:nvPicPr>
        <xdr:cNvPr id="168" name="Picture 20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105025" y="15832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495300</xdr:colOff>
      <xdr:row>140</xdr:row>
      <xdr:rowOff>352425</xdr:rowOff>
    </xdr:to>
    <xdr:pic>
      <xdr:nvPicPr>
        <xdr:cNvPr id="169" name="Picture 21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05025" y="15889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495300</xdr:colOff>
      <xdr:row>141</xdr:row>
      <xdr:rowOff>352425</xdr:rowOff>
    </xdr:to>
    <xdr:pic>
      <xdr:nvPicPr>
        <xdr:cNvPr id="170" name="Picture 22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105025" y="15946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495300</xdr:colOff>
      <xdr:row>102</xdr:row>
      <xdr:rowOff>352425</xdr:rowOff>
    </xdr:to>
    <xdr:pic>
      <xdr:nvPicPr>
        <xdr:cNvPr id="171" name="Picture 23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05025" y="13775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40</xdr:row>
      <xdr:rowOff>19050</xdr:rowOff>
    </xdr:from>
    <xdr:to>
      <xdr:col>3</xdr:col>
      <xdr:colOff>495300</xdr:colOff>
      <xdr:row>40</xdr:row>
      <xdr:rowOff>352425</xdr:rowOff>
    </xdr:to>
    <xdr:pic>
      <xdr:nvPicPr>
        <xdr:cNvPr id="172" name="Picture 87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05025" y="102317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495300</xdr:colOff>
      <xdr:row>41</xdr:row>
      <xdr:rowOff>352425</xdr:rowOff>
    </xdr:to>
    <xdr:pic>
      <xdr:nvPicPr>
        <xdr:cNvPr id="173" name="Picture 88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05025" y="102889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495300</xdr:colOff>
      <xdr:row>42</xdr:row>
      <xdr:rowOff>352425</xdr:rowOff>
    </xdr:to>
    <xdr:pic>
      <xdr:nvPicPr>
        <xdr:cNvPr id="174" name="Picture 89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05025" y="103460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495300</xdr:colOff>
      <xdr:row>43</xdr:row>
      <xdr:rowOff>352425</xdr:rowOff>
    </xdr:to>
    <xdr:pic>
      <xdr:nvPicPr>
        <xdr:cNvPr id="175" name="Picture 90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05025" y="104032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495300</xdr:colOff>
      <xdr:row>44</xdr:row>
      <xdr:rowOff>352425</xdr:rowOff>
    </xdr:to>
    <xdr:pic>
      <xdr:nvPicPr>
        <xdr:cNvPr id="176" name="Picture 91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05025" y="104603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495300</xdr:colOff>
      <xdr:row>37</xdr:row>
      <xdr:rowOff>352425</xdr:rowOff>
    </xdr:to>
    <xdr:pic>
      <xdr:nvPicPr>
        <xdr:cNvPr id="177" name="Picture 87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05025" y="100603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495300</xdr:colOff>
      <xdr:row>38</xdr:row>
      <xdr:rowOff>352425</xdr:rowOff>
    </xdr:to>
    <xdr:pic>
      <xdr:nvPicPr>
        <xdr:cNvPr id="178" name="Picture 88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05025" y="1011745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495300</xdr:colOff>
      <xdr:row>39</xdr:row>
      <xdr:rowOff>352425</xdr:rowOff>
    </xdr:to>
    <xdr:pic>
      <xdr:nvPicPr>
        <xdr:cNvPr id="179" name="Picture 89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05025" y="101746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495300</xdr:colOff>
      <xdr:row>45</xdr:row>
      <xdr:rowOff>352425</xdr:rowOff>
    </xdr:to>
    <xdr:pic>
      <xdr:nvPicPr>
        <xdr:cNvPr id="180" name="Picture 24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05025" y="105175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495300</xdr:colOff>
      <xdr:row>31</xdr:row>
      <xdr:rowOff>352425</xdr:rowOff>
    </xdr:to>
    <xdr:pic>
      <xdr:nvPicPr>
        <xdr:cNvPr id="181" name="Picture 25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05025" y="97174050"/>
          <a:ext cx="476250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3</xdr:col>
      <xdr:colOff>276225</xdr:colOff>
      <xdr:row>156</xdr:row>
      <xdr:rowOff>381000</xdr:rowOff>
    </xdr:to>
    <xdr:pic>
      <xdr:nvPicPr>
        <xdr:cNvPr id="182" name="Picture 6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85975" y="168021000"/>
          <a:ext cx="2762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3</xdr:col>
      <xdr:colOff>381000</xdr:colOff>
      <xdr:row>155</xdr:row>
      <xdr:rowOff>342900</xdr:rowOff>
    </xdr:to>
    <xdr:pic>
      <xdr:nvPicPr>
        <xdr:cNvPr id="183" name="Picture 4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085975" y="167449500"/>
          <a:ext cx="3810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3</xdr:col>
      <xdr:colOff>476250</xdr:colOff>
      <xdr:row>129</xdr:row>
      <xdr:rowOff>485775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86000" y="102870000"/>
          <a:ext cx="47625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enter/AppData/Local/Box/Box%20Edit/Documents/KgOP0EzQ6UKYXbgwwWDvNw==/FGV_Wegeuebersicht_aktuell_RegNr%202.2.10_SIC-01-11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geübersicht"/>
      <sheetName val="Wege im Detail"/>
      <sheetName val="KOMOOT-Berechnung"/>
      <sheetName val="2 - NSP bearbeitet"/>
      <sheetName val="1 -  NSP bearbeitet"/>
      <sheetName val="Auswertung"/>
      <sheetName val="Legende_Defintionen"/>
      <sheetName val="FGV-WegNr HWW"/>
      <sheetName val="FGV-WegNr Örtliche Wege"/>
      <sheetName val="NOCH_NICHT_BEARBEITET"/>
      <sheetName val="Lieferung 2015_01"/>
      <sheetName val="Lieferung 2013_02"/>
      <sheetName val="Lieferung_2013_01"/>
      <sheetName val="Änderungen Wegebezeichnungen"/>
      <sheetName val="Handlungsbedarf"/>
      <sheetName val="LVG - UK-Symbole"/>
      <sheetName val="UK-Symbole"/>
      <sheetName val="Notizen DB-Beauftragter"/>
      <sheetName val="Wege landkreisbezogen"/>
    </sheetNames>
    <sheetDataSet>
      <sheetData sheetId="0"/>
      <sheetData sheetId="1">
        <row r="1">
          <cell r="A1" t="str">
            <v xml:space="preserve">
LDBV – ID
(Wege-nummer)</v>
          </cell>
          <cell r="Q1" t="str">
            <v xml:space="preserve"> Abschn.
km</v>
          </cell>
        </row>
        <row r="2">
          <cell r="A2">
            <v>39</v>
          </cell>
          <cell r="Q2">
            <v>11.712</v>
          </cell>
        </row>
        <row r="3">
          <cell r="A3">
            <v>39</v>
          </cell>
          <cell r="Q3">
            <v>4.1399999999999997</v>
          </cell>
        </row>
        <row r="4">
          <cell r="A4">
            <v>39</v>
          </cell>
          <cell r="Q4">
            <v>6.734</v>
          </cell>
        </row>
        <row r="5">
          <cell r="A5">
            <v>39</v>
          </cell>
          <cell r="Q5">
            <v>6.1159999999999997</v>
          </cell>
        </row>
        <row r="6">
          <cell r="A6">
            <v>39</v>
          </cell>
          <cell r="Q6">
            <v>6.0970000000000004</v>
          </cell>
        </row>
        <row r="7">
          <cell r="A7">
            <v>39</v>
          </cell>
          <cell r="Q7">
            <v>9.1210000000000004</v>
          </cell>
        </row>
        <row r="8">
          <cell r="A8">
            <v>39</v>
          </cell>
          <cell r="Q8">
            <v>3.0510000000000002</v>
          </cell>
        </row>
        <row r="9">
          <cell r="A9">
            <v>39</v>
          </cell>
          <cell r="Q9">
            <v>1.758</v>
          </cell>
        </row>
        <row r="10">
          <cell r="A10">
            <v>39</v>
          </cell>
          <cell r="Q10">
            <v>17.292000000000002</v>
          </cell>
        </row>
        <row r="11">
          <cell r="A11">
            <v>39</v>
          </cell>
          <cell r="Q11">
            <v>9.7940000000000005</v>
          </cell>
        </row>
        <row r="12">
          <cell r="A12">
            <v>39</v>
          </cell>
          <cell r="Q12">
            <v>3.9590000000000001</v>
          </cell>
        </row>
        <row r="13">
          <cell r="A13">
            <v>206</v>
          </cell>
          <cell r="Q13">
            <v>5.1079999999999997</v>
          </cell>
        </row>
        <row r="14">
          <cell r="A14">
            <v>206</v>
          </cell>
          <cell r="Q14">
            <v>6.0979999999999999</v>
          </cell>
        </row>
        <row r="15">
          <cell r="A15">
            <v>206</v>
          </cell>
          <cell r="Q15">
            <v>5.8239999999999998</v>
          </cell>
        </row>
        <row r="16">
          <cell r="A16">
            <v>206</v>
          </cell>
          <cell r="Q16">
            <v>10.055</v>
          </cell>
        </row>
        <row r="17">
          <cell r="A17">
            <v>206</v>
          </cell>
          <cell r="Q17">
            <v>3.0539999999999998</v>
          </cell>
        </row>
        <row r="18">
          <cell r="A18">
            <v>353</v>
          </cell>
          <cell r="Q18">
            <v>2.6869999999999998</v>
          </cell>
        </row>
        <row r="19">
          <cell r="A19">
            <v>353</v>
          </cell>
          <cell r="Q19">
            <v>11.227</v>
          </cell>
        </row>
        <row r="20">
          <cell r="A20">
            <v>1992</v>
          </cell>
          <cell r="Q20">
            <v>9.8879999999999999</v>
          </cell>
        </row>
        <row r="21">
          <cell r="A21">
            <v>1992</v>
          </cell>
          <cell r="Q21">
            <v>4.1360000000000001</v>
          </cell>
        </row>
        <row r="22">
          <cell r="A22">
            <v>1992</v>
          </cell>
          <cell r="Q22">
            <v>6.7380000000000004</v>
          </cell>
        </row>
        <row r="23">
          <cell r="A23">
            <v>1992</v>
          </cell>
          <cell r="Q23">
            <v>6.1159999999999997</v>
          </cell>
        </row>
        <row r="24">
          <cell r="A24">
            <v>1992</v>
          </cell>
          <cell r="Q24">
            <v>6.0970000000000004</v>
          </cell>
        </row>
        <row r="25">
          <cell r="A25">
            <v>1992</v>
          </cell>
          <cell r="Q25">
            <v>9.1189999999999998</v>
          </cell>
        </row>
        <row r="26">
          <cell r="A26">
            <v>1992</v>
          </cell>
          <cell r="Q26">
            <v>3.0529999999999999</v>
          </cell>
        </row>
        <row r="27">
          <cell r="A27">
            <v>1992</v>
          </cell>
          <cell r="Q27">
            <v>1.756</v>
          </cell>
        </row>
        <row r="28">
          <cell r="A28">
            <v>1992</v>
          </cell>
          <cell r="Q28">
            <v>5.7130000000000001</v>
          </cell>
        </row>
        <row r="29">
          <cell r="A29">
            <v>1993</v>
          </cell>
          <cell r="Q29">
            <v>9.5570000000000004</v>
          </cell>
        </row>
        <row r="30">
          <cell r="A30">
            <v>1993</v>
          </cell>
          <cell r="Q30">
            <v>4.258</v>
          </cell>
        </row>
        <row r="31">
          <cell r="A31">
            <v>1993</v>
          </cell>
          <cell r="Q31">
            <v>10.464</v>
          </cell>
        </row>
        <row r="32">
          <cell r="A32">
            <v>1993</v>
          </cell>
          <cell r="Q32">
            <v>7.9219999999999997</v>
          </cell>
        </row>
        <row r="33">
          <cell r="A33">
            <v>1993</v>
          </cell>
          <cell r="Q33">
            <v>4.0439999999999996</v>
          </cell>
        </row>
        <row r="34">
          <cell r="A34">
            <v>1993</v>
          </cell>
          <cell r="Q34">
            <v>7.5049999999999999</v>
          </cell>
        </row>
        <row r="35">
          <cell r="A35">
            <v>1993</v>
          </cell>
          <cell r="Q35">
            <v>14.387</v>
          </cell>
        </row>
        <row r="36">
          <cell r="A36">
            <v>1993</v>
          </cell>
          <cell r="Q36">
            <v>9.0449999999999999</v>
          </cell>
        </row>
        <row r="37">
          <cell r="A37">
            <v>1993</v>
          </cell>
          <cell r="Q37">
            <v>15.53</v>
          </cell>
        </row>
        <row r="38">
          <cell r="A38">
            <v>1994</v>
          </cell>
          <cell r="Q38">
            <v>18.048999999999999</v>
          </cell>
        </row>
        <row r="39">
          <cell r="A39">
            <v>1994</v>
          </cell>
          <cell r="Q39">
            <v>17.529</v>
          </cell>
        </row>
        <row r="40">
          <cell r="A40">
            <v>1994</v>
          </cell>
          <cell r="Q40">
            <v>2.5830000000000002</v>
          </cell>
        </row>
        <row r="41">
          <cell r="A41">
            <v>1994</v>
          </cell>
          <cell r="Q41">
            <v>1.8</v>
          </cell>
        </row>
        <row r="42">
          <cell r="A42">
            <v>1994</v>
          </cell>
          <cell r="Q42">
            <v>10.785</v>
          </cell>
        </row>
        <row r="43">
          <cell r="A43">
            <v>1994</v>
          </cell>
          <cell r="Q43">
            <v>6.5</v>
          </cell>
        </row>
        <row r="44">
          <cell r="A44">
            <v>1994</v>
          </cell>
          <cell r="Q44">
            <v>5.7380000000000004</v>
          </cell>
        </row>
        <row r="45">
          <cell r="A45">
            <v>1994</v>
          </cell>
          <cell r="Q45">
            <v>9.6609999999999996</v>
          </cell>
        </row>
        <row r="46">
          <cell r="A46">
            <v>1996</v>
          </cell>
          <cell r="Q46">
            <v>11.702999999999999</v>
          </cell>
        </row>
        <row r="47">
          <cell r="A47">
            <v>1996</v>
          </cell>
          <cell r="Q47">
            <v>4.1660000000000004</v>
          </cell>
        </row>
        <row r="48">
          <cell r="A48">
            <v>1996</v>
          </cell>
          <cell r="Q48">
            <v>1.839</v>
          </cell>
        </row>
        <row r="49">
          <cell r="A49">
            <v>1996</v>
          </cell>
          <cell r="Q49">
            <v>4.9420000000000002</v>
          </cell>
        </row>
        <row r="50">
          <cell r="A50">
            <v>1996</v>
          </cell>
          <cell r="Q50">
            <v>3.403</v>
          </cell>
        </row>
        <row r="51">
          <cell r="A51">
            <v>1996</v>
          </cell>
          <cell r="Q51">
            <v>9.2370000000000001</v>
          </cell>
        </row>
        <row r="52">
          <cell r="A52">
            <v>1996</v>
          </cell>
          <cell r="Q52">
            <v>3.4289999999999998</v>
          </cell>
        </row>
        <row r="53">
          <cell r="A53">
            <v>1996</v>
          </cell>
          <cell r="Q53">
            <v>3.944</v>
          </cell>
        </row>
        <row r="54">
          <cell r="A54">
            <v>1996</v>
          </cell>
          <cell r="Q54">
            <v>12.22</v>
          </cell>
        </row>
        <row r="55">
          <cell r="A55">
            <v>1996</v>
          </cell>
          <cell r="Q55">
            <v>1.075</v>
          </cell>
        </row>
        <row r="56">
          <cell r="A56">
            <v>1996</v>
          </cell>
          <cell r="Q56">
            <v>4.1029999999999998</v>
          </cell>
        </row>
        <row r="57">
          <cell r="A57">
            <v>1996</v>
          </cell>
          <cell r="Q57">
            <v>4.5739999999999998</v>
          </cell>
        </row>
        <row r="58">
          <cell r="A58">
            <v>1996</v>
          </cell>
          <cell r="Q58">
            <v>7.569</v>
          </cell>
        </row>
        <row r="59">
          <cell r="A59">
            <v>1996</v>
          </cell>
          <cell r="Q59">
            <v>9.2899999999999991</v>
          </cell>
        </row>
        <row r="60">
          <cell r="A60">
            <v>1996</v>
          </cell>
          <cell r="Q60">
            <v>4.867</v>
          </cell>
        </row>
        <row r="61">
          <cell r="A61">
            <v>1996</v>
          </cell>
          <cell r="Q61">
            <v>20.724</v>
          </cell>
        </row>
        <row r="62">
          <cell r="A62">
            <v>2010</v>
          </cell>
          <cell r="Q62">
            <v>7.899</v>
          </cell>
        </row>
        <row r="63">
          <cell r="A63">
            <v>2035</v>
          </cell>
          <cell r="Q63">
            <v>0.247</v>
          </cell>
        </row>
        <row r="64">
          <cell r="A64">
            <v>2035</v>
          </cell>
          <cell r="Q64">
            <v>8.3559999999999999</v>
          </cell>
        </row>
        <row r="65">
          <cell r="A65">
            <v>2035</v>
          </cell>
          <cell r="Q65">
            <v>2.508</v>
          </cell>
        </row>
        <row r="66">
          <cell r="A66">
            <v>2039</v>
          </cell>
          <cell r="Q66">
            <v>7.7649999999999997</v>
          </cell>
        </row>
        <row r="67">
          <cell r="A67">
            <v>2039</v>
          </cell>
          <cell r="Q67">
            <v>7.5209999999999999</v>
          </cell>
        </row>
        <row r="68">
          <cell r="A68">
            <v>2040</v>
          </cell>
          <cell r="Q68">
            <v>7.1820000000000004</v>
          </cell>
        </row>
        <row r="69">
          <cell r="A69">
            <v>2040</v>
          </cell>
          <cell r="Q69">
            <v>2.4009999999999998</v>
          </cell>
        </row>
        <row r="70">
          <cell r="A70">
            <v>2040</v>
          </cell>
          <cell r="Q70">
            <v>1.0289999999999999</v>
          </cell>
        </row>
        <row r="71">
          <cell r="A71">
            <v>2050</v>
          </cell>
          <cell r="Q71">
            <v>9.4689999999999994</v>
          </cell>
        </row>
        <row r="72">
          <cell r="A72">
            <v>2050</v>
          </cell>
          <cell r="Q72">
            <v>4.7720000000000002</v>
          </cell>
        </row>
        <row r="73">
          <cell r="A73">
            <v>2050</v>
          </cell>
          <cell r="Q73">
            <v>1.9339999999999999</v>
          </cell>
        </row>
        <row r="74">
          <cell r="A74">
            <v>2050</v>
          </cell>
          <cell r="Q74">
            <v>5.0510000000000002</v>
          </cell>
        </row>
        <row r="75">
          <cell r="A75">
            <v>2050</v>
          </cell>
          <cell r="Q75">
            <v>3.4039999999999999</v>
          </cell>
        </row>
        <row r="76">
          <cell r="A76">
            <v>2050</v>
          </cell>
          <cell r="Q76">
            <v>9.2390000000000008</v>
          </cell>
        </row>
        <row r="77">
          <cell r="A77">
            <v>2050</v>
          </cell>
          <cell r="Q77">
            <v>3.4319999999999999</v>
          </cell>
        </row>
        <row r="78">
          <cell r="A78">
            <v>2050</v>
          </cell>
          <cell r="Q78">
            <v>3.9529999999999998</v>
          </cell>
        </row>
        <row r="79">
          <cell r="A79">
            <v>2050</v>
          </cell>
          <cell r="Q79">
            <v>7.0590000000000002</v>
          </cell>
        </row>
        <row r="80">
          <cell r="A80">
            <v>2051</v>
          </cell>
          <cell r="Q80">
            <v>8.73</v>
          </cell>
        </row>
        <row r="81">
          <cell r="A81">
            <v>2051</v>
          </cell>
          <cell r="Q81">
            <v>9.5139999999999993</v>
          </cell>
        </row>
        <row r="82">
          <cell r="A82">
            <v>2051</v>
          </cell>
          <cell r="Q82">
            <v>4.8109999999999999</v>
          </cell>
        </row>
        <row r="83">
          <cell r="A83">
            <v>2051</v>
          </cell>
          <cell r="Q83">
            <v>2.556</v>
          </cell>
        </row>
        <row r="84">
          <cell r="A84">
            <v>2051</v>
          </cell>
          <cell r="Q84">
            <v>4.9379999999999997</v>
          </cell>
        </row>
        <row r="85">
          <cell r="A85">
            <v>2051</v>
          </cell>
          <cell r="Q85">
            <v>3.4</v>
          </cell>
        </row>
        <row r="86">
          <cell r="A86">
            <v>2051</v>
          </cell>
          <cell r="Q86">
            <v>4.7640000000000002</v>
          </cell>
        </row>
        <row r="87">
          <cell r="A87">
            <v>2051</v>
          </cell>
          <cell r="Q87">
            <v>5.0819999999999999</v>
          </cell>
        </row>
        <row r="88">
          <cell r="A88">
            <v>2051</v>
          </cell>
          <cell r="Q88">
            <v>5.8150000000000004</v>
          </cell>
        </row>
        <row r="89">
          <cell r="A89">
            <v>2051</v>
          </cell>
          <cell r="Q89">
            <v>6.4340000000000002</v>
          </cell>
        </row>
        <row r="90">
          <cell r="A90">
            <v>2051</v>
          </cell>
          <cell r="Q90">
            <v>14.747999999999999</v>
          </cell>
        </row>
        <row r="91">
          <cell r="A91">
            <v>2066</v>
          </cell>
          <cell r="Q91">
            <v>8.7530000000000001</v>
          </cell>
        </row>
        <row r="92">
          <cell r="A92">
            <v>2066</v>
          </cell>
          <cell r="Q92">
            <v>4.4820000000000002</v>
          </cell>
        </row>
        <row r="93">
          <cell r="A93">
            <v>2066</v>
          </cell>
          <cell r="Q93">
            <v>6.7469999999999999</v>
          </cell>
        </row>
        <row r="94">
          <cell r="A94">
            <v>2066</v>
          </cell>
          <cell r="Q94">
            <v>13.324</v>
          </cell>
        </row>
        <row r="95">
          <cell r="A95">
            <v>2066</v>
          </cell>
          <cell r="Q95">
            <v>5.8819999999999997</v>
          </cell>
        </row>
        <row r="96">
          <cell r="A96">
            <v>2066</v>
          </cell>
          <cell r="Q96">
            <v>9.26</v>
          </cell>
        </row>
        <row r="97">
          <cell r="A97">
            <v>2075</v>
          </cell>
          <cell r="Q97">
            <v>4.1280000000000001</v>
          </cell>
        </row>
        <row r="98">
          <cell r="A98">
            <v>2075</v>
          </cell>
          <cell r="Q98">
            <v>5.7279999999999998</v>
          </cell>
        </row>
        <row r="99">
          <cell r="A99">
            <v>2075</v>
          </cell>
          <cell r="Q99">
            <v>3.2029999999999998</v>
          </cell>
        </row>
        <row r="100">
          <cell r="A100">
            <v>2077</v>
          </cell>
          <cell r="Q100">
            <v>3.173</v>
          </cell>
        </row>
        <row r="101">
          <cell r="A101">
            <v>2077</v>
          </cell>
          <cell r="Q101">
            <v>5.3209999999999997</v>
          </cell>
        </row>
        <row r="102">
          <cell r="A102">
            <v>2115</v>
          </cell>
          <cell r="Q102">
            <v>2.3220000000000001</v>
          </cell>
        </row>
        <row r="103">
          <cell r="A103">
            <v>2115</v>
          </cell>
          <cell r="Q103">
            <v>0.35199999999999998</v>
          </cell>
        </row>
        <row r="104">
          <cell r="A104">
            <v>2172</v>
          </cell>
          <cell r="Q104">
            <v>2.8250000000000002</v>
          </cell>
        </row>
        <row r="105">
          <cell r="A105">
            <v>2172</v>
          </cell>
          <cell r="Q105">
            <v>7.3529999999999998</v>
          </cell>
        </row>
        <row r="106">
          <cell r="A106">
            <v>2172</v>
          </cell>
          <cell r="Q106">
            <v>2.8719999999999999</v>
          </cell>
        </row>
        <row r="107">
          <cell r="A107">
            <v>2179</v>
          </cell>
          <cell r="Q107">
            <v>4.3230000000000004</v>
          </cell>
        </row>
        <row r="108">
          <cell r="A108">
            <v>2179</v>
          </cell>
          <cell r="Q108">
            <v>0.249</v>
          </cell>
        </row>
        <row r="109">
          <cell r="A109">
            <v>2226</v>
          </cell>
          <cell r="Q109">
            <v>6.7149999999999999</v>
          </cell>
        </row>
        <row r="110">
          <cell r="A110">
            <v>2226</v>
          </cell>
          <cell r="Q110">
            <v>2.294</v>
          </cell>
        </row>
        <row r="111">
          <cell r="A111">
            <v>2226</v>
          </cell>
          <cell r="Q111">
            <v>2.3460000000000001</v>
          </cell>
        </row>
        <row r="112">
          <cell r="A112">
            <v>2229</v>
          </cell>
          <cell r="Q112">
            <v>8.0530000000000008</v>
          </cell>
        </row>
        <row r="113">
          <cell r="A113">
            <v>2229</v>
          </cell>
          <cell r="Q113">
            <v>1.411</v>
          </cell>
        </row>
        <row r="114">
          <cell r="A114">
            <v>2229</v>
          </cell>
          <cell r="Q114">
            <v>7.8769999999999998</v>
          </cell>
        </row>
        <row r="115">
          <cell r="A115">
            <v>2229</v>
          </cell>
          <cell r="Q115">
            <v>4.9710000000000001</v>
          </cell>
        </row>
        <row r="116">
          <cell r="A116">
            <v>2231</v>
          </cell>
          <cell r="Q116">
            <v>3.2839999999999998</v>
          </cell>
        </row>
        <row r="117">
          <cell r="A117">
            <v>2231</v>
          </cell>
          <cell r="Q117">
            <v>5.5659999999999998</v>
          </cell>
        </row>
        <row r="118">
          <cell r="A118">
            <v>2231</v>
          </cell>
          <cell r="Q118">
            <v>1.8560000000000001</v>
          </cell>
        </row>
        <row r="119">
          <cell r="A119">
            <v>2240</v>
          </cell>
          <cell r="Q119">
            <v>10.298</v>
          </cell>
        </row>
        <row r="120">
          <cell r="A120">
            <v>2248</v>
          </cell>
          <cell r="Q120">
            <v>5.3920000000000003</v>
          </cell>
        </row>
        <row r="121">
          <cell r="A121">
            <v>2249</v>
          </cell>
          <cell r="Q121">
            <v>5.95</v>
          </cell>
        </row>
        <row r="122">
          <cell r="A122">
            <v>2289</v>
          </cell>
          <cell r="Q122">
            <v>6.09</v>
          </cell>
        </row>
        <row r="123">
          <cell r="A123">
            <v>2290</v>
          </cell>
          <cell r="Q123">
            <v>4.1859999999999999</v>
          </cell>
        </row>
        <row r="124">
          <cell r="A124">
            <v>2291</v>
          </cell>
          <cell r="Q124">
            <v>2.2959999999999998</v>
          </cell>
        </row>
        <row r="125">
          <cell r="A125">
            <v>2292</v>
          </cell>
          <cell r="Q125">
            <v>3.2890000000000001</v>
          </cell>
        </row>
        <row r="126">
          <cell r="A126">
            <v>2293</v>
          </cell>
          <cell r="Q126">
            <v>13.188000000000001</v>
          </cell>
        </row>
        <row r="127">
          <cell r="A127">
            <v>2457</v>
          </cell>
          <cell r="Q127">
            <v>5.9219999999999997</v>
          </cell>
        </row>
        <row r="128">
          <cell r="A128">
            <v>2457</v>
          </cell>
          <cell r="Q128">
            <v>2.8380000000000001</v>
          </cell>
        </row>
        <row r="129">
          <cell r="A129">
            <v>2457</v>
          </cell>
          <cell r="Q129">
            <v>0.14799999999999999</v>
          </cell>
        </row>
        <row r="130">
          <cell r="A130">
            <v>2457</v>
          </cell>
          <cell r="Q130">
            <v>2.8250000000000002</v>
          </cell>
        </row>
        <row r="131">
          <cell r="A131">
            <v>2457</v>
          </cell>
          <cell r="Q131">
            <v>1.859</v>
          </cell>
        </row>
        <row r="132">
          <cell r="A132">
            <v>2458</v>
          </cell>
          <cell r="Q132">
            <v>7.4169999999999998</v>
          </cell>
        </row>
        <row r="133">
          <cell r="A133">
            <v>2462</v>
          </cell>
          <cell r="Q133">
            <v>4.1399999999999997</v>
          </cell>
        </row>
        <row r="134">
          <cell r="A134">
            <v>2464</v>
          </cell>
          <cell r="Q134">
            <v>5.641</v>
          </cell>
        </row>
        <row r="135">
          <cell r="A135">
            <v>2466</v>
          </cell>
          <cell r="Q135">
            <v>10.887</v>
          </cell>
        </row>
        <row r="136">
          <cell r="A136">
            <v>2470</v>
          </cell>
          <cell r="Q136">
            <v>3.4449999999999998</v>
          </cell>
        </row>
        <row r="137">
          <cell r="A137">
            <v>2470</v>
          </cell>
          <cell r="Q137">
            <v>0.79400000000000004</v>
          </cell>
        </row>
        <row r="138">
          <cell r="A138">
            <v>2470</v>
          </cell>
          <cell r="Q138">
            <v>8.0969999999999995</v>
          </cell>
        </row>
        <row r="139">
          <cell r="A139">
            <v>2483</v>
          </cell>
          <cell r="Q139">
            <v>5.7069999999999999</v>
          </cell>
        </row>
        <row r="140">
          <cell r="A140">
            <v>2483</v>
          </cell>
          <cell r="Q140">
            <v>5.3140000000000001</v>
          </cell>
        </row>
        <row r="141">
          <cell r="A141">
            <v>2485</v>
          </cell>
          <cell r="Q141">
            <v>3.4529999999999998</v>
          </cell>
        </row>
        <row r="142">
          <cell r="A142">
            <v>2485</v>
          </cell>
          <cell r="Q142">
            <v>2.9769999999999999</v>
          </cell>
        </row>
        <row r="143">
          <cell r="A143">
            <v>2485</v>
          </cell>
          <cell r="Q143">
            <v>8.2910000000000004</v>
          </cell>
        </row>
        <row r="144">
          <cell r="A144">
            <v>2485</v>
          </cell>
          <cell r="Q144">
            <v>4.3140000000000001</v>
          </cell>
        </row>
        <row r="145">
          <cell r="A145">
            <v>2487</v>
          </cell>
          <cell r="Q145">
            <v>2.0939999999999999</v>
          </cell>
        </row>
        <row r="146">
          <cell r="A146">
            <v>2487</v>
          </cell>
          <cell r="Q146">
            <v>9.5000000000000001E-2</v>
          </cell>
        </row>
        <row r="147">
          <cell r="A147">
            <v>2488</v>
          </cell>
          <cell r="Q147">
            <v>11.327999999999999</v>
          </cell>
        </row>
        <row r="148">
          <cell r="A148">
            <v>2488</v>
          </cell>
          <cell r="Q148">
            <v>3.3450000000000002</v>
          </cell>
        </row>
        <row r="149">
          <cell r="A149">
            <v>2489</v>
          </cell>
          <cell r="Q149">
            <v>1.929</v>
          </cell>
        </row>
        <row r="150">
          <cell r="A150">
            <v>2489</v>
          </cell>
          <cell r="Q150">
            <v>1.2030000000000001</v>
          </cell>
        </row>
        <row r="151">
          <cell r="A151">
            <v>2489</v>
          </cell>
          <cell r="Q151">
            <v>0.10100000000000001</v>
          </cell>
        </row>
        <row r="152">
          <cell r="A152">
            <v>2491</v>
          </cell>
          <cell r="Q152">
            <v>5.4930000000000003</v>
          </cell>
        </row>
        <row r="153">
          <cell r="A153">
            <v>2491</v>
          </cell>
          <cell r="Q153">
            <v>2.0649999999999999</v>
          </cell>
        </row>
        <row r="154">
          <cell r="A154">
            <v>2491</v>
          </cell>
          <cell r="Q154">
            <v>0.41899999999999998</v>
          </cell>
        </row>
        <row r="155">
          <cell r="A155">
            <v>2494</v>
          </cell>
          <cell r="Q155">
            <v>1.585</v>
          </cell>
        </row>
        <row r="156">
          <cell r="A156">
            <v>2495</v>
          </cell>
          <cell r="Q156">
            <v>0.69299999999999995</v>
          </cell>
        </row>
        <row r="157">
          <cell r="A157">
            <v>2495</v>
          </cell>
          <cell r="Q157">
            <v>1.546</v>
          </cell>
        </row>
        <row r="158">
          <cell r="A158">
            <v>2497</v>
          </cell>
          <cell r="Q158">
            <v>4.3440000000000003</v>
          </cell>
        </row>
        <row r="159">
          <cell r="A159">
            <v>2500</v>
          </cell>
          <cell r="Q159">
            <v>0.63</v>
          </cell>
        </row>
        <row r="160">
          <cell r="A160">
            <v>2500</v>
          </cell>
          <cell r="Q160">
            <v>10.157999999999999</v>
          </cell>
        </row>
        <row r="161">
          <cell r="A161">
            <v>2500</v>
          </cell>
          <cell r="Q161">
            <v>4.4770000000000003</v>
          </cell>
        </row>
        <row r="162">
          <cell r="A162">
            <v>2500</v>
          </cell>
          <cell r="Q162">
            <v>5.7670000000000003</v>
          </cell>
        </row>
        <row r="163">
          <cell r="A163">
            <v>2503</v>
          </cell>
          <cell r="Q163">
            <v>5.0339999999999998</v>
          </cell>
        </row>
        <row r="164">
          <cell r="A164">
            <v>2503</v>
          </cell>
          <cell r="Q164">
            <v>1.679</v>
          </cell>
        </row>
        <row r="165">
          <cell r="A165">
            <v>2503</v>
          </cell>
          <cell r="Q165">
            <v>3.83</v>
          </cell>
        </row>
        <row r="166">
          <cell r="A166">
            <v>2506</v>
          </cell>
          <cell r="Q166">
            <v>3.6760000000000002</v>
          </cell>
        </row>
        <row r="167">
          <cell r="A167">
            <v>2511</v>
          </cell>
          <cell r="Q167">
            <v>5.5620000000000003</v>
          </cell>
        </row>
        <row r="168">
          <cell r="A168">
            <v>2512</v>
          </cell>
          <cell r="Q168">
            <v>3.4060000000000001</v>
          </cell>
        </row>
        <row r="169">
          <cell r="A169">
            <v>2512</v>
          </cell>
          <cell r="Q169">
            <v>0.55400000000000005</v>
          </cell>
        </row>
        <row r="170">
          <cell r="A170">
            <v>2513</v>
          </cell>
          <cell r="Q170">
            <v>3.8380000000000001</v>
          </cell>
        </row>
        <row r="171">
          <cell r="A171">
            <v>2513</v>
          </cell>
          <cell r="Q171">
            <v>0.315</v>
          </cell>
        </row>
        <row r="172">
          <cell r="A172">
            <v>2521</v>
          </cell>
          <cell r="Q172">
            <v>3.9889999999999999</v>
          </cell>
        </row>
        <row r="173">
          <cell r="A173">
            <v>2521</v>
          </cell>
          <cell r="Q173">
            <v>7.4009999999999998</v>
          </cell>
        </row>
        <row r="174">
          <cell r="A174">
            <v>2521</v>
          </cell>
          <cell r="Q174">
            <v>1.8169999999999999</v>
          </cell>
        </row>
        <row r="175">
          <cell r="A175">
            <v>2521</v>
          </cell>
          <cell r="Q175">
            <v>2.9340000000000002</v>
          </cell>
        </row>
        <row r="176">
          <cell r="A176">
            <v>2523</v>
          </cell>
          <cell r="Q176">
            <v>1.4410000000000001</v>
          </cell>
        </row>
        <row r="177">
          <cell r="A177">
            <v>2523</v>
          </cell>
          <cell r="Q177">
            <v>9.7159999999999993</v>
          </cell>
        </row>
        <row r="178">
          <cell r="A178">
            <v>2523</v>
          </cell>
          <cell r="Q178">
            <v>2.6840000000000002</v>
          </cell>
        </row>
        <row r="179">
          <cell r="A179">
            <v>2524</v>
          </cell>
          <cell r="Q179">
            <v>2.222</v>
          </cell>
        </row>
        <row r="180">
          <cell r="A180">
            <v>2524</v>
          </cell>
          <cell r="Q180">
            <v>2.427</v>
          </cell>
        </row>
        <row r="181">
          <cell r="A181">
            <v>2526</v>
          </cell>
          <cell r="Q181">
            <v>1.5580000000000001</v>
          </cell>
        </row>
        <row r="182">
          <cell r="A182">
            <v>2526</v>
          </cell>
          <cell r="Q182">
            <v>2.9039999999999999</v>
          </cell>
        </row>
        <row r="183">
          <cell r="A183">
            <v>2529</v>
          </cell>
          <cell r="Q183">
            <v>3.2130000000000001</v>
          </cell>
        </row>
        <row r="184">
          <cell r="A184">
            <v>2529</v>
          </cell>
          <cell r="Q184">
            <v>2.5379999999999998</v>
          </cell>
        </row>
        <row r="185">
          <cell r="A185">
            <v>2529</v>
          </cell>
          <cell r="Q185">
            <v>2.9359999999999999</v>
          </cell>
        </row>
        <row r="186">
          <cell r="A186">
            <v>2529</v>
          </cell>
          <cell r="Q186">
            <v>8.9649999999999999</v>
          </cell>
        </row>
        <row r="187">
          <cell r="A187">
            <v>2529</v>
          </cell>
          <cell r="Q187">
            <v>7.5579999999999998</v>
          </cell>
        </row>
        <row r="188">
          <cell r="A188">
            <v>2529</v>
          </cell>
          <cell r="Q188">
            <v>7.3659999999999997</v>
          </cell>
        </row>
        <row r="189">
          <cell r="A189">
            <v>2529</v>
          </cell>
          <cell r="Q189">
            <v>5.6849999999999996</v>
          </cell>
        </row>
        <row r="190">
          <cell r="A190">
            <v>2529</v>
          </cell>
          <cell r="Q190">
            <v>2.085</v>
          </cell>
        </row>
        <row r="191">
          <cell r="A191">
            <v>2529</v>
          </cell>
          <cell r="Q191">
            <v>2.0169999999999999</v>
          </cell>
        </row>
        <row r="192">
          <cell r="A192">
            <v>2529</v>
          </cell>
          <cell r="Q192">
            <v>4.367</v>
          </cell>
        </row>
        <row r="193">
          <cell r="A193">
            <v>2529</v>
          </cell>
          <cell r="Q193">
            <v>5.8769999999999998</v>
          </cell>
        </row>
        <row r="194">
          <cell r="A194">
            <v>2529</v>
          </cell>
          <cell r="Q194">
            <v>4.9429999999999996</v>
          </cell>
        </row>
        <row r="195">
          <cell r="A195">
            <v>2529</v>
          </cell>
          <cell r="Q195">
            <v>2.3650000000000002</v>
          </cell>
        </row>
        <row r="196">
          <cell r="A196">
            <v>2529</v>
          </cell>
          <cell r="Q196">
            <v>2.5030000000000001</v>
          </cell>
        </row>
        <row r="197">
          <cell r="A197">
            <v>2529</v>
          </cell>
          <cell r="Q197">
            <v>2.34</v>
          </cell>
        </row>
        <row r="198">
          <cell r="A198">
            <v>2530</v>
          </cell>
          <cell r="Q198">
            <v>7.9809999999999999</v>
          </cell>
        </row>
        <row r="199">
          <cell r="A199">
            <v>2530</v>
          </cell>
          <cell r="Q199">
            <v>4.2450000000000001</v>
          </cell>
        </row>
        <row r="200">
          <cell r="A200">
            <v>2530</v>
          </cell>
          <cell r="Q200">
            <v>8.8670000000000009</v>
          </cell>
        </row>
        <row r="201">
          <cell r="A201">
            <v>2530</v>
          </cell>
          <cell r="Q201">
            <v>6.9109999999999996</v>
          </cell>
        </row>
        <row r="202">
          <cell r="A202">
            <v>2530</v>
          </cell>
          <cell r="Q202">
            <v>9.6419999999999995</v>
          </cell>
        </row>
        <row r="203">
          <cell r="A203">
            <v>2530</v>
          </cell>
          <cell r="Q203">
            <v>4.3520000000000003</v>
          </cell>
        </row>
        <row r="204">
          <cell r="A204">
            <v>2589</v>
          </cell>
          <cell r="Q204">
            <v>14.144</v>
          </cell>
        </row>
        <row r="205">
          <cell r="A205">
            <v>2589</v>
          </cell>
          <cell r="Q205">
            <v>12.65</v>
          </cell>
        </row>
        <row r="206">
          <cell r="A206">
            <v>2634</v>
          </cell>
          <cell r="Q206">
            <v>6.5940000000000003</v>
          </cell>
        </row>
        <row r="207">
          <cell r="A207">
            <v>2636</v>
          </cell>
          <cell r="Q207">
            <v>9.3539999999999992</v>
          </cell>
        </row>
        <row r="208">
          <cell r="A208">
            <v>2646</v>
          </cell>
          <cell r="Q208">
            <v>4.3959999999999999</v>
          </cell>
        </row>
        <row r="209">
          <cell r="A209">
            <v>2648</v>
          </cell>
          <cell r="Q209">
            <v>10.688000000000001</v>
          </cell>
        </row>
        <row r="210">
          <cell r="A210">
            <v>2687</v>
          </cell>
          <cell r="Q210">
            <v>9.843</v>
          </cell>
        </row>
        <row r="211">
          <cell r="A211">
            <v>2688</v>
          </cell>
          <cell r="Q211">
            <v>7.298</v>
          </cell>
        </row>
        <row r="212">
          <cell r="A212">
            <v>2689</v>
          </cell>
          <cell r="Q212">
            <v>6.06</v>
          </cell>
        </row>
        <row r="213">
          <cell r="A213">
            <v>2690</v>
          </cell>
          <cell r="Q213">
            <v>4.0229999999999997</v>
          </cell>
        </row>
        <row r="214">
          <cell r="A214">
            <v>2692</v>
          </cell>
          <cell r="Q214">
            <v>6.4790000000000001</v>
          </cell>
        </row>
        <row r="215">
          <cell r="A215">
            <v>2693</v>
          </cell>
          <cell r="Q215">
            <v>2.6019999999999999</v>
          </cell>
        </row>
        <row r="216">
          <cell r="A216">
            <v>2694</v>
          </cell>
          <cell r="Q216">
            <v>7.6870000000000003</v>
          </cell>
        </row>
        <row r="217">
          <cell r="A217">
            <v>2695</v>
          </cell>
          <cell r="Q217">
            <v>4.5940000000000003</v>
          </cell>
        </row>
        <row r="218">
          <cell r="A218">
            <v>2696</v>
          </cell>
          <cell r="Q218">
            <v>3.6640000000000001</v>
          </cell>
        </row>
        <row r="219">
          <cell r="A219">
            <v>2697</v>
          </cell>
          <cell r="Q219">
            <v>3.593</v>
          </cell>
        </row>
        <row r="220">
          <cell r="A220">
            <v>2723</v>
          </cell>
          <cell r="Q220">
            <v>7.24</v>
          </cell>
        </row>
        <row r="221">
          <cell r="A221">
            <v>2724</v>
          </cell>
          <cell r="Q221">
            <v>7.4180000000000001</v>
          </cell>
        </row>
        <row r="222">
          <cell r="A222">
            <v>2879</v>
          </cell>
          <cell r="Q222">
            <v>10.363</v>
          </cell>
        </row>
        <row r="223">
          <cell r="A223">
            <v>2881</v>
          </cell>
          <cell r="Q223">
            <v>7.423</v>
          </cell>
        </row>
        <row r="224">
          <cell r="A224">
            <v>2881</v>
          </cell>
          <cell r="Q224">
            <v>1.371</v>
          </cell>
        </row>
        <row r="225">
          <cell r="A225">
            <v>2883</v>
          </cell>
          <cell r="Q225">
            <v>3.1560000000000001</v>
          </cell>
        </row>
        <row r="226">
          <cell r="A226">
            <v>2883</v>
          </cell>
          <cell r="Q226">
            <v>0.86899999999999999</v>
          </cell>
        </row>
        <row r="227">
          <cell r="A227">
            <v>2885</v>
          </cell>
          <cell r="Q227">
            <v>5.0789999999999997</v>
          </cell>
        </row>
        <row r="228">
          <cell r="A228">
            <v>2885</v>
          </cell>
          <cell r="Q228">
            <v>2.8820000000000001</v>
          </cell>
        </row>
        <row r="229">
          <cell r="A229">
            <v>2887</v>
          </cell>
          <cell r="Q229">
            <v>4.1479999999999997</v>
          </cell>
        </row>
        <row r="230">
          <cell r="A230">
            <v>2887</v>
          </cell>
          <cell r="Q230">
            <v>3.6280000000000001</v>
          </cell>
        </row>
        <row r="231">
          <cell r="A231">
            <v>2890</v>
          </cell>
          <cell r="Q231">
            <v>9.0660000000000007</v>
          </cell>
        </row>
        <row r="232">
          <cell r="A232">
            <v>2895</v>
          </cell>
          <cell r="Q232">
            <v>4.22</v>
          </cell>
        </row>
        <row r="233">
          <cell r="A233">
            <v>2895</v>
          </cell>
          <cell r="Q233">
            <v>4.1520000000000001</v>
          </cell>
        </row>
        <row r="234">
          <cell r="A234">
            <v>2896</v>
          </cell>
          <cell r="Q234">
            <v>3.8530000000000002</v>
          </cell>
        </row>
        <row r="235">
          <cell r="A235">
            <v>2896</v>
          </cell>
          <cell r="Q235">
            <v>5.03</v>
          </cell>
        </row>
        <row r="236">
          <cell r="A236">
            <v>2899</v>
          </cell>
          <cell r="Q236">
            <v>2.4009999999999998</v>
          </cell>
        </row>
        <row r="237">
          <cell r="A237">
            <v>2899</v>
          </cell>
          <cell r="Q237">
            <v>0.90300000000000002</v>
          </cell>
        </row>
        <row r="238">
          <cell r="A238">
            <v>2913</v>
          </cell>
          <cell r="Q238">
            <v>3.79</v>
          </cell>
        </row>
        <row r="239">
          <cell r="A239">
            <v>2913</v>
          </cell>
          <cell r="Q239">
            <v>1.4339999999999999</v>
          </cell>
        </row>
        <row r="240">
          <cell r="A240">
            <v>2913</v>
          </cell>
          <cell r="Q240">
            <v>0.67400000000000004</v>
          </cell>
        </row>
        <row r="241">
          <cell r="A241">
            <v>2917</v>
          </cell>
          <cell r="Q241">
            <v>3.0790000000000002</v>
          </cell>
        </row>
        <row r="242">
          <cell r="A242">
            <v>2917</v>
          </cell>
          <cell r="Q242">
            <v>3.8149999999999999</v>
          </cell>
        </row>
        <row r="243">
          <cell r="A243">
            <v>2917</v>
          </cell>
          <cell r="Q243">
            <v>4.6840000000000002</v>
          </cell>
        </row>
        <row r="244">
          <cell r="A244">
            <v>2971</v>
          </cell>
          <cell r="Q244">
            <v>14.167999999999999</v>
          </cell>
        </row>
        <row r="245">
          <cell r="A245">
            <v>2971</v>
          </cell>
          <cell r="Q245">
            <v>6.0860000000000003</v>
          </cell>
        </row>
        <row r="246">
          <cell r="A246">
            <v>2971</v>
          </cell>
          <cell r="Q246">
            <v>7.9560000000000004</v>
          </cell>
        </row>
        <row r="247">
          <cell r="A247">
            <v>2971</v>
          </cell>
          <cell r="Q247">
            <v>10.034000000000001</v>
          </cell>
        </row>
        <row r="248">
          <cell r="A248">
            <v>2971</v>
          </cell>
          <cell r="Q248">
            <v>4.1710000000000003</v>
          </cell>
        </row>
        <row r="249">
          <cell r="A249">
            <v>2971</v>
          </cell>
          <cell r="Q249">
            <v>8.5860000000000003</v>
          </cell>
        </row>
        <row r="250">
          <cell r="A250">
            <v>2971</v>
          </cell>
          <cell r="Q250">
            <v>6.8609999999999998</v>
          </cell>
        </row>
        <row r="251">
          <cell r="A251">
            <v>2971</v>
          </cell>
          <cell r="Q251">
            <v>17.170999999999999</v>
          </cell>
        </row>
        <row r="252">
          <cell r="A252">
            <v>2977</v>
          </cell>
          <cell r="Q252">
            <v>8.3309999999999995</v>
          </cell>
        </row>
        <row r="253">
          <cell r="A253">
            <v>2979</v>
          </cell>
          <cell r="Q253">
            <v>6.0780000000000003</v>
          </cell>
        </row>
        <row r="254">
          <cell r="A254">
            <v>2980</v>
          </cell>
          <cell r="Q254">
            <v>6.7220000000000004</v>
          </cell>
        </row>
        <row r="255">
          <cell r="A255">
            <v>2982</v>
          </cell>
          <cell r="Q255">
            <v>7.4969999999999999</v>
          </cell>
        </row>
        <row r="256">
          <cell r="A256">
            <v>2985</v>
          </cell>
          <cell r="Q256">
            <v>6.5869999999999997</v>
          </cell>
        </row>
        <row r="257">
          <cell r="A257">
            <v>2987</v>
          </cell>
          <cell r="Q257">
            <v>4.4640000000000004</v>
          </cell>
        </row>
        <row r="258">
          <cell r="A258">
            <v>2988</v>
          </cell>
          <cell r="Q258">
            <v>4.8390000000000004</v>
          </cell>
        </row>
        <row r="259">
          <cell r="A259">
            <v>2989</v>
          </cell>
          <cell r="Q259">
            <v>5.0359999999999996</v>
          </cell>
        </row>
        <row r="260">
          <cell r="A260">
            <v>2990</v>
          </cell>
          <cell r="Q260">
            <v>9.077</v>
          </cell>
        </row>
        <row r="261">
          <cell r="A261">
            <v>2991</v>
          </cell>
          <cell r="Q261">
            <v>5.992</v>
          </cell>
        </row>
        <row r="262">
          <cell r="A262">
            <v>2992</v>
          </cell>
          <cell r="Q262">
            <v>4.6920000000000002</v>
          </cell>
        </row>
        <row r="263">
          <cell r="A263">
            <v>3033</v>
          </cell>
          <cell r="Q263">
            <v>4.2519999999999998</v>
          </cell>
        </row>
        <row r="264">
          <cell r="A264">
            <v>3034</v>
          </cell>
          <cell r="Q264">
            <v>4.9139999999999997</v>
          </cell>
        </row>
        <row r="265">
          <cell r="A265">
            <v>3035</v>
          </cell>
          <cell r="Q265">
            <v>6.9989999999999997</v>
          </cell>
        </row>
        <row r="266">
          <cell r="A266">
            <v>3140</v>
          </cell>
          <cell r="Q266">
            <v>8.6059999999999999</v>
          </cell>
        </row>
        <row r="267">
          <cell r="A267">
            <v>3141</v>
          </cell>
          <cell r="Q267">
            <v>6.9210000000000003</v>
          </cell>
        </row>
        <row r="268">
          <cell r="A268">
            <v>3143</v>
          </cell>
          <cell r="Q268">
            <v>10.923</v>
          </cell>
        </row>
        <row r="269">
          <cell r="A269">
            <v>3144</v>
          </cell>
          <cell r="Q269">
            <v>10.566000000000001</v>
          </cell>
        </row>
        <row r="270">
          <cell r="A270">
            <v>3147</v>
          </cell>
          <cell r="Q270">
            <v>10.789</v>
          </cell>
        </row>
        <row r="271">
          <cell r="A271">
            <v>3148</v>
          </cell>
          <cell r="Q271">
            <v>3.7440000000000002</v>
          </cell>
        </row>
        <row r="272">
          <cell r="A272">
            <v>3150</v>
          </cell>
          <cell r="Q272">
            <v>4.492</v>
          </cell>
        </row>
        <row r="273">
          <cell r="A273">
            <v>3151</v>
          </cell>
          <cell r="Q273">
            <v>4.7409999999999997</v>
          </cell>
        </row>
        <row r="274">
          <cell r="A274">
            <v>3152</v>
          </cell>
          <cell r="Q274">
            <v>6.3579999999999997</v>
          </cell>
        </row>
        <row r="275">
          <cell r="A275">
            <v>3153</v>
          </cell>
          <cell r="Q275">
            <v>6.8959999999999999</v>
          </cell>
        </row>
        <row r="276">
          <cell r="A276">
            <v>3157</v>
          </cell>
          <cell r="Q276">
            <v>8.3420000000000005</v>
          </cell>
        </row>
        <row r="277">
          <cell r="A277">
            <v>3206</v>
          </cell>
          <cell r="Q277">
            <v>6.43</v>
          </cell>
        </row>
        <row r="278">
          <cell r="A278">
            <v>3206</v>
          </cell>
          <cell r="Q278">
            <v>2.2050000000000001</v>
          </cell>
        </row>
        <row r="279">
          <cell r="A279">
            <v>3207</v>
          </cell>
          <cell r="Q279">
            <v>4.2679999999999998</v>
          </cell>
        </row>
        <row r="280">
          <cell r="A280">
            <v>3207</v>
          </cell>
          <cell r="Q280">
            <v>4.5759999999999996</v>
          </cell>
        </row>
        <row r="281">
          <cell r="A281">
            <v>3287</v>
          </cell>
          <cell r="Q281">
            <v>2.504</v>
          </cell>
        </row>
        <row r="282">
          <cell r="A282">
            <v>3287</v>
          </cell>
          <cell r="Q282">
            <v>3.8119999999999998</v>
          </cell>
        </row>
        <row r="283">
          <cell r="A283">
            <v>3288</v>
          </cell>
          <cell r="Q283">
            <v>5.1760000000000002</v>
          </cell>
        </row>
        <row r="284">
          <cell r="A284">
            <v>3290</v>
          </cell>
          <cell r="Q284">
            <v>13.818</v>
          </cell>
        </row>
        <row r="285">
          <cell r="A285">
            <v>3290</v>
          </cell>
          <cell r="Q285">
            <v>2.0030000000000001</v>
          </cell>
        </row>
        <row r="286">
          <cell r="A286">
            <v>3290</v>
          </cell>
          <cell r="Q286">
            <v>0.73299999999999998</v>
          </cell>
        </row>
        <row r="287">
          <cell r="A287">
            <v>3291</v>
          </cell>
          <cell r="Q287">
            <v>4.5309999999999997</v>
          </cell>
        </row>
        <row r="288">
          <cell r="A288">
            <v>3291</v>
          </cell>
          <cell r="Q288">
            <v>3.6059999999999999</v>
          </cell>
        </row>
        <row r="289">
          <cell r="A289">
            <v>3292</v>
          </cell>
          <cell r="Q289">
            <v>6.2969999999999997</v>
          </cell>
        </row>
        <row r="290">
          <cell r="A290">
            <v>3292</v>
          </cell>
          <cell r="Q290">
            <v>6.452</v>
          </cell>
        </row>
        <row r="291">
          <cell r="A291">
            <v>3304</v>
          </cell>
          <cell r="Q291">
            <v>15.708</v>
          </cell>
        </row>
        <row r="292">
          <cell r="A292">
            <v>3304</v>
          </cell>
          <cell r="Q292">
            <v>11.097</v>
          </cell>
        </row>
        <row r="293">
          <cell r="A293">
            <v>3304</v>
          </cell>
          <cell r="Q293">
            <v>9.8360000000000003</v>
          </cell>
        </row>
        <row r="294">
          <cell r="A294">
            <v>3304</v>
          </cell>
          <cell r="Q294">
            <v>8.1270000000000007</v>
          </cell>
        </row>
        <row r="295">
          <cell r="A295">
            <v>3304</v>
          </cell>
          <cell r="Q295">
            <v>10.342000000000001</v>
          </cell>
        </row>
        <row r="296">
          <cell r="A296">
            <v>3309</v>
          </cell>
          <cell r="Q296">
            <v>4.4930000000000003</v>
          </cell>
        </row>
        <row r="297">
          <cell r="A297">
            <v>3311</v>
          </cell>
          <cell r="Q297">
            <v>6.91</v>
          </cell>
        </row>
        <row r="298">
          <cell r="A298">
            <v>3312</v>
          </cell>
          <cell r="Q298">
            <v>3.8279999999999998</v>
          </cell>
        </row>
        <row r="299">
          <cell r="A299">
            <v>3313</v>
          </cell>
          <cell r="Q299">
            <v>9.2840000000000007</v>
          </cell>
        </row>
        <row r="300">
          <cell r="A300">
            <v>3314</v>
          </cell>
          <cell r="Q300">
            <v>10.3</v>
          </cell>
        </row>
        <row r="301">
          <cell r="A301">
            <v>3347</v>
          </cell>
          <cell r="Q301">
            <v>5.0469999999999997</v>
          </cell>
        </row>
        <row r="302">
          <cell r="A302">
            <v>3347</v>
          </cell>
          <cell r="Q302">
            <v>2.2610000000000001</v>
          </cell>
        </row>
        <row r="303">
          <cell r="A303">
            <v>3348</v>
          </cell>
          <cell r="Q303">
            <v>4.3010000000000002</v>
          </cell>
        </row>
        <row r="304">
          <cell r="A304">
            <v>3348</v>
          </cell>
          <cell r="Q304">
            <v>4.3609999999999998</v>
          </cell>
        </row>
        <row r="305">
          <cell r="A305">
            <v>3350</v>
          </cell>
          <cell r="Q305">
            <v>8.1679999999999993</v>
          </cell>
        </row>
        <row r="306">
          <cell r="A306">
            <v>3350</v>
          </cell>
          <cell r="Q306">
            <v>1.1200000000000001</v>
          </cell>
        </row>
        <row r="307">
          <cell r="A307">
            <v>3351</v>
          </cell>
          <cell r="Q307">
            <v>2.9980000000000002</v>
          </cell>
        </row>
        <row r="308">
          <cell r="A308">
            <v>3351</v>
          </cell>
          <cell r="Q308">
            <v>13.827</v>
          </cell>
        </row>
        <row r="309">
          <cell r="A309">
            <v>3352</v>
          </cell>
          <cell r="Q309">
            <v>2.194</v>
          </cell>
        </row>
        <row r="310">
          <cell r="A310">
            <v>3353</v>
          </cell>
          <cell r="Q310">
            <v>5.6280000000000001</v>
          </cell>
        </row>
        <row r="311">
          <cell r="A311">
            <v>3353</v>
          </cell>
          <cell r="Q311">
            <v>8.452</v>
          </cell>
        </row>
        <row r="312">
          <cell r="A312">
            <v>3353</v>
          </cell>
          <cell r="Q312">
            <v>11.228999999999999</v>
          </cell>
        </row>
        <row r="313">
          <cell r="A313">
            <v>3353</v>
          </cell>
          <cell r="Q313">
            <v>2.2719999999999998</v>
          </cell>
        </row>
        <row r="314">
          <cell r="A314">
            <v>3353</v>
          </cell>
          <cell r="Q314">
            <v>6.5860000000000003</v>
          </cell>
        </row>
        <row r="315">
          <cell r="A315">
            <v>3354</v>
          </cell>
          <cell r="Q315">
            <v>5.2949999999999999</v>
          </cell>
        </row>
        <row r="316">
          <cell r="A316">
            <v>3354</v>
          </cell>
          <cell r="Q316">
            <v>3.0979999999999999</v>
          </cell>
        </row>
        <row r="317">
          <cell r="A317">
            <v>3354</v>
          </cell>
          <cell r="Q317">
            <v>1.1890000000000001</v>
          </cell>
        </row>
        <row r="318">
          <cell r="A318">
            <v>3357</v>
          </cell>
          <cell r="Q318">
            <v>2.7959999999999998</v>
          </cell>
        </row>
        <row r="319">
          <cell r="A319">
            <v>3357</v>
          </cell>
          <cell r="Q319">
            <v>1.419</v>
          </cell>
        </row>
        <row r="320">
          <cell r="A320">
            <v>3358</v>
          </cell>
          <cell r="Q320">
            <v>3.169</v>
          </cell>
        </row>
        <row r="321">
          <cell r="A321">
            <v>3359</v>
          </cell>
          <cell r="Q321">
            <v>6.7430000000000003</v>
          </cell>
        </row>
        <row r="322">
          <cell r="A322">
            <v>3359</v>
          </cell>
          <cell r="Q322">
            <v>4.32</v>
          </cell>
        </row>
        <row r="323">
          <cell r="A323">
            <v>3360</v>
          </cell>
          <cell r="Q323">
            <v>7.4210000000000003</v>
          </cell>
        </row>
        <row r="324">
          <cell r="A324">
            <v>3364</v>
          </cell>
          <cell r="Q324">
            <v>4.407</v>
          </cell>
        </row>
        <row r="325">
          <cell r="A325">
            <v>3364</v>
          </cell>
          <cell r="Q325">
            <v>7.4909999999999997</v>
          </cell>
        </row>
        <row r="326">
          <cell r="A326">
            <v>3369</v>
          </cell>
          <cell r="Q326">
            <v>2.3620000000000001</v>
          </cell>
        </row>
        <row r="327">
          <cell r="A327">
            <v>3369</v>
          </cell>
          <cell r="Q327">
            <v>3.121</v>
          </cell>
        </row>
        <row r="328">
          <cell r="A328">
            <v>3370</v>
          </cell>
          <cell r="Q328">
            <v>4.593</v>
          </cell>
        </row>
        <row r="329">
          <cell r="A329">
            <v>3370</v>
          </cell>
          <cell r="Q329">
            <v>1.4690000000000001</v>
          </cell>
        </row>
        <row r="330">
          <cell r="A330">
            <v>3370</v>
          </cell>
          <cell r="Q330">
            <v>3.5310000000000001</v>
          </cell>
        </row>
        <row r="331">
          <cell r="A331">
            <v>3370</v>
          </cell>
          <cell r="Q331">
            <v>0.63</v>
          </cell>
        </row>
        <row r="332">
          <cell r="A332">
            <v>3371</v>
          </cell>
          <cell r="Q332">
            <v>4.3220000000000001</v>
          </cell>
        </row>
        <row r="333">
          <cell r="A333">
            <v>3371</v>
          </cell>
          <cell r="Q333">
            <v>1.2250000000000001</v>
          </cell>
        </row>
        <row r="334">
          <cell r="A334">
            <v>3373</v>
          </cell>
          <cell r="Q334">
            <v>11.608000000000001</v>
          </cell>
        </row>
        <row r="335">
          <cell r="A335">
            <v>3373</v>
          </cell>
          <cell r="Q335">
            <v>10.092000000000001</v>
          </cell>
        </row>
        <row r="336">
          <cell r="A336">
            <v>3376</v>
          </cell>
          <cell r="Q336">
            <v>6.18</v>
          </cell>
        </row>
        <row r="337">
          <cell r="A337">
            <v>3376</v>
          </cell>
          <cell r="Q337">
            <v>5.0369999999999999</v>
          </cell>
        </row>
        <row r="338">
          <cell r="A338">
            <v>3377</v>
          </cell>
          <cell r="Q338">
            <v>1.99</v>
          </cell>
        </row>
        <row r="339">
          <cell r="A339">
            <v>3377</v>
          </cell>
          <cell r="Q339">
            <v>2.5990000000000002</v>
          </cell>
        </row>
        <row r="340">
          <cell r="A340">
            <v>3377</v>
          </cell>
          <cell r="Q340">
            <v>0.69499999999999995</v>
          </cell>
        </row>
        <row r="341">
          <cell r="A341">
            <v>3378</v>
          </cell>
          <cell r="Q341">
            <v>7.01</v>
          </cell>
        </row>
        <row r="342">
          <cell r="A342">
            <v>3386</v>
          </cell>
          <cell r="Q342">
            <v>9.6859999999999999</v>
          </cell>
        </row>
        <row r="343">
          <cell r="A343">
            <v>3387</v>
          </cell>
          <cell r="Q343">
            <v>6.1719999999999997</v>
          </cell>
        </row>
        <row r="344">
          <cell r="A344">
            <v>3391</v>
          </cell>
          <cell r="Q344">
            <v>9</v>
          </cell>
        </row>
        <row r="345">
          <cell r="A345">
            <v>3393</v>
          </cell>
          <cell r="Q345">
            <v>10.097</v>
          </cell>
        </row>
        <row r="346">
          <cell r="A346">
            <v>3395</v>
          </cell>
          <cell r="Q346">
            <v>7.343</v>
          </cell>
        </row>
        <row r="347">
          <cell r="A347">
            <v>3395</v>
          </cell>
          <cell r="Q347">
            <v>0.497</v>
          </cell>
        </row>
        <row r="348">
          <cell r="A348">
            <v>3407</v>
          </cell>
          <cell r="Q348">
            <v>2.44</v>
          </cell>
        </row>
        <row r="349">
          <cell r="A349">
            <v>3407</v>
          </cell>
          <cell r="Q349">
            <v>0.92900000000000005</v>
          </cell>
        </row>
        <row r="350">
          <cell r="A350">
            <v>3409</v>
          </cell>
          <cell r="Q350">
            <v>2.6909999999999998</v>
          </cell>
        </row>
        <row r="351">
          <cell r="A351">
            <v>3409</v>
          </cell>
          <cell r="Q351">
            <v>10.709</v>
          </cell>
        </row>
        <row r="352">
          <cell r="A352">
            <v>3417</v>
          </cell>
          <cell r="Q352">
            <v>8.0069999999999997</v>
          </cell>
        </row>
        <row r="353">
          <cell r="A353">
            <v>3418</v>
          </cell>
          <cell r="Q353">
            <v>6.6669999999999998</v>
          </cell>
        </row>
        <row r="354">
          <cell r="A354">
            <v>3442</v>
          </cell>
          <cell r="Q354">
            <v>9.0440000000000005</v>
          </cell>
        </row>
        <row r="355">
          <cell r="A355">
            <v>3442</v>
          </cell>
          <cell r="Q355">
            <v>10.051</v>
          </cell>
        </row>
        <row r="356">
          <cell r="A356">
            <v>3442</v>
          </cell>
          <cell r="Q356">
            <v>3.8010000000000002</v>
          </cell>
        </row>
        <row r="357">
          <cell r="A357">
            <v>3443</v>
          </cell>
          <cell r="Q357">
            <v>4.8209999999999997</v>
          </cell>
        </row>
        <row r="358">
          <cell r="A358">
            <v>3444</v>
          </cell>
          <cell r="Q358">
            <v>1.905</v>
          </cell>
        </row>
        <row r="359">
          <cell r="A359">
            <v>3444</v>
          </cell>
          <cell r="Q359">
            <v>2.819</v>
          </cell>
        </row>
        <row r="360">
          <cell r="A360">
            <v>3447</v>
          </cell>
          <cell r="Q360">
            <v>4.2859999999999996</v>
          </cell>
        </row>
        <row r="361">
          <cell r="A361">
            <v>3447</v>
          </cell>
          <cell r="Q361">
            <v>2.5329999999999999</v>
          </cell>
        </row>
        <row r="362">
          <cell r="A362">
            <v>3451</v>
          </cell>
          <cell r="Q362">
            <v>9.843</v>
          </cell>
        </row>
        <row r="363">
          <cell r="A363">
            <v>3451</v>
          </cell>
          <cell r="Q363">
            <v>14.826000000000001</v>
          </cell>
        </row>
        <row r="364">
          <cell r="A364">
            <v>3456</v>
          </cell>
          <cell r="Q364">
            <v>4.1760000000000002</v>
          </cell>
        </row>
        <row r="365">
          <cell r="A365">
            <v>3457</v>
          </cell>
          <cell r="Q365">
            <v>8.9120000000000008</v>
          </cell>
        </row>
        <row r="366">
          <cell r="A366">
            <v>3457</v>
          </cell>
          <cell r="Q366">
            <v>2.339</v>
          </cell>
        </row>
        <row r="367">
          <cell r="A367">
            <v>3469</v>
          </cell>
          <cell r="Q367">
            <v>7.093</v>
          </cell>
        </row>
        <row r="368">
          <cell r="A368">
            <v>3470</v>
          </cell>
          <cell r="Q368">
            <v>14.205</v>
          </cell>
        </row>
        <row r="369">
          <cell r="A369">
            <v>3472</v>
          </cell>
          <cell r="Q369">
            <v>1.62</v>
          </cell>
        </row>
        <row r="370">
          <cell r="A370">
            <v>3473</v>
          </cell>
          <cell r="Q370">
            <v>10.173</v>
          </cell>
        </row>
        <row r="371">
          <cell r="A371">
            <v>3476</v>
          </cell>
          <cell r="Q371">
            <v>3.5419999999999998</v>
          </cell>
        </row>
        <row r="372">
          <cell r="A372">
            <v>3476</v>
          </cell>
          <cell r="Q372">
            <v>4.5789999999999997</v>
          </cell>
        </row>
        <row r="373">
          <cell r="A373">
            <v>3477</v>
          </cell>
          <cell r="Q373">
            <v>22.094000000000001</v>
          </cell>
        </row>
        <row r="374">
          <cell r="A374">
            <v>6500</v>
          </cell>
          <cell r="Q374">
            <v>33.167000000000002</v>
          </cell>
        </row>
        <row r="375">
          <cell r="A375">
            <v>6500</v>
          </cell>
          <cell r="Q375">
            <v>28.096</v>
          </cell>
        </row>
        <row r="376">
          <cell r="A376">
            <v>6602</v>
          </cell>
          <cell r="Q376">
            <v>2.7389999999999999</v>
          </cell>
        </row>
        <row r="377">
          <cell r="A377">
            <v>7232</v>
          </cell>
          <cell r="Q377">
            <v>11.234</v>
          </cell>
        </row>
        <row r="378">
          <cell r="A378">
            <v>7439</v>
          </cell>
          <cell r="Q378">
            <v>2.806</v>
          </cell>
        </row>
        <row r="379">
          <cell r="A379">
            <v>7443</v>
          </cell>
          <cell r="Q379">
            <v>12.47</v>
          </cell>
        </row>
        <row r="380">
          <cell r="A380">
            <v>7443</v>
          </cell>
          <cell r="Q380">
            <v>8.4260000000000002</v>
          </cell>
        </row>
        <row r="381">
          <cell r="A381">
            <v>7443</v>
          </cell>
          <cell r="Q381">
            <v>0.99399999999999999</v>
          </cell>
        </row>
        <row r="382">
          <cell r="A382">
            <v>7443</v>
          </cell>
          <cell r="Q382">
            <v>7.3949999999999996</v>
          </cell>
        </row>
        <row r="383">
          <cell r="A383">
            <v>7443</v>
          </cell>
          <cell r="Q383">
            <v>4.4859999999999998</v>
          </cell>
        </row>
        <row r="384">
          <cell r="A384">
            <v>7443</v>
          </cell>
          <cell r="Q384">
            <v>6.1529999999999996</v>
          </cell>
        </row>
        <row r="385">
          <cell r="A385">
            <v>7443</v>
          </cell>
          <cell r="Q385">
            <v>8.19</v>
          </cell>
        </row>
        <row r="386">
          <cell r="A386">
            <v>7443</v>
          </cell>
          <cell r="Q386">
            <v>2.371</v>
          </cell>
        </row>
        <row r="387">
          <cell r="A387">
            <v>7443</v>
          </cell>
          <cell r="Q387">
            <v>3.0310000000000001</v>
          </cell>
        </row>
        <row r="388">
          <cell r="A388">
            <v>7443</v>
          </cell>
          <cell r="Q388">
            <v>9.1240000000000006</v>
          </cell>
        </row>
        <row r="389">
          <cell r="A389">
            <v>7443</v>
          </cell>
          <cell r="Q389">
            <v>11.148</v>
          </cell>
        </row>
        <row r="390">
          <cell r="A390">
            <v>7443</v>
          </cell>
          <cell r="Q390">
            <v>5.6980000000000004</v>
          </cell>
        </row>
        <row r="391">
          <cell r="A391">
            <v>7443</v>
          </cell>
          <cell r="Q391">
            <v>9.0399999999999991</v>
          </cell>
        </row>
        <row r="392">
          <cell r="A392">
            <v>7443</v>
          </cell>
          <cell r="Q392">
            <v>4.5549999999999997</v>
          </cell>
        </row>
        <row r="393">
          <cell r="A393">
            <v>7443</v>
          </cell>
          <cell r="Q393">
            <v>4.4710000000000001</v>
          </cell>
        </row>
        <row r="394">
          <cell r="A394">
            <v>7443</v>
          </cell>
          <cell r="Q394">
            <v>5.2889999999999997</v>
          </cell>
        </row>
        <row r="395">
          <cell r="A395">
            <v>7443</v>
          </cell>
          <cell r="Q395">
            <v>2.0539999999999998</v>
          </cell>
        </row>
        <row r="396">
          <cell r="A396">
            <v>7589</v>
          </cell>
          <cell r="Q396">
            <v>6.7990000000000004</v>
          </cell>
        </row>
        <row r="397">
          <cell r="A397">
            <v>8500</v>
          </cell>
          <cell r="Q397">
            <v>6.8040000000000003</v>
          </cell>
        </row>
        <row r="398">
          <cell r="A398">
            <v>8501</v>
          </cell>
          <cell r="Q398">
            <v>9.5239999999999991</v>
          </cell>
        </row>
        <row r="399">
          <cell r="A399">
            <v>8507</v>
          </cell>
          <cell r="Q399">
            <v>7.633</v>
          </cell>
        </row>
        <row r="400">
          <cell r="A400">
            <v>8508</v>
          </cell>
          <cell r="Q400">
            <v>7.609</v>
          </cell>
        </row>
        <row r="401">
          <cell r="A401">
            <v>8513</v>
          </cell>
          <cell r="Q401">
            <v>6.1349999999999998</v>
          </cell>
        </row>
        <row r="402">
          <cell r="A402">
            <v>8516</v>
          </cell>
          <cell r="Q402">
            <v>10.795999999999999</v>
          </cell>
        </row>
        <row r="403">
          <cell r="A403">
            <v>8548</v>
          </cell>
          <cell r="Q403">
            <v>8.58</v>
          </cell>
        </row>
        <row r="404">
          <cell r="A404">
            <v>8549</v>
          </cell>
          <cell r="Q404">
            <v>5.7619999999999996</v>
          </cell>
        </row>
        <row r="405">
          <cell r="A405">
            <v>8550</v>
          </cell>
          <cell r="Q405">
            <v>7.9939999999999998</v>
          </cell>
        </row>
        <row r="406">
          <cell r="A406">
            <v>8551</v>
          </cell>
          <cell r="Q406">
            <v>7.444</v>
          </cell>
        </row>
        <row r="407">
          <cell r="A407">
            <v>8553</v>
          </cell>
          <cell r="Q407">
            <v>4.915</v>
          </cell>
        </row>
        <row r="408">
          <cell r="A408">
            <v>8554</v>
          </cell>
          <cell r="Q408">
            <v>4.1150000000000002</v>
          </cell>
        </row>
        <row r="409">
          <cell r="A409">
            <v>8558</v>
          </cell>
          <cell r="Q409">
            <v>4.7169999999999996</v>
          </cell>
        </row>
        <row r="410">
          <cell r="A410">
            <v>8559</v>
          </cell>
          <cell r="Q410">
            <v>2.7909999999999999</v>
          </cell>
        </row>
        <row r="411">
          <cell r="A411">
            <v>8560</v>
          </cell>
          <cell r="Q411">
            <v>7.875</v>
          </cell>
        </row>
        <row r="412">
          <cell r="A412">
            <v>8561</v>
          </cell>
          <cell r="Q412">
            <v>6.9119999999999999</v>
          </cell>
        </row>
        <row r="413">
          <cell r="A413">
            <v>8562</v>
          </cell>
          <cell r="Q413">
            <v>6.6920000000000002</v>
          </cell>
        </row>
        <row r="414">
          <cell r="A414">
            <v>8564</v>
          </cell>
          <cell r="Q414">
            <v>13.002000000000001</v>
          </cell>
        </row>
        <row r="415">
          <cell r="A415">
            <v>8566</v>
          </cell>
          <cell r="Q415">
            <v>4.4240000000000004</v>
          </cell>
        </row>
        <row r="416">
          <cell r="A416">
            <v>8572</v>
          </cell>
          <cell r="Q416">
            <v>13.183999999999999</v>
          </cell>
        </row>
        <row r="417">
          <cell r="A417">
            <v>8637</v>
          </cell>
          <cell r="Q417">
            <v>1.155</v>
          </cell>
        </row>
        <row r="418">
          <cell r="A418">
            <v>8637</v>
          </cell>
          <cell r="Q418">
            <v>5.87</v>
          </cell>
        </row>
        <row r="419">
          <cell r="A419">
            <v>8637</v>
          </cell>
          <cell r="Q419">
            <v>5.8659999999999997</v>
          </cell>
        </row>
        <row r="420">
          <cell r="A420">
            <v>8637</v>
          </cell>
          <cell r="Q420">
            <v>10.039999999999999</v>
          </cell>
        </row>
        <row r="421">
          <cell r="A421">
            <v>8637</v>
          </cell>
          <cell r="Q421">
            <v>11.265000000000001</v>
          </cell>
        </row>
        <row r="422">
          <cell r="A422">
            <v>8637</v>
          </cell>
          <cell r="Q422">
            <v>12.233000000000001</v>
          </cell>
        </row>
        <row r="423">
          <cell r="A423">
            <v>8644</v>
          </cell>
          <cell r="Q423">
            <v>15.172000000000001</v>
          </cell>
        </row>
        <row r="424">
          <cell r="A424">
            <v>8649</v>
          </cell>
          <cell r="Q424">
            <v>4.8719999999999999</v>
          </cell>
        </row>
        <row r="425">
          <cell r="A425">
            <v>8650</v>
          </cell>
          <cell r="Q425">
            <v>14.670999999999999</v>
          </cell>
        </row>
        <row r="426">
          <cell r="A426">
            <v>8651</v>
          </cell>
          <cell r="Q426">
            <v>5.84</v>
          </cell>
        </row>
        <row r="427">
          <cell r="A427">
            <v>8652</v>
          </cell>
          <cell r="Q427">
            <v>10.773</v>
          </cell>
        </row>
        <row r="428">
          <cell r="A428">
            <v>8653</v>
          </cell>
          <cell r="Q428">
            <v>6.2969999999999997</v>
          </cell>
        </row>
        <row r="429">
          <cell r="A429">
            <v>8654</v>
          </cell>
          <cell r="Q429">
            <v>8.0500000000000007</v>
          </cell>
        </row>
        <row r="430">
          <cell r="A430">
            <v>8655</v>
          </cell>
          <cell r="Q430">
            <v>9.157</v>
          </cell>
        </row>
        <row r="431">
          <cell r="A431">
            <v>8656</v>
          </cell>
          <cell r="Q431">
            <v>18.768000000000001</v>
          </cell>
        </row>
        <row r="432">
          <cell r="A432">
            <v>8667</v>
          </cell>
          <cell r="Q432">
            <v>6.2679999999999998</v>
          </cell>
        </row>
        <row r="433">
          <cell r="A433">
            <v>8668</v>
          </cell>
          <cell r="Q433">
            <v>3.976</v>
          </cell>
        </row>
        <row r="434">
          <cell r="A434">
            <v>8669</v>
          </cell>
          <cell r="Q434">
            <v>5.66</v>
          </cell>
        </row>
        <row r="435">
          <cell r="A435">
            <v>8670</v>
          </cell>
          <cell r="Q435">
            <v>6.9340000000000002</v>
          </cell>
        </row>
        <row r="436">
          <cell r="A436">
            <v>8672</v>
          </cell>
          <cell r="Q436">
            <v>8.6509999999999998</v>
          </cell>
        </row>
        <row r="437">
          <cell r="A437">
            <v>8673</v>
          </cell>
          <cell r="Q437">
            <v>4.7519999999999998</v>
          </cell>
        </row>
        <row r="438">
          <cell r="A438">
            <v>8675</v>
          </cell>
          <cell r="Q438">
            <v>9.2330000000000005</v>
          </cell>
        </row>
        <row r="439">
          <cell r="A439">
            <v>8677</v>
          </cell>
          <cell r="Q439">
            <v>18.058</v>
          </cell>
        </row>
        <row r="440">
          <cell r="A440">
            <v>8678</v>
          </cell>
          <cell r="Q440">
            <v>4.4950000000000001</v>
          </cell>
        </row>
        <row r="441">
          <cell r="A441">
            <v>8679</v>
          </cell>
          <cell r="Q441">
            <v>1.819</v>
          </cell>
        </row>
        <row r="442">
          <cell r="A442">
            <v>8679</v>
          </cell>
          <cell r="Q442">
            <v>0.375</v>
          </cell>
        </row>
        <row r="443">
          <cell r="A443">
            <v>8682</v>
          </cell>
          <cell r="Q443">
            <v>2.661</v>
          </cell>
        </row>
        <row r="444">
          <cell r="A444">
            <v>8683</v>
          </cell>
          <cell r="Q444">
            <v>6.5359999999999996</v>
          </cell>
        </row>
        <row r="445">
          <cell r="A445">
            <v>8684</v>
          </cell>
          <cell r="Q445">
            <v>5.2350000000000003</v>
          </cell>
        </row>
        <row r="446">
          <cell r="A446">
            <v>8685</v>
          </cell>
          <cell r="Q446">
            <v>9.4649999999999999</v>
          </cell>
        </row>
        <row r="447">
          <cell r="A447">
            <v>8686</v>
          </cell>
          <cell r="Q447">
            <v>8.7750000000000004</v>
          </cell>
        </row>
        <row r="448">
          <cell r="A448">
            <v>8687</v>
          </cell>
          <cell r="Q448">
            <v>8.14</v>
          </cell>
        </row>
        <row r="449">
          <cell r="A449">
            <v>8689</v>
          </cell>
          <cell r="Q449">
            <v>3.3450000000000002</v>
          </cell>
        </row>
        <row r="450">
          <cell r="A450">
            <v>8690</v>
          </cell>
          <cell r="Q450">
            <v>8.0879999999999992</v>
          </cell>
        </row>
        <row r="451">
          <cell r="A451">
            <v>8691</v>
          </cell>
          <cell r="Q451">
            <v>7.9790000000000001</v>
          </cell>
        </row>
        <row r="452">
          <cell r="A452">
            <v>8692</v>
          </cell>
          <cell r="Q452">
            <v>4.8689999999999998</v>
          </cell>
        </row>
        <row r="453">
          <cell r="A453">
            <v>8693</v>
          </cell>
          <cell r="Q453">
            <v>6.782</v>
          </cell>
        </row>
        <row r="454">
          <cell r="A454">
            <v>8709</v>
          </cell>
          <cell r="Q454">
            <v>4.4400000000000004</v>
          </cell>
        </row>
        <row r="455">
          <cell r="A455">
            <v>8710</v>
          </cell>
          <cell r="Q455">
            <v>11.631</v>
          </cell>
        </row>
        <row r="456">
          <cell r="A456">
            <v>8711</v>
          </cell>
          <cell r="Q456">
            <v>9.5920000000000005</v>
          </cell>
        </row>
        <row r="457">
          <cell r="A457">
            <v>8714</v>
          </cell>
          <cell r="Q457">
            <v>7.9630000000000001</v>
          </cell>
        </row>
        <row r="458">
          <cell r="A458">
            <v>8715</v>
          </cell>
          <cell r="Q458">
            <v>6.9420000000000002</v>
          </cell>
        </row>
        <row r="459">
          <cell r="A459">
            <v>8716</v>
          </cell>
          <cell r="Q459">
            <v>8.7539999999999996</v>
          </cell>
        </row>
        <row r="460">
          <cell r="A460">
            <v>8717</v>
          </cell>
          <cell r="Q460">
            <v>4.5129999999999999</v>
          </cell>
        </row>
        <row r="461">
          <cell r="A461">
            <v>8718</v>
          </cell>
          <cell r="Q461">
            <v>6.5709999999999997</v>
          </cell>
        </row>
        <row r="462">
          <cell r="A462">
            <v>8719</v>
          </cell>
          <cell r="Q462">
            <v>6.6539999999999999</v>
          </cell>
        </row>
        <row r="463">
          <cell r="A463">
            <v>8720</v>
          </cell>
          <cell r="Q463">
            <v>7.4489999999999998</v>
          </cell>
        </row>
        <row r="464">
          <cell r="A464">
            <v>8721</v>
          </cell>
          <cell r="Q464">
            <v>1.599</v>
          </cell>
        </row>
        <row r="465">
          <cell r="A465">
            <v>8722</v>
          </cell>
          <cell r="Q465">
            <v>9.9819999999999993</v>
          </cell>
        </row>
        <row r="466">
          <cell r="A466">
            <v>8723</v>
          </cell>
          <cell r="Q466">
            <v>7.68</v>
          </cell>
        </row>
        <row r="467">
          <cell r="A467">
            <v>8724</v>
          </cell>
          <cell r="Q467">
            <v>9.8079999999999998</v>
          </cell>
        </row>
        <row r="468">
          <cell r="A468">
            <v>8725</v>
          </cell>
          <cell r="Q468">
            <v>10.605</v>
          </cell>
        </row>
        <row r="469">
          <cell r="A469">
            <v>8726</v>
          </cell>
          <cell r="Q469">
            <v>8.5640000000000001</v>
          </cell>
        </row>
        <row r="470">
          <cell r="A470">
            <v>8727</v>
          </cell>
          <cell r="Q470">
            <v>9.0220000000000002</v>
          </cell>
        </row>
        <row r="471">
          <cell r="A471">
            <v>8728</v>
          </cell>
          <cell r="Q471">
            <v>5.94</v>
          </cell>
        </row>
        <row r="472">
          <cell r="A472">
            <v>8729</v>
          </cell>
          <cell r="Q472">
            <v>9.6199999999999992</v>
          </cell>
        </row>
        <row r="473">
          <cell r="A473">
            <v>8731</v>
          </cell>
          <cell r="Q473">
            <v>9.6210000000000004</v>
          </cell>
        </row>
        <row r="474">
          <cell r="A474">
            <v>8734</v>
          </cell>
          <cell r="Q474">
            <v>3.177</v>
          </cell>
        </row>
        <row r="475">
          <cell r="A475">
            <v>8735</v>
          </cell>
          <cell r="Q475">
            <v>5.0510000000000002</v>
          </cell>
        </row>
        <row r="476">
          <cell r="A476">
            <v>8737</v>
          </cell>
          <cell r="Q476">
            <v>5.048</v>
          </cell>
        </row>
        <row r="477">
          <cell r="A477">
            <v>8738</v>
          </cell>
          <cell r="Q477">
            <v>5.2530000000000001</v>
          </cell>
        </row>
        <row r="478">
          <cell r="A478">
            <v>8739</v>
          </cell>
          <cell r="Q478">
            <v>3.8450000000000002</v>
          </cell>
        </row>
        <row r="479">
          <cell r="A479">
            <v>8740</v>
          </cell>
          <cell r="Q479">
            <v>5.33</v>
          </cell>
        </row>
        <row r="480">
          <cell r="A480">
            <v>8741</v>
          </cell>
          <cell r="Q480">
            <v>5.9459999999999997</v>
          </cell>
        </row>
        <row r="481">
          <cell r="A481">
            <v>8742</v>
          </cell>
          <cell r="Q481">
            <v>2.516</v>
          </cell>
        </row>
        <row r="482">
          <cell r="A482">
            <v>8743</v>
          </cell>
          <cell r="Q482">
            <v>5.2649999999999997</v>
          </cell>
        </row>
        <row r="483">
          <cell r="A483">
            <v>8745</v>
          </cell>
          <cell r="Q483">
            <v>6.0579999999999998</v>
          </cell>
        </row>
        <row r="484">
          <cell r="A484">
            <v>8746</v>
          </cell>
          <cell r="Q484">
            <v>0.80300000000000005</v>
          </cell>
        </row>
        <row r="485">
          <cell r="A485">
            <v>8748</v>
          </cell>
          <cell r="Q485">
            <v>5.48</v>
          </cell>
        </row>
        <row r="486">
          <cell r="A486">
            <v>8753</v>
          </cell>
          <cell r="Q486">
            <v>6.202</v>
          </cell>
        </row>
        <row r="487">
          <cell r="A487">
            <v>8754</v>
          </cell>
          <cell r="Q487">
            <v>4.327</v>
          </cell>
        </row>
        <row r="488">
          <cell r="A488">
            <v>8775</v>
          </cell>
          <cell r="Q488">
            <v>6.9459999999999997</v>
          </cell>
        </row>
        <row r="489">
          <cell r="A489">
            <v>8777</v>
          </cell>
          <cell r="Q489">
            <v>4.7569999999999997</v>
          </cell>
        </row>
        <row r="490">
          <cell r="A490">
            <v>8778</v>
          </cell>
          <cell r="Q490">
            <v>6.7489999999999997</v>
          </cell>
        </row>
        <row r="491">
          <cell r="A491">
            <v>8779</v>
          </cell>
          <cell r="Q491">
            <v>4.0250000000000004</v>
          </cell>
        </row>
        <row r="492">
          <cell r="A492">
            <v>8780</v>
          </cell>
          <cell r="Q492">
            <v>6.0540000000000003</v>
          </cell>
        </row>
        <row r="493">
          <cell r="A493">
            <v>8781</v>
          </cell>
          <cell r="Q493">
            <v>6.3029999999999999</v>
          </cell>
        </row>
        <row r="494">
          <cell r="A494">
            <v>8869</v>
          </cell>
          <cell r="Q494">
            <v>3.8140000000000001</v>
          </cell>
        </row>
        <row r="495">
          <cell r="A495">
            <v>8894</v>
          </cell>
          <cell r="Q495">
            <v>5.2380000000000004</v>
          </cell>
        </row>
        <row r="496">
          <cell r="A496">
            <v>8909</v>
          </cell>
          <cell r="Q496">
            <v>9.1159999999999997</v>
          </cell>
        </row>
        <row r="497">
          <cell r="A497">
            <v>8910</v>
          </cell>
          <cell r="Q497">
            <v>15.246</v>
          </cell>
        </row>
        <row r="498">
          <cell r="A498">
            <v>8911</v>
          </cell>
          <cell r="Q498">
            <v>8.7910000000000004</v>
          </cell>
        </row>
        <row r="499">
          <cell r="A499">
            <v>8926</v>
          </cell>
          <cell r="Q499">
            <v>7.2069999999999999</v>
          </cell>
        </row>
        <row r="500">
          <cell r="A500">
            <v>9009</v>
          </cell>
          <cell r="Q500">
            <v>7.7</v>
          </cell>
        </row>
        <row r="501">
          <cell r="A501">
            <v>9010</v>
          </cell>
          <cell r="Q501">
            <v>8.8879999999999999</v>
          </cell>
        </row>
        <row r="502">
          <cell r="A502">
            <v>9011</v>
          </cell>
          <cell r="Q502">
            <v>7.0030000000000001</v>
          </cell>
        </row>
        <row r="503">
          <cell r="A503">
            <v>10503</v>
          </cell>
          <cell r="Q503">
            <v>31.866</v>
          </cell>
        </row>
        <row r="504">
          <cell r="A504">
            <v>10903</v>
          </cell>
          <cell r="Q504">
            <v>8.9909999999999997</v>
          </cell>
        </row>
        <row r="505">
          <cell r="A505">
            <v>11739</v>
          </cell>
          <cell r="Q505">
            <v>9.2889999999999997</v>
          </cell>
        </row>
        <row r="506">
          <cell r="A506">
            <v>11739</v>
          </cell>
          <cell r="Q506">
            <v>8.6890000000000001</v>
          </cell>
        </row>
        <row r="507">
          <cell r="A507">
            <v>11739</v>
          </cell>
          <cell r="Q507">
            <v>3.05</v>
          </cell>
        </row>
        <row r="508">
          <cell r="A508">
            <v>11739</v>
          </cell>
          <cell r="Q508">
            <v>2.8140000000000001</v>
          </cell>
        </row>
        <row r="509">
          <cell r="A509">
            <v>11739</v>
          </cell>
          <cell r="Q509">
            <v>7.093</v>
          </cell>
        </row>
        <row r="510">
          <cell r="A510">
            <v>11739</v>
          </cell>
          <cell r="Q510">
            <v>9.4529999999999994</v>
          </cell>
        </row>
        <row r="511">
          <cell r="A511">
            <v>11739</v>
          </cell>
          <cell r="Q511">
            <v>7.6529999999999996</v>
          </cell>
        </row>
        <row r="512">
          <cell r="A512">
            <v>11739</v>
          </cell>
          <cell r="Q512">
            <v>5.6189999999999998</v>
          </cell>
        </row>
        <row r="513">
          <cell r="A513">
            <v>11739</v>
          </cell>
          <cell r="Q513">
            <v>5.2590000000000003</v>
          </cell>
        </row>
        <row r="514">
          <cell r="A514">
            <v>11739</v>
          </cell>
          <cell r="Q514">
            <v>2.6389999999999998</v>
          </cell>
        </row>
        <row r="515">
          <cell r="A515">
            <v>11739</v>
          </cell>
          <cell r="Q515">
            <v>3.4910000000000001</v>
          </cell>
        </row>
        <row r="516">
          <cell r="A516">
            <v>11739</v>
          </cell>
          <cell r="Q516">
            <v>15.086</v>
          </cell>
        </row>
        <row r="517">
          <cell r="A517">
            <v>11739</v>
          </cell>
          <cell r="Q517">
            <v>3.9590000000000001</v>
          </cell>
        </row>
        <row r="518">
          <cell r="A518">
            <v>11739</v>
          </cell>
          <cell r="Q518">
            <v>12.156000000000001</v>
          </cell>
        </row>
        <row r="519">
          <cell r="A519">
            <v>11739</v>
          </cell>
          <cell r="Q519">
            <v>12.763</v>
          </cell>
        </row>
        <row r="520">
          <cell r="A520">
            <v>11739</v>
          </cell>
          <cell r="Q520">
            <v>8.5030000000000001</v>
          </cell>
        </row>
        <row r="521">
          <cell r="A521">
            <v>11739</v>
          </cell>
          <cell r="Q521">
            <v>9.9969999999999999</v>
          </cell>
        </row>
        <row r="522">
          <cell r="A522">
            <v>11739</v>
          </cell>
          <cell r="Q522">
            <v>5.9470000000000001</v>
          </cell>
        </row>
        <row r="523">
          <cell r="A523">
            <v>11739</v>
          </cell>
          <cell r="Q523">
            <v>4.0199999999999996</v>
          </cell>
        </row>
        <row r="524">
          <cell r="A524">
            <v>11739</v>
          </cell>
          <cell r="Q524">
            <v>8.452</v>
          </cell>
        </row>
        <row r="525">
          <cell r="A525">
            <v>11739</v>
          </cell>
          <cell r="Q525">
            <v>7.0919999999999996</v>
          </cell>
        </row>
        <row r="526">
          <cell r="A526">
            <v>11739</v>
          </cell>
          <cell r="Q526">
            <v>1.492</v>
          </cell>
        </row>
        <row r="527">
          <cell r="A527">
            <v>11739</v>
          </cell>
          <cell r="Q527">
            <v>8.0269999999999992</v>
          </cell>
        </row>
        <row r="528">
          <cell r="A528">
            <v>11739</v>
          </cell>
          <cell r="Q528">
            <v>10.305</v>
          </cell>
        </row>
        <row r="529">
          <cell r="A529">
            <v>11739</v>
          </cell>
          <cell r="Q529">
            <v>10.201000000000001</v>
          </cell>
        </row>
        <row r="530">
          <cell r="A530">
            <v>11739</v>
          </cell>
          <cell r="Q530">
            <v>1.9870000000000001</v>
          </cell>
        </row>
        <row r="531">
          <cell r="A531">
            <v>11739</v>
          </cell>
          <cell r="Q531">
            <v>3.0529999999999999</v>
          </cell>
        </row>
        <row r="532">
          <cell r="A532">
            <v>11739</v>
          </cell>
          <cell r="Q532">
            <v>7.2</v>
          </cell>
        </row>
        <row r="533">
          <cell r="A533">
            <v>11739</v>
          </cell>
          <cell r="Q533">
            <v>3.8319999999999999</v>
          </cell>
        </row>
        <row r="534">
          <cell r="A534">
            <v>11739</v>
          </cell>
          <cell r="Q534">
            <v>26.785</v>
          </cell>
        </row>
        <row r="535">
          <cell r="A535">
            <v>13342</v>
          </cell>
          <cell r="Q535">
            <v>3.3050000000000002</v>
          </cell>
        </row>
        <row r="536">
          <cell r="A536">
            <v>13343</v>
          </cell>
          <cell r="Q536">
            <v>5.48</v>
          </cell>
        </row>
        <row r="537">
          <cell r="A537">
            <v>14123</v>
          </cell>
          <cell r="Q537">
            <v>2.5190000000000001</v>
          </cell>
        </row>
        <row r="538">
          <cell r="A538">
            <v>14124</v>
          </cell>
          <cell r="Q538">
            <v>5.81</v>
          </cell>
        </row>
        <row r="539">
          <cell r="A539">
            <v>14160</v>
          </cell>
          <cell r="Q539">
            <v>9.2390000000000008</v>
          </cell>
        </row>
        <row r="540">
          <cell r="A540">
            <v>14160</v>
          </cell>
          <cell r="Q540">
            <v>2.39</v>
          </cell>
        </row>
        <row r="541">
          <cell r="A541">
            <v>14192</v>
          </cell>
          <cell r="Q541">
            <v>2.4</v>
          </cell>
        </row>
        <row r="542">
          <cell r="A542">
            <v>14193</v>
          </cell>
          <cell r="Q542">
            <v>2.4129999999999998</v>
          </cell>
        </row>
        <row r="543">
          <cell r="A543">
            <v>14194</v>
          </cell>
          <cell r="Q543">
            <v>2.6739999999999999</v>
          </cell>
        </row>
        <row r="544">
          <cell r="A544">
            <v>14195</v>
          </cell>
          <cell r="Q544">
            <v>5.4370000000000003</v>
          </cell>
        </row>
        <row r="545">
          <cell r="A545">
            <v>14195</v>
          </cell>
          <cell r="Q545">
            <v>5.4210000000000003</v>
          </cell>
        </row>
        <row r="546">
          <cell r="A546">
            <v>14195</v>
          </cell>
          <cell r="Q546">
            <v>2.9910000000000001</v>
          </cell>
        </row>
        <row r="547">
          <cell r="A547">
            <v>14196</v>
          </cell>
          <cell r="Q547">
            <v>1.0569999999999999</v>
          </cell>
        </row>
        <row r="548">
          <cell r="A548">
            <v>14197</v>
          </cell>
          <cell r="Q548">
            <v>3.6890000000000001</v>
          </cell>
        </row>
        <row r="549">
          <cell r="A549">
            <v>14225</v>
          </cell>
          <cell r="Q549">
            <v>1.1950000000000001</v>
          </cell>
        </row>
        <row r="550">
          <cell r="A550">
            <v>14225</v>
          </cell>
          <cell r="Q550">
            <v>2.923</v>
          </cell>
        </row>
        <row r="551">
          <cell r="A551">
            <v>14225</v>
          </cell>
          <cell r="Q551">
            <v>3.516</v>
          </cell>
        </row>
        <row r="552">
          <cell r="A552">
            <v>14225</v>
          </cell>
          <cell r="Q552">
            <v>4.8899999999999997</v>
          </cell>
        </row>
        <row r="553">
          <cell r="A553">
            <v>14257</v>
          </cell>
          <cell r="Q553">
            <v>5.9619999999999997</v>
          </cell>
        </row>
        <row r="554">
          <cell r="A554">
            <v>14258</v>
          </cell>
          <cell r="Q554">
            <v>2.8010000000000002</v>
          </cell>
        </row>
        <row r="555">
          <cell r="A555">
            <v>14258</v>
          </cell>
          <cell r="Q555">
            <v>4.0289999999999999</v>
          </cell>
        </row>
        <row r="556">
          <cell r="A556">
            <v>14259</v>
          </cell>
          <cell r="Q556">
            <v>3.504</v>
          </cell>
        </row>
        <row r="557">
          <cell r="A557">
            <v>14260</v>
          </cell>
          <cell r="Q557">
            <v>9.91</v>
          </cell>
        </row>
        <row r="558">
          <cell r="A558">
            <v>14260</v>
          </cell>
          <cell r="Q558">
            <v>0.96099999999999997</v>
          </cell>
        </row>
        <row r="559">
          <cell r="A559">
            <v>14263</v>
          </cell>
          <cell r="Q559">
            <v>0.85399999999999998</v>
          </cell>
        </row>
        <row r="560">
          <cell r="A560">
            <v>14265</v>
          </cell>
          <cell r="Q560">
            <v>1.992</v>
          </cell>
        </row>
        <row r="561">
          <cell r="A561">
            <v>14266</v>
          </cell>
          <cell r="Q561">
            <v>4.3079999999999998</v>
          </cell>
        </row>
        <row r="562">
          <cell r="A562">
            <v>16613</v>
          </cell>
          <cell r="Q562">
            <v>4.6060999999999996</v>
          </cell>
        </row>
        <row r="563">
          <cell r="A563">
            <v>16614</v>
          </cell>
          <cell r="Q563">
            <v>4.944</v>
          </cell>
        </row>
        <row r="564">
          <cell r="A564">
            <v>16615</v>
          </cell>
          <cell r="Q564">
            <v>6.5380000000000003</v>
          </cell>
        </row>
        <row r="565">
          <cell r="A565">
            <v>16616</v>
          </cell>
          <cell r="Q565">
            <v>6.4269999999999996</v>
          </cell>
        </row>
        <row r="566">
          <cell r="A566">
            <v>16617</v>
          </cell>
          <cell r="Q566">
            <v>6.4329999999999998</v>
          </cell>
        </row>
        <row r="567">
          <cell r="A567">
            <v>16618</v>
          </cell>
          <cell r="Q567">
            <v>4.4119999999999999</v>
          </cell>
        </row>
        <row r="568">
          <cell r="A568">
            <v>16619</v>
          </cell>
          <cell r="Q568">
            <v>7.0439999999999996</v>
          </cell>
        </row>
        <row r="569">
          <cell r="A569">
            <v>16621</v>
          </cell>
          <cell r="Q569">
            <v>3.327</v>
          </cell>
        </row>
        <row r="570">
          <cell r="A570">
            <v>17892</v>
          </cell>
        </row>
        <row r="571">
          <cell r="A571">
            <v>17892</v>
          </cell>
        </row>
        <row r="572">
          <cell r="A572">
            <v>17892</v>
          </cell>
        </row>
        <row r="573">
          <cell r="A573">
            <v>17892</v>
          </cell>
        </row>
        <row r="574">
          <cell r="A574">
            <v>18993</v>
          </cell>
          <cell r="Q574">
            <v>4.2240000000000002</v>
          </cell>
        </row>
        <row r="575">
          <cell r="A575">
            <v>19021</v>
          </cell>
          <cell r="Q575">
            <v>2.4430000000000001</v>
          </cell>
        </row>
        <row r="576">
          <cell r="A576">
            <v>19022</v>
          </cell>
          <cell r="Q576">
            <v>12.702999999999999</v>
          </cell>
        </row>
        <row r="577">
          <cell r="A577">
            <v>19023</v>
          </cell>
          <cell r="Q577">
            <v>4.742</v>
          </cell>
        </row>
        <row r="578">
          <cell r="A578">
            <v>19024</v>
          </cell>
          <cell r="Q578">
            <v>1.0229999999999999</v>
          </cell>
        </row>
        <row r="579">
          <cell r="A579">
            <v>19025</v>
          </cell>
          <cell r="Q579">
            <v>5.01</v>
          </cell>
        </row>
        <row r="580">
          <cell r="A580">
            <v>19026</v>
          </cell>
          <cell r="Q580">
            <v>6.2439999999999998</v>
          </cell>
        </row>
        <row r="581">
          <cell r="A581">
            <v>19128</v>
          </cell>
          <cell r="Q581">
            <v>0.9</v>
          </cell>
        </row>
        <row r="582">
          <cell r="A582">
            <v>19129</v>
          </cell>
          <cell r="Q582">
            <v>0.59099999999999997</v>
          </cell>
        </row>
        <row r="583">
          <cell r="A583">
            <v>19361</v>
          </cell>
          <cell r="Q583">
            <v>2.2749999999999999</v>
          </cell>
        </row>
        <row r="584">
          <cell r="A584">
            <v>19361</v>
          </cell>
          <cell r="Q584">
            <v>2.556</v>
          </cell>
        </row>
        <row r="585">
          <cell r="A585">
            <v>19361</v>
          </cell>
          <cell r="Q585">
            <v>0.65600000000000003</v>
          </cell>
        </row>
        <row r="586">
          <cell r="A586">
            <v>20316</v>
          </cell>
          <cell r="Q586">
            <v>7.7610000000000001</v>
          </cell>
        </row>
        <row r="587">
          <cell r="A587">
            <v>20322</v>
          </cell>
          <cell r="Q587">
            <v>6.4169999999999998</v>
          </cell>
        </row>
        <row r="588">
          <cell r="A588">
            <v>20362</v>
          </cell>
          <cell r="Q588">
            <v>10.819000000000001</v>
          </cell>
        </row>
        <row r="589">
          <cell r="A589">
            <v>20362</v>
          </cell>
          <cell r="Q589">
            <v>24.786999999999999</v>
          </cell>
        </row>
        <row r="590">
          <cell r="A590">
            <v>22153</v>
          </cell>
          <cell r="Q590">
            <v>3.49</v>
          </cell>
        </row>
        <row r="591">
          <cell r="A591">
            <v>22176</v>
          </cell>
          <cell r="Q591">
            <v>2.7679999999999998</v>
          </cell>
        </row>
        <row r="592">
          <cell r="A592">
            <v>22178</v>
          </cell>
          <cell r="Q592">
            <v>2.1320000000000001</v>
          </cell>
        </row>
        <row r="593">
          <cell r="A593">
            <v>22180</v>
          </cell>
          <cell r="Q593">
            <v>1.022</v>
          </cell>
        </row>
        <row r="594">
          <cell r="A594">
            <v>22740</v>
          </cell>
          <cell r="Q594">
            <v>2.8849999999999998</v>
          </cell>
        </row>
        <row r="595">
          <cell r="A595">
            <v>22740</v>
          </cell>
          <cell r="Q595">
            <v>4.4009999999999998</v>
          </cell>
        </row>
        <row r="596">
          <cell r="A596">
            <v>23464</v>
          </cell>
          <cell r="Q596">
            <v>3.3170000000000002</v>
          </cell>
        </row>
        <row r="597">
          <cell r="A597">
            <v>23465</v>
          </cell>
          <cell r="Q597">
            <v>2.3340000000000001</v>
          </cell>
        </row>
        <row r="598">
          <cell r="A598">
            <v>24187</v>
          </cell>
          <cell r="Q598">
            <v>8.218</v>
          </cell>
        </row>
        <row r="599">
          <cell r="A599">
            <v>24321</v>
          </cell>
          <cell r="Q599">
            <v>20.419</v>
          </cell>
        </row>
        <row r="600">
          <cell r="A600">
            <v>24322</v>
          </cell>
          <cell r="Q600">
            <v>4.0979999999999999</v>
          </cell>
        </row>
        <row r="601">
          <cell r="A601">
            <v>24322</v>
          </cell>
          <cell r="Q601">
            <v>7.5170000000000003</v>
          </cell>
        </row>
        <row r="602">
          <cell r="A602">
            <v>24547</v>
          </cell>
          <cell r="Q602">
            <v>7.39</v>
          </cell>
        </row>
        <row r="603">
          <cell r="A603">
            <v>24547</v>
          </cell>
          <cell r="Q603">
            <v>3.6779999999999999</v>
          </cell>
        </row>
        <row r="604">
          <cell r="A604">
            <v>24711</v>
          </cell>
          <cell r="Q604">
            <v>3.452</v>
          </cell>
        </row>
        <row r="605">
          <cell r="A605">
            <v>24713</v>
          </cell>
          <cell r="Q605">
            <v>15.282999999999999</v>
          </cell>
        </row>
        <row r="606">
          <cell r="A606">
            <v>24714</v>
          </cell>
          <cell r="Q606">
            <v>4.8120000000000003</v>
          </cell>
        </row>
        <row r="607">
          <cell r="A607">
            <v>24844</v>
          </cell>
          <cell r="Q607">
            <v>9.5530000000000008</v>
          </cell>
        </row>
        <row r="608">
          <cell r="A608">
            <v>24845</v>
          </cell>
          <cell r="Q608">
            <v>3.0139999999999998</v>
          </cell>
        </row>
        <row r="609">
          <cell r="A609">
            <v>24846</v>
          </cell>
          <cell r="Q609">
            <v>6.5110000000000001</v>
          </cell>
        </row>
        <row r="610">
          <cell r="A610">
            <v>25356</v>
          </cell>
          <cell r="Q610">
            <v>9.08</v>
          </cell>
        </row>
        <row r="611">
          <cell r="A611">
            <v>25194</v>
          </cell>
          <cell r="Q611">
            <v>4.4610000000000003</v>
          </cell>
        </row>
        <row r="612">
          <cell r="A612">
            <v>25195</v>
          </cell>
          <cell r="Q612">
            <v>5.4539999999999997</v>
          </cell>
        </row>
        <row r="613">
          <cell r="A613">
            <v>25196</v>
          </cell>
          <cell r="Q613">
            <v>3.17</v>
          </cell>
        </row>
        <row r="614">
          <cell r="A614">
            <v>25197</v>
          </cell>
          <cell r="Q614">
            <v>2.5190000000000001</v>
          </cell>
        </row>
        <row r="615">
          <cell r="A615">
            <v>25355</v>
          </cell>
          <cell r="Q615">
            <v>9.0090000000000003</v>
          </cell>
        </row>
        <row r="616">
          <cell r="A616">
            <v>25353</v>
          </cell>
          <cell r="Q616">
            <v>9.8800000000000008</v>
          </cell>
        </row>
        <row r="617">
          <cell r="A617">
            <v>25354</v>
          </cell>
          <cell r="Q617">
            <v>8.6440000000000001</v>
          </cell>
        </row>
        <row r="618">
          <cell r="A618">
            <v>25732</v>
          </cell>
          <cell r="Q618">
            <v>7.5250000000000004</v>
          </cell>
        </row>
        <row r="619">
          <cell r="A619" t="str">
            <v>000002_N_Korr-2021_WOS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IN3768"/>
  <sheetViews>
    <sheetView zoomScaleNormal="100" workbookViewId="0">
      <pane ySplit="2" topLeftCell="A346" activePane="bottomLeft" state="frozen"/>
      <selection pane="bottomLeft" activeCell="J352" sqref="J352"/>
    </sheetView>
  </sheetViews>
  <sheetFormatPr baseColWidth="10" defaultColWidth="11.42578125" defaultRowHeight="45" customHeight="1" thickBottom="1" x14ac:dyDescent="0.25"/>
  <cols>
    <col min="1" max="1" width="7.85546875" style="188" customWidth="1"/>
    <col min="2" max="2" width="14.140625" style="41" customWidth="1"/>
    <col min="3" max="3" width="11" style="57" customWidth="1"/>
    <col min="4" max="4" width="8.28515625" style="57" customWidth="1"/>
    <col min="5" max="5" width="9.42578125" style="41" customWidth="1"/>
    <col min="6" max="6" width="15.42578125" style="83" customWidth="1"/>
    <col min="7" max="7" width="11.7109375" style="83" customWidth="1"/>
    <col min="8" max="8" width="5" style="83" customWidth="1"/>
    <col min="9" max="9" width="14.5703125" style="111" customWidth="1"/>
    <col min="10" max="10" width="38" style="108" customWidth="1"/>
    <col min="11" max="11" width="1.7109375" style="237" customWidth="1"/>
    <col min="12" max="12" width="10.28515625" style="261" customWidth="1"/>
    <col min="13" max="13" width="10.28515625" style="207" customWidth="1"/>
    <col min="14" max="14" width="10.28515625" style="169" customWidth="1"/>
    <col min="15" max="15" width="10.28515625" style="208" customWidth="1"/>
    <col min="16" max="16" width="13.140625" style="350" customWidth="1"/>
    <col min="17" max="17" width="1.7109375" style="226" customWidth="1"/>
    <col min="18" max="18" width="13.140625" style="249" customWidth="1"/>
    <col min="19" max="19" width="10.28515625" style="250" customWidth="1"/>
    <col min="20" max="20" width="10.28515625" style="251" customWidth="1"/>
    <col min="21" max="21" width="10.28515625" style="250" customWidth="1"/>
    <col min="22" max="22" width="10.28515625" style="251" customWidth="1"/>
    <col min="23" max="23" width="10.28515625" style="250" customWidth="1"/>
    <col min="24" max="24" width="10.28515625" style="251" customWidth="1"/>
    <col min="25" max="25" width="10.28515625" style="252" customWidth="1"/>
    <col min="26" max="26" width="1.7109375" style="234" customWidth="1"/>
    <col min="27" max="27" width="10.28515625" style="245" customWidth="1"/>
    <col min="28" max="28" width="10.28515625" style="246" customWidth="1"/>
    <col min="29" max="30" width="10.28515625" style="245" customWidth="1"/>
    <col min="31" max="31" width="10.28515625" style="246" customWidth="1"/>
    <col min="32" max="32" width="10.28515625" style="287" customWidth="1"/>
    <col min="33" max="34" width="10.28515625" style="302" customWidth="1"/>
    <col min="35" max="35" width="11.42578125" style="300"/>
    <col min="36" max="36" width="19.42578125" style="401" customWidth="1"/>
    <col min="37" max="37" width="22.140625" style="437" customWidth="1"/>
    <col min="38" max="38" width="37.7109375" style="425" customWidth="1"/>
    <col min="39" max="39" width="22.7109375" style="426" customWidth="1"/>
    <col min="40" max="40" width="18.5703125" style="40" customWidth="1"/>
    <col min="41" max="16384" width="11.42578125" style="40"/>
  </cols>
  <sheetData>
    <row r="1" spans="1:248" s="4" customFormat="1" ht="30" customHeight="1" thickBot="1" x14ac:dyDescent="0.25">
      <c r="A1" s="740" t="s">
        <v>0</v>
      </c>
      <c r="B1" s="741"/>
      <c r="C1" s="741"/>
      <c r="D1" s="741"/>
      <c r="E1" s="741"/>
      <c r="F1" s="741"/>
      <c r="G1" s="741"/>
      <c r="H1" s="741"/>
      <c r="I1" s="741"/>
      <c r="J1" s="742"/>
      <c r="K1" s="235"/>
      <c r="L1" s="746" t="s">
        <v>1</v>
      </c>
      <c r="M1" s="746"/>
      <c r="N1" s="746"/>
      <c r="O1" s="746"/>
      <c r="P1" s="747"/>
      <c r="Q1" s="226"/>
      <c r="R1" s="737" t="s">
        <v>2</v>
      </c>
      <c r="S1" s="738"/>
      <c r="T1" s="738"/>
      <c r="U1" s="738"/>
      <c r="V1" s="738"/>
      <c r="W1" s="738"/>
      <c r="X1" s="738"/>
      <c r="Y1" s="739"/>
      <c r="Z1" s="232"/>
      <c r="AA1" s="743" t="s">
        <v>3</v>
      </c>
      <c r="AB1" s="744"/>
      <c r="AC1" s="744"/>
      <c r="AD1" s="744"/>
      <c r="AE1" s="744"/>
      <c r="AF1" s="744"/>
      <c r="AG1" s="744"/>
      <c r="AH1" s="745"/>
      <c r="AI1" s="299" t="s">
        <v>4</v>
      </c>
      <c r="AJ1" s="88"/>
      <c r="AK1" s="434" t="s">
        <v>5</v>
      </c>
      <c r="AL1" s="419"/>
      <c r="AM1" s="420"/>
    </row>
    <row r="2" spans="1:248" s="35" customFormat="1" ht="45" customHeight="1" thickBot="1" x14ac:dyDescent="0.25">
      <c r="A2" s="106" t="s">
        <v>6</v>
      </c>
      <c r="B2" s="106" t="s">
        <v>7</v>
      </c>
      <c r="C2" s="106" t="s">
        <v>8</v>
      </c>
      <c r="D2" s="106" t="s">
        <v>9</v>
      </c>
      <c r="E2" s="106" t="s">
        <v>11</v>
      </c>
      <c r="F2" s="106" t="s">
        <v>14</v>
      </c>
      <c r="G2" s="106" t="s">
        <v>15</v>
      </c>
      <c r="H2" s="531"/>
      <c r="I2" s="107" t="s">
        <v>19</v>
      </c>
      <c r="J2" s="106" t="s">
        <v>20</v>
      </c>
      <c r="K2" s="236"/>
      <c r="L2" s="255" t="s">
        <v>29</v>
      </c>
      <c r="M2" s="224" t="s">
        <v>30</v>
      </c>
      <c r="N2" s="225" t="s">
        <v>31</v>
      </c>
      <c r="O2" s="349" t="s">
        <v>32</v>
      </c>
      <c r="P2" s="351" t="s">
        <v>33</v>
      </c>
      <c r="Q2" s="227"/>
      <c r="R2" s="223" t="s">
        <v>34</v>
      </c>
      <c r="S2" s="218" t="s">
        <v>35</v>
      </c>
      <c r="T2" s="219" t="s">
        <v>36</v>
      </c>
      <c r="U2" s="218" t="s">
        <v>37</v>
      </c>
      <c r="V2" s="219" t="s">
        <v>38</v>
      </c>
      <c r="W2" s="218" t="s">
        <v>39</v>
      </c>
      <c r="X2" s="219" t="s">
        <v>33</v>
      </c>
      <c r="Y2" s="220" t="s">
        <v>40</v>
      </c>
      <c r="Z2" s="233"/>
      <c r="AA2" s="221" t="s">
        <v>41</v>
      </c>
      <c r="AB2" s="222" t="s">
        <v>42</v>
      </c>
      <c r="AC2" s="221" t="s">
        <v>43</v>
      </c>
      <c r="AD2" s="298" t="s">
        <v>44</v>
      </c>
      <c r="AE2" s="222" t="s">
        <v>45</v>
      </c>
      <c r="AF2" s="287" t="s">
        <v>46</v>
      </c>
      <c r="AG2" s="302" t="s">
        <v>47</v>
      </c>
      <c r="AH2" s="355" t="s">
        <v>48</v>
      </c>
      <c r="AI2" s="300" t="s">
        <v>49</v>
      </c>
      <c r="AJ2" s="72"/>
      <c r="AK2" s="435" t="s">
        <v>50</v>
      </c>
      <c r="AL2" s="421"/>
      <c r="AM2" s="42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</row>
    <row r="3" spans="1:248" s="194" customFormat="1" ht="45" customHeight="1" thickBot="1" x14ac:dyDescent="0.25">
      <c r="A3" s="444">
        <v>39</v>
      </c>
      <c r="B3" s="445" t="s">
        <v>51</v>
      </c>
      <c r="C3" s="445" t="s">
        <v>52</v>
      </c>
      <c r="D3" s="445"/>
      <c r="E3" s="445">
        <v>14</v>
      </c>
      <c r="F3" s="445" t="s">
        <v>54</v>
      </c>
      <c r="G3" s="445"/>
      <c r="H3" s="448" t="s">
        <v>55</v>
      </c>
      <c r="I3" s="451">
        <f>SUMIF('Wege im Detail'!$A:$A,"00039",'Wege im Detail'!$P:$P)</f>
        <v>79.774000000000015</v>
      </c>
      <c r="J3" s="508" t="s">
        <v>57</v>
      </c>
      <c r="K3" s="237"/>
      <c r="L3" s="209">
        <f>(W3+V3)/(I3/100)</f>
        <v>27.15170356256424</v>
      </c>
      <c r="M3" s="195" t="s">
        <v>60</v>
      </c>
      <c r="N3" s="196" t="s">
        <v>60</v>
      </c>
      <c r="O3" s="212" t="s">
        <v>60</v>
      </c>
      <c r="P3" s="350"/>
      <c r="Q3" s="226"/>
      <c r="R3" s="262">
        <v>0</v>
      </c>
      <c r="S3" s="111">
        <v>6.29</v>
      </c>
      <c r="T3" s="263">
        <v>45.9</v>
      </c>
      <c r="U3" s="111">
        <v>5.43</v>
      </c>
      <c r="V3" s="263">
        <v>13.9</v>
      </c>
      <c r="W3" s="111">
        <v>7.76</v>
      </c>
      <c r="X3" s="263">
        <v>1.1499999999999999</v>
      </c>
      <c r="Y3" s="268">
        <f t="shared" ref="Y3:Y9" si="0">SUM(R3:X3)</f>
        <v>80.430000000000007</v>
      </c>
      <c r="Z3" s="265"/>
      <c r="AA3" s="266">
        <v>7.16</v>
      </c>
      <c r="AB3" s="267">
        <v>19.100000000000001</v>
      </c>
      <c r="AC3" s="266">
        <v>3.21</v>
      </c>
      <c r="AD3" s="292">
        <v>34.4</v>
      </c>
      <c r="AE3" s="267">
        <v>9.56</v>
      </c>
      <c r="AF3" s="287">
        <v>6.9</v>
      </c>
      <c r="AG3" s="302">
        <v>0.105</v>
      </c>
      <c r="AH3" s="355">
        <v>0</v>
      </c>
      <c r="AI3" s="301">
        <f t="shared" ref="AI3:AI9" si="1">Y3-I3</f>
        <v>0.6559999999999917</v>
      </c>
      <c r="AJ3" s="401"/>
      <c r="AK3" s="435" t="s">
        <v>50</v>
      </c>
      <c r="AL3" s="423"/>
      <c r="AM3" s="424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  <c r="IF3" s="180"/>
      <c r="IG3" s="180"/>
      <c r="IH3" s="180"/>
      <c r="II3" s="180"/>
      <c r="IJ3" s="180"/>
      <c r="IK3" s="180"/>
      <c r="IL3" s="180"/>
      <c r="IM3" s="180"/>
      <c r="IN3" s="180"/>
    </row>
    <row r="4" spans="1:248" s="179" customFormat="1" ht="45" customHeight="1" thickBot="1" x14ac:dyDescent="0.25">
      <c r="A4" s="444">
        <v>206</v>
      </c>
      <c r="B4" s="445" t="s">
        <v>51</v>
      </c>
      <c r="C4" s="445" t="s">
        <v>52</v>
      </c>
      <c r="D4" s="445"/>
      <c r="E4" s="445">
        <v>15</v>
      </c>
      <c r="F4" s="445" t="s">
        <v>62</v>
      </c>
      <c r="G4" s="445"/>
      <c r="H4" s="448" t="s">
        <v>55</v>
      </c>
      <c r="I4" s="451">
        <f>SUMIF('Wege im Detail'!$A:$A,"00206",'Wege im Detail'!$P:$P)</f>
        <v>30.138999999999999</v>
      </c>
      <c r="J4" s="508" t="s">
        <v>64</v>
      </c>
      <c r="K4" s="237"/>
      <c r="L4" s="209">
        <f>(W4+V4)/(I4/100)</f>
        <v>18.912372673280469</v>
      </c>
      <c r="M4" s="195" t="s">
        <v>60</v>
      </c>
      <c r="N4" s="196" t="s">
        <v>60</v>
      </c>
      <c r="O4" s="212" t="s">
        <v>60</v>
      </c>
      <c r="P4" s="350"/>
      <c r="Q4" s="226"/>
      <c r="R4" s="262">
        <v>0</v>
      </c>
      <c r="S4" s="111">
        <v>3</v>
      </c>
      <c r="T4" s="263">
        <v>16.5</v>
      </c>
      <c r="U4" s="111">
        <v>2.1</v>
      </c>
      <c r="V4" s="263">
        <v>3</v>
      </c>
      <c r="W4" s="111">
        <v>2.7</v>
      </c>
      <c r="X4" s="263">
        <v>2.8</v>
      </c>
      <c r="Y4" s="268">
        <f t="shared" si="0"/>
        <v>30.1</v>
      </c>
      <c r="Z4" s="265"/>
      <c r="AA4" s="266">
        <v>3.6</v>
      </c>
      <c r="AB4" s="267">
        <v>26.1</v>
      </c>
      <c r="AC4" s="266">
        <v>0</v>
      </c>
      <c r="AD4" s="292">
        <v>0</v>
      </c>
      <c r="AE4" s="267">
        <v>0</v>
      </c>
      <c r="AF4" s="287">
        <v>0</v>
      </c>
      <c r="AG4" s="302">
        <v>0</v>
      </c>
      <c r="AH4" s="355">
        <v>0</v>
      </c>
      <c r="AI4" s="301">
        <f t="shared" si="1"/>
        <v>-3.8999999999997925E-2</v>
      </c>
      <c r="AJ4" s="401"/>
      <c r="AK4" s="435" t="s">
        <v>50</v>
      </c>
      <c r="AL4" s="425"/>
      <c r="AM4" s="426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  <c r="HN4" s="180"/>
      <c r="HO4" s="180"/>
      <c r="HP4" s="180"/>
      <c r="HQ4" s="180"/>
      <c r="HR4" s="180"/>
      <c r="HS4" s="180"/>
      <c r="HT4" s="180"/>
      <c r="HU4" s="180"/>
      <c r="HV4" s="180"/>
      <c r="HW4" s="180"/>
      <c r="HX4" s="180"/>
      <c r="HY4" s="180"/>
      <c r="HZ4" s="180"/>
      <c r="IA4" s="180"/>
      <c r="IB4" s="180"/>
      <c r="IC4" s="180"/>
      <c r="ID4" s="180"/>
      <c r="IE4" s="180"/>
      <c r="IF4" s="180"/>
      <c r="IG4" s="180"/>
      <c r="IH4" s="180"/>
      <c r="II4" s="180"/>
      <c r="IJ4" s="180"/>
      <c r="IK4" s="180"/>
      <c r="IL4" s="180"/>
      <c r="IM4" s="180"/>
      <c r="IN4" s="180"/>
    </row>
    <row r="5" spans="1:248" s="180" customFormat="1" ht="45" customHeight="1" thickBot="1" x14ac:dyDescent="0.25">
      <c r="A5" s="444">
        <v>353</v>
      </c>
      <c r="B5" s="445" t="s">
        <v>51</v>
      </c>
      <c r="C5" s="445" t="s">
        <v>52</v>
      </c>
      <c r="D5" s="445"/>
      <c r="E5" s="445">
        <v>18</v>
      </c>
      <c r="F5" s="445" t="s">
        <v>66</v>
      </c>
      <c r="G5" s="445"/>
      <c r="H5" s="448" t="s">
        <v>55</v>
      </c>
      <c r="I5" s="451">
        <f>SUMIF('Wege im Detail'!$A:$A,"00353",'Wege im Detail'!$P:$P)</f>
        <v>13.914</v>
      </c>
      <c r="J5" s="508" t="s">
        <v>68</v>
      </c>
      <c r="K5" s="237"/>
      <c r="L5" s="209">
        <f>(W5+V5)/(I5/100)</f>
        <v>30.832255282449335</v>
      </c>
      <c r="M5" s="195" t="s">
        <v>60</v>
      </c>
      <c r="N5" s="196" t="s">
        <v>60</v>
      </c>
      <c r="O5" s="212" t="s">
        <v>60</v>
      </c>
      <c r="P5" s="350"/>
      <c r="Q5" s="226"/>
      <c r="R5" s="262">
        <v>0</v>
      </c>
      <c r="S5" s="111">
        <v>2.08</v>
      </c>
      <c r="T5" s="263">
        <v>5.26</v>
      </c>
      <c r="U5" s="111">
        <v>1.8</v>
      </c>
      <c r="V5" s="263">
        <v>2.08</v>
      </c>
      <c r="W5" s="111">
        <v>2.21</v>
      </c>
      <c r="X5" s="263">
        <v>0.49199999999999999</v>
      </c>
      <c r="Y5" s="268">
        <f t="shared" si="0"/>
        <v>13.922000000000001</v>
      </c>
      <c r="Z5" s="269"/>
      <c r="AA5" s="266">
        <v>3.6</v>
      </c>
      <c r="AB5" s="267">
        <v>10.199999999999999</v>
      </c>
      <c r="AC5" s="266">
        <v>0</v>
      </c>
      <c r="AD5" s="292">
        <v>0</v>
      </c>
      <c r="AE5" s="267">
        <v>0</v>
      </c>
      <c r="AF5" s="287">
        <v>0</v>
      </c>
      <c r="AG5" s="302">
        <v>0</v>
      </c>
      <c r="AH5" s="355">
        <v>0</v>
      </c>
      <c r="AI5" s="301">
        <f t="shared" si="1"/>
        <v>8.0000000000008953E-3</v>
      </c>
      <c r="AJ5" s="187"/>
      <c r="AK5" s="435" t="s">
        <v>50</v>
      </c>
      <c r="AL5" s="427"/>
      <c r="AM5" s="428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</row>
    <row r="6" spans="1:248" ht="45" customHeight="1" thickBot="1" x14ac:dyDescent="0.25">
      <c r="A6" s="444">
        <v>1992</v>
      </c>
      <c r="B6" s="445" t="s">
        <v>51</v>
      </c>
      <c r="C6" s="445" t="s">
        <v>52</v>
      </c>
      <c r="D6" s="445"/>
      <c r="E6" s="445">
        <v>8</v>
      </c>
      <c r="F6" s="445" t="s">
        <v>71</v>
      </c>
      <c r="G6" s="445"/>
      <c r="H6" s="448" t="s">
        <v>55</v>
      </c>
      <c r="I6" s="451">
        <f>SUMIF('Wege im Detail'!$A:$A,"01992",'Wege im Detail'!$P:$P)</f>
        <v>52.558999999999997</v>
      </c>
      <c r="J6" s="508" t="s">
        <v>73</v>
      </c>
      <c r="L6" s="256">
        <v>23</v>
      </c>
      <c r="M6" s="195">
        <v>91</v>
      </c>
      <c r="N6" s="196">
        <v>4</v>
      </c>
      <c r="O6" s="212">
        <v>5</v>
      </c>
      <c r="R6" s="270">
        <v>0</v>
      </c>
      <c r="S6" s="271">
        <v>3.15</v>
      </c>
      <c r="T6" s="272">
        <v>31.5</v>
      </c>
      <c r="U6" s="271">
        <v>4.7300000000000004</v>
      </c>
      <c r="V6" s="272">
        <v>7.35</v>
      </c>
      <c r="W6" s="271">
        <v>4.2</v>
      </c>
      <c r="X6" s="272">
        <v>1.3</v>
      </c>
      <c r="Y6" s="268">
        <f t="shared" si="0"/>
        <v>52.23</v>
      </c>
      <c r="Z6" s="269"/>
      <c r="AA6" s="273">
        <v>2.1</v>
      </c>
      <c r="AB6" s="274">
        <v>48.8</v>
      </c>
      <c r="AC6" s="273">
        <v>0.52500000000000002</v>
      </c>
      <c r="AD6" s="293">
        <v>0</v>
      </c>
      <c r="AE6" s="274">
        <v>0.52500000000000002</v>
      </c>
      <c r="AF6" s="287">
        <v>0.25</v>
      </c>
      <c r="AG6" s="302">
        <v>0</v>
      </c>
      <c r="AH6" s="355">
        <v>0</v>
      </c>
      <c r="AI6" s="301">
        <f t="shared" si="1"/>
        <v>-0.32900000000000063</v>
      </c>
      <c r="AJ6" s="187"/>
      <c r="AK6" s="435" t="s">
        <v>50</v>
      </c>
      <c r="AL6" s="429"/>
      <c r="AM6" s="424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</row>
    <row r="7" spans="1:248" ht="45" customHeight="1" thickBot="1" x14ac:dyDescent="0.25">
      <c r="A7" s="438">
        <v>1993</v>
      </c>
      <c r="B7" s="445" t="s">
        <v>51</v>
      </c>
      <c r="C7" s="445" t="s">
        <v>52</v>
      </c>
      <c r="D7" s="445"/>
      <c r="E7" s="445">
        <v>5</v>
      </c>
      <c r="F7" s="445" t="s">
        <v>75</v>
      </c>
      <c r="G7" s="445"/>
      <c r="H7" s="448" t="s">
        <v>55</v>
      </c>
      <c r="I7" s="451">
        <f>SUMIF('Wege im Detail'!$A:$A,"01993",'Wege im Detail'!$P:$P)</f>
        <v>82.712000000000003</v>
      </c>
      <c r="J7" s="508" t="s">
        <v>76</v>
      </c>
      <c r="L7" s="209">
        <f>(W7+V7)/(I7/100)</f>
        <v>28.774542992552465</v>
      </c>
      <c r="M7" s="195" t="s">
        <v>60</v>
      </c>
      <c r="N7" s="196" t="s">
        <v>60</v>
      </c>
      <c r="O7" s="212" t="s">
        <v>60</v>
      </c>
      <c r="R7" s="262">
        <v>0</v>
      </c>
      <c r="S7" s="111">
        <v>4.0999999999999996</v>
      </c>
      <c r="T7" s="263">
        <v>34.4</v>
      </c>
      <c r="U7" s="111">
        <v>14.8</v>
      </c>
      <c r="V7" s="263">
        <v>15.6</v>
      </c>
      <c r="W7" s="111">
        <v>8.1999999999999993</v>
      </c>
      <c r="X7" s="263">
        <v>4.8899999999999997</v>
      </c>
      <c r="Y7" s="264">
        <f t="shared" si="0"/>
        <v>81.99</v>
      </c>
      <c r="Z7" s="265"/>
      <c r="AA7" s="266">
        <v>14.8</v>
      </c>
      <c r="AB7" s="267">
        <v>64.8</v>
      </c>
      <c r="AC7" s="266">
        <v>0</v>
      </c>
      <c r="AD7" s="292">
        <v>0</v>
      </c>
      <c r="AE7" s="267">
        <v>0</v>
      </c>
      <c r="AF7" s="287">
        <v>0</v>
      </c>
      <c r="AG7" s="302">
        <v>0</v>
      </c>
      <c r="AH7" s="355">
        <v>0</v>
      </c>
      <c r="AI7" s="301">
        <f t="shared" si="1"/>
        <v>-0.72200000000000841</v>
      </c>
      <c r="AK7" s="435" t="s">
        <v>50</v>
      </c>
      <c r="AL7" s="429"/>
      <c r="AM7" s="430"/>
    </row>
    <row r="8" spans="1:248" ht="45" customHeight="1" thickBot="1" x14ac:dyDescent="0.25">
      <c r="A8" s="444">
        <v>1994</v>
      </c>
      <c r="B8" s="445" t="s">
        <v>51</v>
      </c>
      <c r="C8" s="445" t="s">
        <v>52</v>
      </c>
      <c r="D8" s="445"/>
      <c r="E8" s="445">
        <v>2</v>
      </c>
      <c r="F8" s="445" t="s">
        <v>78</v>
      </c>
      <c r="G8" s="445"/>
      <c r="H8" s="448" t="s">
        <v>55</v>
      </c>
      <c r="I8" s="451">
        <f>SUMIF('Wege im Detail'!$A:$A,"01994",'Wege im Detail'!$P:$P)</f>
        <v>72.644999999999996</v>
      </c>
      <c r="J8" s="508" t="s">
        <v>80</v>
      </c>
      <c r="L8" s="256">
        <f>(W8+V8)/(I8/100)</f>
        <v>27.352192167389362</v>
      </c>
      <c r="M8" s="195"/>
      <c r="N8" s="196"/>
      <c r="O8" s="212"/>
      <c r="R8" s="262">
        <v>0.1</v>
      </c>
      <c r="S8" s="111">
        <v>11.8</v>
      </c>
      <c r="T8" s="263">
        <v>36.799999999999997</v>
      </c>
      <c r="U8" s="111">
        <v>2.79</v>
      </c>
      <c r="V8" s="263">
        <v>12.8</v>
      </c>
      <c r="W8" s="111">
        <v>7.07</v>
      </c>
      <c r="X8" s="263">
        <v>1.01</v>
      </c>
      <c r="Y8" s="264">
        <f t="shared" si="0"/>
        <v>72.36999999999999</v>
      </c>
      <c r="Z8" s="269"/>
      <c r="AA8" s="266">
        <v>7.27</v>
      </c>
      <c r="AB8" s="267">
        <v>25.2</v>
      </c>
      <c r="AC8" s="266">
        <v>2.36</v>
      </c>
      <c r="AD8" s="292">
        <v>20.9</v>
      </c>
      <c r="AE8" s="267">
        <v>8.65</v>
      </c>
      <c r="AF8" s="287">
        <v>7.83</v>
      </c>
      <c r="AG8" s="302">
        <v>0</v>
      </c>
      <c r="AH8" s="355">
        <v>0</v>
      </c>
      <c r="AI8" s="301">
        <f t="shared" si="1"/>
        <v>-0.27500000000000568</v>
      </c>
      <c r="AJ8" s="187"/>
      <c r="AK8" s="435" t="s">
        <v>50</v>
      </c>
      <c r="AL8" s="427"/>
      <c r="AM8" s="428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</row>
    <row r="9" spans="1:248" ht="45" customHeight="1" thickBot="1" x14ac:dyDescent="0.25">
      <c r="A9" s="184">
        <v>1996</v>
      </c>
      <c r="B9" s="445" t="s">
        <v>51</v>
      </c>
      <c r="C9" s="445" t="s">
        <v>52</v>
      </c>
      <c r="D9" s="445"/>
      <c r="E9" s="445">
        <v>13</v>
      </c>
      <c r="F9" s="445" t="s">
        <v>82</v>
      </c>
      <c r="G9" s="445"/>
      <c r="H9" s="448" t="s">
        <v>55</v>
      </c>
      <c r="I9" s="451">
        <f>SUMIF('Wege im Detail'!$A:$A,"01996",'Wege im Detail'!$P:$P)</f>
        <v>107.31700000000001</v>
      </c>
      <c r="J9" s="508" t="s">
        <v>83</v>
      </c>
      <c r="L9" s="256" t="s">
        <v>60</v>
      </c>
      <c r="M9" s="195" t="s">
        <v>60</v>
      </c>
      <c r="N9" s="196" t="s">
        <v>60</v>
      </c>
      <c r="O9" s="212" t="s">
        <v>60</v>
      </c>
      <c r="R9" s="262">
        <v>1.78</v>
      </c>
      <c r="S9" s="111">
        <v>10.8</v>
      </c>
      <c r="T9" s="263">
        <v>48.9</v>
      </c>
      <c r="U9" s="111">
        <v>6.12</v>
      </c>
      <c r="V9" s="263">
        <v>22.1</v>
      </c>
      <c r="W9" s="111">
        <v>15.3</v>
      </c>
      <c r="X9" s="263">
        <v>0</v>
      </c>
      <c r="Y9" s="264">
        <f t="shared" si="0"/>
        <v>104.99999999999999</v>
      </c>
      <c r="Z9" s="265"/>
      <c r="AA9" s="266">
        <v>15.6</v>
      </c>
      <c r="AB9" s="267">
        <v>29.8</v>
      </c>
      <c r="AC9" s="266">
        <v>8.0399999999999991</v>
      </c>
      <c r="AD9" s="292">
        <v>27.2</v>
      </c>
      <c r="AE9" s="267">
        <v>10.8</v>
      </c>
      <c r="AF9" s="287">
        <v>15.9</v>
      </c>
      <c r="AG9" s="302">
        <v>0.19600000000000001</v>
      </c>
      <c r="AH9" s="355">
        <v>0.19600000000000001</v>
      </c>
      <c r="AI9" s="301">
        <f t="shared" si="1"/>
        <v>-2.3170000000000215</v>
      </c>
      <c r="AK9" s="436" t="s">
        <v>50</v>
      </c>
      <c r="AL9" s="423"/>
      <c r="AM9" s="424"/>
    </row>
    <row r="10" spans="1:248" ht="45" customHeight="1" thickBot="1" x14ac:dyDescent="0.3">
      <c r="A10" s="184">
        <v>2004</v>
      </c>
      <c r="B10" s="542" t="s">
        <v>51</v>
      </c>
      <c r="C10" s="542" t="s">
        <v>85</v>
      </c>
      <c r="D10" s="543"/>
      <c r="E10" s="542" t="s">
        <v>819</v>
      </c>
      <c r="F10" s="542" t="s">
        <v>820</v>
      </c>
      <c r="G10" s="542" t="s">
        <v>821</v>
      </c>
      <c r="H10" s="546" t="s">
        <v>55</v>
      </c>
      <c r="I10" s="698">
        <f>SUMIF('Wege im Detail'!$A:$A,"002004",'Wege im Detail'!$P:$P)</f>
        <v>10.231999999999999</v>
      </c>
      <c r="J10" s="602" t="s">
        <v>2268</v>
      </c>
      <c r="K10" s="687"/>
      <c r="L10" s="711"/>
      <c r="M10" s="196"/>
      <c r="N10" s="196"/>
      <c r="O10" s="712"/>
      <c r="P10" s="206"/>
      <c r="Q10" s="169"/>
      <c r="R10" s="688"/>
      <c r="S10" s="689"/>
      <c r="T10" s="689"/>
      <c r="U10" s="689"/>
      <c r="V10" s="689"/>
      <c r="W10" s="689"/>
      <c r="X10" s="689"/>
      <c r="Y10" s="690"/>
      <c r="Z10" s="691"/>
      <c r="AA10" s="280"/>
      <c r="AB10" s="280"/>
      <c r="AC10" s="280"/>
      <c r="AD10" s="280"/>
      <c r="AE10" s="280"/>
      <c r="AF10" s="288"/>
      <c r="AG10" s="280"/>
      <c r="AH10" s="280"/>
      <c r="AI10" s="692"/>
      <c r="AJ10" s="693"/>
      <c r="AK10" s="553"/>
      <c r="AL10" s="694"/>
      <c r="AM10" s="694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</row>
    <row r="11" spans="1:248" ht="45" customHeight="1" thickBot="1" x14ac:dyDescent="0.25">
      <c r="A11" s="444">
        <v>2010</v>
      </c>
      <c r="B11" s="445" t="s">
        <v>84</v>
      </c>
      <c r="C11" s="455" t="s">
        <v>85</v>
      </c>
      <c r="D11" s="445"/>
      <c r="E11" s="445" t="s">
        <v>87</v>
      </c>
      <c r="F11" s="445" t="s">
        <v>88</v>
      </c>
      <c r="G11" s="445"/>
      <c r="H11" s="448" t="s">
        <v>55</v>
      </c>
      <c r="I11" s="451">
        <f>SUMIF('Wege im Detail'!$A:$A,"02010",'Wege im Detail'!$P:$P)</f>
        <v>7.899</v>
      </c>
      <c r="J11" s="508" t="s">
        <v>90</v>
      </c>
      <c r="L11" s="256">
        <v>100</v>
      </c>
      <c r="M11" s="195">
        <v>93</v>
      </c>
      <c r="N11" s="196">
        <v>0</v>
      </c>
      <c r="O11" s="212">
        <v>7</v>
      </c>
      <c r="R11" s="262">
        <v>0</v>
      </c>
      <c r="S11" s="111">
        <v>0</v>
      </c>
      <c r="T11" s="263">
        <v>0.32200000000000001</v>
      </c>
      <c r="U11" s="111">
        <v>0</v>
      </c>
      <c r="V11" s="263">
        <v>4.17</v>
      </c>
      <c r="W11" s="111">
        <v>3.64</v>
      </c>
      <c r="X11" s="263">
        <v>0.2</v>
      </c>
      <c r="Y11" s="264">
        <f t="shared" ref="Y11:Y17" si="2">SUM(R11:X11)</f>
        <v>8.331999999999999</v>
      </c>
      <c r="Z11" s="265"/>
      <c r="AA11" s="266">
        <v>0</v>
      </c>
      <c r="AB11" s="267">
        <v>0.32200000000000001</v>
      </c>
      <c r="AC11" s="266">
        <v>0.88800000000000001</v>
      </c>
      <c r="AD11" s="292">
        <v>0.64100000000000001</v>
      </c>
      <c r="AE11" s="267">
        <v>1.77</v>
      </c>
      <c r="AF11" s="287">
        <v>4.6100000000000003</v>
      </c>
      <c r="AG11" s="302">
        <v>0</v>
      </c>
      <c r="AH11" s="355">
        <v>0</v>
      </c>
      <c r="AI11" s="301">
        <f t="shared" ref="AI11:AI42" si="3">Y11-I11</f>
        <v>0.43299999999999894</v>
      </c>
      <c r="AK11" s="437" t="s">
        <v>50</v>
      </c>
    </row>
    <row r="12" spans="1:248" ht="45" customHeight="1" thickBot="1" x14ac:dyDescent="0.25">
      <c r="A12" s="444">
        <v>2035</v>
      </c>
      <c r="B12" s="445" t="s">
        <v>51</v>
      </c>
      <c r="C12" s="445" t="s">
        <v>91</v>
      </c>
      <c r="D12" s="445"/>
      <c r="E12" s="445">
        <v>51</v>
      </c>
      <c r="F12" s="445"/>
      <c r="G12" s="445"/>
      <c r="H12" s="448" t="s">
        <v>55</v>
      </c>
      <c r="I12" s="451">
        <f>SUMIF('Wege im Detail'!$A:$A,"02035",'Wege im Detail'!$P:$P)</f>
        <v>11.111000000000001</v>
      </c>
      <c r="J12" s="508" t="s">
        <v>94</v>
      </c>
      <c r="L12" s="256">
        <v>33</v>
      </c>
      <c r="M12" s="195">
        <v>85</v>
      </c>
      <c r="N12" s="196">
        <v>13</v>
      </c>
      <c r="O12" s="212">
        <v>2</v>
      </c>
      <c r="R12" s="262">
        <v>0</v>
      </c>
      <c r="S12" s="111">
        <v>0.32700000000000001</v>
      </c>
      <c r="T12" s="263">
        <v>5.56</v>
      </c>
      <c r="U12" s="111">
        <v>1.74</v>
      </c>
      <c r="V12" s="263">
        <v>1.53</v>
      </c>
      <c r="W12" s="111">
        <v>1.74</v>
      </c>
      <c r="X12" s="263">
        <v>0.05</v>
      </c>
      <c r="Y12" s="268">
        <f t="shared" si="2"/>
        <v>10.947000000000001</v>
      </c>
      <c r="Z12" s="265"/>
      <c r="AA12" s="266">
        <v>2.94</v>
      </c>
      <c r="AB12" s="267">
        <v>6.65</v>
      </c>
      <c r="AC12" s="266">
        <v>1.2</v>
      </c>
      <c r="AD12" s="292">
        <v>0</v>
      </c>
      <c r="AE12" s="267">
        <v>0</v>
      </c>
      <c r="AF12" s="287">
        <v>0.109</v>
      </c>
      <c r="AG12" s="302">
        <v>0</v>
      </c>
      <c r="AH12" s="355">
        <v>0</v>
      </c>
      <c r="AI12" s="301">
        <f t="shared" si="3"/>
        <v>-0.1639999999999997</v>
      </c>
      <c r="AK12" s="435" t="s">
        <v>50</v>
      </c>
    </row>
    <row r="13" spans="1:248" ht="45" customHeight="1" thickBot="1" x14ac:dyDescent="0.25">
      <c r="A13" s="444">
        <v>2039</v>
      </c>
      <c r="B13" s="445" t="s">
        <v>51</v>
      </c>
      <c r="C13" s="445" t="s">
        <v>91</v>
      </c>
      <c r="D13" s="445"/>
      <c r="E13" s="445">
        <v>39</v>
      </c>
      <c r="F13" s="445"/>
      <c r="G13" s="445"/>
      <c r="H13" s="448" t="s">
        <v>55</v>
      </c>
      <c r="I13" s="451">
        <f>SUMIF('Wege im Detail'!$A:$A,"02039",'Wege im Detail'!$P:$P)</f>
        <v>15.286</v>
      </c>
      <c r="J13" s="508" t="s">
        <v>96</v>
      </c>
      <c r="L13" s="256">
        <v>13</v>
      </c>
      <c r="M13" s="195">
        <v>95</v>
      </c>
      <c r="N13" s="196">
        <v>2</v>
      </c>
      <c r="O13" s="212">
        <v>4</v>
      </c>
      <c r="R13" s="262">
        <v>0</v>
      </c>
      <c r="S13" s="111">
        <v>0.77100000000000002</v>
      </c>
      <c r="T13" s="263">
        <v>10.8</v>
      </c>
      <c r="U13" s="111">
        <v>1.08</v>
      </c>
      <c r="V13" s="263">
        <v>1.08</v>
      </c>
      <c r="W13" s="111">
        <v>1.23</v>
      </c>
      <c r="X13" s="263">
        <v>0.61699999999999999</v>
      </c>
      <c r="Y13" s="268">
        <f t="shared" si="2"/>
        <v>15.578000000000003</v>
      </c>
      <c r="Z13" s="269"/>
      <c r="AA13" s="266">
        <v>5.24</v>
      </c>
      <c r="AB13" s="267">
        <v>9.4</v>
      </c>
      <c r="AC13" s="266">
        <v>0.77100000000000002</v>
      </c>
      <c r="AD13" s="292">
        <v>0</v>
      </c>
      <c r="AE13" s="267">
        <v>0.154</v>
      </c>
      <c r="AF13" s="287">
        <v>0.154</v>
      </c>
      <c r="AG13" s="302">
        <v>0</v>
      </c>
      <c r="AH13" s="355">
        <v>0</v>
      </c>
      <c r="AI13" s="301">
        <f t="shared" si="3"/>
        <v>0.29200000000000337</v>
      </c>
      <c r="AJ13" s="187"/>
      <c r="AK13" s="435" t="s">
        <v>50</v>
      </c>
      <c r="AL13" s="427"/>
      <c r="AM13" s="428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</row>
    <row r="14" spans="1:248" ht="45" customHeight="1" thickBot="1" x14ac:dyDescent="0.25">
      <c r="A14" s="438">
        <v>2040</v>
      </c>
      <c r="B14" s="445" t="s">
        <v>51</v>
      </c>
      <c r="C14" s="445" t="s">
        <v>91</v>
      </c>
      <c r="D14" s="445"/>
      <c r="E14" s="445">
        <v>37</v>
      </c>
      <c r="F14" s="445"/>
      <c r="G14" s="445"/>
      <c r="H14" s="448" t="s">
        <v>55</v>
      </c>
      <c r="I14" s="451">
        <f>SUMIF('Wege im Detail'!$A:$A,"02040",'Wege im Detail'!$P:$P)</f>
        <v>10.612</v>
      </c>
      <c r="J14" s="508" t="s">
        <v>99</v>
      </c>
      <c r="L14" s="256">
        <v>30</v>
      </c>
      <c r="M14" s="195">
        <v>74</v>
      </c>
      <c r="N14" s="196">
        <v>6</v>
      </c>
      <c r="O14" s="212">
        <v>20</v>
      </c>
      <c r="R14" s="262">
        <v>0</v>
      </c>
      <c r="S14" s="111">
        <v>0.96399999999999997</v>
      </c>
      <c r="T14" s="263">
        <v>6.5</v>
      </c>
      <c r="U14" s="111">
        <v>0.25700000000000001</v>
      </c>
      <c r="V14" s="263">
        <v>0.85599999999999998</v>
      </c>
      <c r="W14" s="111">
        <v>1.86</v>
      </c>
      <c r="X14" s="263">
        <v>0.27900000000000003</v>
      </c>
      <c r="Y14" s="264">
        <f t="shared" si="2"/>
        <v>10.715999999999999</v>
      </c>
      <c r="Z14" s="269"/>
      <c r="AA14" s="266">
        <v>2.16</v>
      </c>
      <c r="AB14" s="267">
        <v>3.51</v>
      </c>
      <c r="AC14" s="266">
        <v>0</v>
      </c>
      <c r="AD14" s="292">
        <v>1.88</v>
      </c>
      <c r="AE14" s="267">
        <v>1.31</v>
      </c>
      <c r="AF14" s="287">
        <v>1.86</v>
      </c>
      <c r="AG14" s="302">
        <v>0</v>
      </c>
      <c r="AH14" s="355">
        <v>0</v>
      </c>
      <c r="AI14" s="301">
        <f t="shared" si="3"/>
        <v>0.1039999999999992</v>
      </c>
      <c r="AJ14" s="187"/>
      <c r="AK14" s="435" t="s">
        <v>50</v>
      </c>
      <c r="AL14" s="427"/>
      <c r="AM14" s="428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</row>
    <row r="15" spans="1:248" ht="45" customHeight="1" thickBot="1" x14ac:dyDescent="0.25">
      <c r="A15" s="438">
        <v>2050</v>
      </c>
      <c r="B15" s="445" t="s">
        <v>51</v>
      </c>
      <c r="C15" s="445" t="s">
        <v>52</v>
      </c>
      <c r="D15" s="470"/>
      <c r="E15" s="445">
        <v>1</v>
      </c>
      <c r="F15" s="445" t="s">
        <v>101</v>
      </c>
      <c r="G15" s="445"/>
      <c r="H15" s="448" t="s">
        <v>55</v>
      </c>
      <c r="I15" s="451">
        <f>SUMIF('Wege im Detail'!$A:$A,"02050",'Wege im Detail'!$P:$P)</f>
        <v>48.313000000000002</v>
      </c>
      <c r="J15" s="508" t="s">
        <v>103</v>
      </c>
      <c r="L15" s="256">
        <v>24</v>
      </c>
      <c r="M15" s="195">
        <v>98</v>
      </c>
      <c r="N15" s="196">
        <v>1</v>
      </c>
      <c r="O15" s="212">
        <v>1</v>
      </c>
      <c r="R15" s="262">
        <v>2</v>
      </c>
      <c r="S15" s="111">
        <v>5.93</v>
      </c>
      <c r="T15" s="263">
        <v>27.16</v>
      </c>
      <c r="U15" s="111">
        <v>3.12</v>
      </c>
      <c r="V15" s="263">
        <v>5.74</v>
      </c>
      <c r="W15" s="111">
        <v>2.48</v>
      </c>
      <c r="X15" s="263">
        <v>1.75</v>
      </c>
      <c r="Y15" s="264">
        <f t="shared" si="2"/>
        <v>48.18</v>
      </c>
      <c r="Z15" s="269"/>
      <c r="AA15" s="266">
        <v>4.07</v>
      </c>
      <c r="AB15" s="267">
        <v>27.91</v>
      </c>
      <c r="AC15" s="266">
        <v>1.1399999999999999</v>
      </c>
      <c r="AD15" s="292">
        <v>11.33</v>
      </c>
      <c r="AE15" s="267">
        <v>1.52</v>
      </c>
      <c r="AF15" s="287">
        <v>4.1900000000000004</v>
      </c>
      <c r="AG15" s="302">
        <v>0</v>
      </c>
      <c r="AH15" s="355">
        <v>0</v>
      </c>
      <c r="AI15" s="301">
        <f t="shared" si="3"/>
        <v>-0.13300000000000267</v>
      </c>
      <c r="AJ15" s="187"/>
      <c r="AK15" s="435" t="s">
        <v>50</v>
      </c>
      <c r="AL15" s="427"/>
      <c r="AM15" s="428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</row>
    <row r="16" spans="1:248" ht="45" customHeight="1" thickBot="1" x14ac:dyDescent="0.25">
      <c r="A16" s="438">
        <v>2051</v>
      </c>
      <c r="B16" s="445" t="s">
        <v>51</v>
      </c>
      <c r="C16" s="445" t="s">
        <v>52</v>
      </c>
      <c r="D16" s="445"/>
      <c r="E16" s="445">
        <v>17</v>
      </c>
      <c r="F16" s="445" t="s">
        <v>105</v>
      </c>
      <c r="G16" s="445"/>
      <c r="H16" s="448" t="s">
        <v>55</v>
      </c>
      <c r="I16" s="451">
        <f>SUMIF('Wege im Detail'!$A:$A,"02051",'Wege im Detail'!$P:$P)</f>
        <v>73.233000000000004</v>
      </c>
      <c r="J16" s="508" t="s">
        <v>107</v>
      </c>
      <c r="L16" s="256">
        <v>35</v>
      </c>
      <c r="M16" s="195">
        <v>90</v>
      </c>
      <c r="N16" s="196">
        <v>7</v>
      </c>
      <c r="O16" s="212">
        <v>3</v>
      </c>
      <c r="R16" s="262">
        <v>0.40500000000000003</v>
      </c>
      <c r="S16" s="111">
        <v>6.27</v>
      </c>
      <c r="T16" s="263">
        <v>36.1</v>
      </c>
      <c r="U16" s="111">
        <v>6.37</v>
      </c>
      <c r="V16" s="263">
        <v>19.2</v>
      </c>
      <c r="W16" s="111">
        <v>6.23</v>
      </c>
      <c r="X16" s="263">
        <v>2.31</v>
      </c>
      <c r="Y16" s="264">
        <f t="shared" si="2"/>
        <v>76.885000000000005</v>
      </c>
      <c r="Z16" s="269"/>
      <c r="AA16" s="266">
        <v>9.24</v>
      </c>
      <c r="AB16" s="267">
        <v>23.3</v>
      </c>
      <c r="AC16" s="266">
        <v>2.54</v>
      </c>
      <c r="AD16" s="292">
        <v>20.7</v>
      </c>
      <c r="AE16" s="267">
        <v>8.44</v>
      </c>
      <c r="AF16" s="287">
        <v>12.6</v>
      </c>
      <c r="AG16" s="302" t="s">
        <v>108</v>
      </c>
      <c r="AH16" s="355" t="s">
        <v>108</v>
      </c>
      <c r="AI16" s="301">
        <f t="shared" si="3"/>
        <v>3.652000000000001</v>
      </c>
      <c r="AJ16" s="187"/>
      <c r="AK16" s="435" t="s">
        <v>50</v>
      </c>
      <c r="AL16" s="427"/>
      <c r="AM16" s="428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</row>
    <row r="17" spans="1:248" ht="45" customHeight="1" thickBot="1" x14ac:dyDescent="0.25">
      <c r="A17" s="444">
        <v>2066</v>
      </c>
      <c r="B17" s="445" t="s">
        <v>51</v>
      </c>
      <c r="C17" s="445" t="s">
        <v>52</v>
      </c>
      <c r="D17" s="445"/>
      <c r="E17" s="445">
        <v>9</v>
      </c>
      <c r="F17" s="445" t="s">
        <v>110</v>
      </c>
      <c r="G17" s="445"/>
      <c r="H17" s="448" t="s">
        <v>55</v>
      </c>
      <c r="I17" s="451">
        <f>SUMIF('Wege im Detail'!$A:$A,"02066",'Wege im Detail'!$P:$P)</f>
        <v>48.447999999999993</v>
      </c>
      <c r="J17" s="508" t="s">
        <v>112</v>
      </c>
      <c r="L17" s="256">
        <v>36</v>
      </c>
      <c r="M17" s="195">
        <v>89</v>
      </c>
      <c r="N17" s="196">
        <v>10</v>
      </c>
      <c r="O17" s="212">
        <v>1</v>
      </c>
      <c r="R17" s="262">
        <v>0</v>
      </c>
      <c r="S17" s="111">
        <v>2.1800000000000002</v>
      </c>
      <c r="T17" s="263">
        <v>24.7</v>
      </c>
      <c r="U17" s="111">
        <v>3.47</v>
      </c>
      <c r="V17" s="263">
        <v>10.7</v>
      </c>
      <c r="W17" s="111">
        <v>4.51</v>
      </c>
      <c r="X17" s="263">
        <v>1.51</v>
      </c>
      <c r="Y17" s="268">
        <f t="shared" si="2"/>
        <v>47.069999999999993</v>
      </c>
      <c r="Z17" s="269"/>
      <c r="AA17" s="266">
        <v>11.3</v>
      </c>
      <c r="AB17" s="267">
        <v>8.51</v>
      </c>
      <c r="AC17" s="266">
        <v>2.19</v>
      </c>
      <c r="AD17" s="292">
        <v>12.3</v>
      </c>
      <c r="AE17" s="267">
        <v>2.99</v>
      </c>
      <c r="AF17" s="287">
        <v>9.74</v>
      </c>
      <c r="AG17" s="302">
        <v>0</v>
      </c>
      <c r="AH17" s="355">
        <v>0</v>
      </c>
      <c r="AI17" s="301">
        <f t="shared" si="3"/>
        <v>-1.3780000000000001</v>
      </c>
      <c r="AJ17" s="187"/>
      <c r="AK17" s="435" t="s">
        <v>50</v>
      </c>
      <c r="AL17" s="427"/>
      <c r="AM17" s="428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</row>
    <row r="18" spans="1:248" ht="45" customHeight="1" thickBot="1" x14ac:dyDescent="0.25">
      <c r="A18" s="444">
        <v>2075</v>
      </c>
      <c r="B18" s="445" t="s">
        <v>51</v>
      </c>
      <c r="C18" s="445" t="s">
        <v>91</v>
      </c>
      <c r="D18" s="445"/>
      <c r="E18" s="445">
        <v>41</v>
      </c>
      <c r="F18" s="445"/>
      <c r="G18" s="445"/>
      <c r="H18" s="448" t="s">
        <v>55</v>
      </c>
      <c r="I18" s="451">
        <f>SUMIF('Wege im Detail'!$A:$A,"02075",'Wege im Detail'!$P:$P)</f>
        <v>13.058999999999999</v>
      </c>
      <c r="J18" s="508" t="s">
        <v>114</v>
      </c>
      <c r="L18" s="256">
        <v>17</v>
      </c>
      <c r="M18" s="195">
        <v>94</v>
      </c>
      <c r="N18" s="196">
        <v>2</v>
      </c>
      <c r="O18" s="212">
        <v>4</v>
      </c>
      <c r="R18" s="262"/>
      <c r="S18" s="111"/>
      <c r="T18" s="263"/>
      <c r="U18" s="111"/>
      <c r="V18" s="263"/>
      <c r="W18" s="111"/>
      <c r="X18" s="263"/>
      <c r="Y18" s="264"/>
      <c r="Z18" s="269"/>
      <c r="AA18" s="266"/>
      <c r="AB18" s="267"/>
      <c r="AC18" s="266"/>
      <c r="AD18" s="292"/>
      <c r="AE18" s="267"/>
      <c r="AG18" s="302">
        <v>0</v>
      </c>
      <c r="AH18" s="355">
        <v>0</v>
      </c>
      <c r="AI18" s="301">
        <f t="shared" si="3"/>
        <v>-13.058999999999999</v>
      </c>
      <c r="AJ18" s="187"/>
      <c r="AL18" s="427"/>
      <c r="AM18" s="428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</row>
    <row r="19" spans="1:248" ht="45" customHeight="1" thickBot="1" x14ac:dyDescent="0.25">
      <c r="A19" s="444">
        <v>2077</v>
      </c>
      <c r="B19" s="445" t="s">
        <v>51</v>
      </c>
      <c r="C19" s="445" t="s">
        <v>91</v>
      </c>
      <c r="D19" s="445"/>
      <c r="E19" s="445">
        <v>40</v>
      </c>
      <c r="F19" s="445"/>
      <c r="G19" s="445"/>
      <c r="H19" s="448" t="s">
        <v>55</v>
      </c>
      <c r="I19" s="451">
        <f>SUMIF('Wege im Detail'!$A:$A,"02077",'Wege im Detail'!$P:$P)</f>
        <v>8.4939999999999998</v>
      </c>
      <c r="J19" s="508" t="s">
        <v>116</v>
      </c>
      <c r="L19" s="256">
        <v>26</v>
      </c>
      <c r="M19" s="195">
        <v>84</v>
      </c>
      <c r="N19" s="196">
        <v>11</v>
      </c>
      <c r="O19" s="212">
        <v>5</v>
      </c>
      <c r="R19" s="262">
        <v>0</v>
      </c>
      <c r="S19" s="111">
        <v>0.53500000000000003</v>
      </c>
      <c r="T19" s="263">
        <v>4.87</v>
      </c>
      <c r="U19" s="111">
        <v>1.19</v>
      </c>
      <c r="V19" s="263">
        <v>1.73</v>
      </c>
      <c r="W19" s="111">
        <v>0.14899999999999999</v>
      </c>
      <c r="X19" s="263">
        <v>0.02</v>
      </c>
      <c r="Y19" s="268">
        <f t="shared" ref="Y19:Y27" si="4">SUM(R19:X19)</f>
        <v>8.4939999999999998</v>
      </c>
      <c r="Z19" s="265"/>
      <c r="AA19" s="266">
        <v>1.1599999999999999</v>
      </c>
      <c r="AB19" s="267">
        <v>2.13</v>
      </c>
      <c r="AC19" s="266">
        <v>0.76900000000000002</v>
      </c>
      <c r="AD19" s="292">
        <v>2.6</v>
      </c>
      <c r="AE19" s="267">
        <v>0.442</v>
      </c>
      <c r="AF19" s="287">
        <v>1.46</v>
      </c>
      <c r="AG19" s="302">
        <v>0</v>
      </c>
      <c r="AH19" s="355">
        <v>0</v>
      </c>
      <c r="AI19" s="301">
        <f t="shared" si="3"/>
        <v>0</v>
      </c>
      <c r="AK19" s="435" t="s">
        <v>50</v>
      </c>
    </row>
    <row r="20" spans="1:248" ht="45" customHeight="1" thickBot="1" x14ac:dyDescent="0.25">
      <c r="A20" s="444">
        <v>2115</v>
      </c>
      <c r="B20" s="445" t="s">
        <v>51</v>
      </c>
      <c r="C20" s="445" t="s">
        <v>91</v>
      </c>
      <c r="D20" s="445"/>
      <c r="E20" s="445">
        <v>34</v>
      </c>
      <c r="F20" s="448"/>
      <c r="G20" s="448"/>
      <c r="H20" s="448" t="s">
        <v>55</v>
      </c>
      <c r="I20" s="451">
        <f>SUMIF('Wege im Detail'!$A:$A,"02115",'Wege im Detail'!$P:$P)</f>
        <v>2.6739999999999999</v>
      </c>
      <c r="J20" s="508" t="s">
        <v>119</v>
      </c>
      <c r="L20" s="256">
        <v>33</v>
      </c>
      <c r="M20" s="195">
        <v>94</v>
      </c>
      <c r="N20" s="196">
        <v>0</v>
      </c>
      <c r="O20" s="212">
        <v>6</v>
      </c>
      <c r="R20" s="262">
        <v>0</v>
      </c>
      <c r="S20" s="111">
        <v>0</v>
      </c>
      <c r="T20" s="263">
        <v>1.73</v>
      </c>
      <c r="U20" s="111">
        <v>0.03</v>
      </c>
      <c r="V20" s="263">
        <v>0.75600000000000001</v>
      </c>
      <c r="W20" s="111">
        <v>0.158</v>
      </c>
      <c r="X20" s="263">
        <v>0</v>
      </c>
      <c r="Y20" s="268">
        <f t="shared" si="4"/>
        <v>2.6739999999999999</v>
      </c>
      <c r="Z20" s="269"/>
      <c r="AA20" s="266">
        <v>1.1499999999999999</v>
      </c>
      <c r="AB20" s="267">
        <v>0.111</v>
      </c>
      <c r="AC20" s="266">
        <v>0.29299999999999998</v>
      </c>
      <c r="AD20" s="292">
        <v>0.22</v>
      </c>
      <c r="AE20" s="267">
        <v>0.75600000000000001</v>
      </c>
      <c r="AF20" s="287">
        <v>0.15</v>
      </c>
      <c r="AG20" s="302">
        <v>0</v>
      </c>
      <c r="AH20" s="355">
        <v>0</v>
      </c>
      <c r="AI20" s="301">
        <f t="shared" si="3"/>
        <v>0</v>
      </c>
      <c r="AJ20" s="187"/>
      <c r="AK20" s="435" t="s">
        <v>50</v>
      </c>
      <c r="AL20" s="427"/>
      <c r="AM20" s="428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</row>
    <row r="21" spans="1:248" ht="45" customHeight="1" thickBot="1" x14ac:dyDescent="0.25">
      <c r="A21" s="444">
        <v>2172</v>
      </c>
      <c r="B21" s="445" t="s">
        <v>51</v>
      </c>
      <c r="C21" s="445" t="s">
        <v>91</v>
      </c>
      <c r="D21" s="445"/>
      <c r="E21" s="445">
        <v>31</v>
      </c>
      <c r="F21" s="445"/>
      <c r="G21" s="445"/>
      <c r="H21" s="448" t="s">
        <v>55</v>
      </c>
      <c r="I21" s="451">
        <f>SUMIF('Wege im Detail'!$A:$A,"02172",'Wege im Detail'!$P:$P)</f>
        <v>13.05</v>
      </c>
      <c r="J21" s="508" t="s">
        <v>120</v>
      </c>
      <c r="L21" s="256">
        <v>0</v>
      </c>
      <c r="M21" s="195">
        <v>100</v>
      </c>
      <c r="N21" s="196">
        <v>0</v>
      </c>
      <c r="O21" s="212">
        <v>0</v>
      </c>
      <c r="R21" s="262">
        <v>0</v>
      </c>
      <c r="S21" s="111">
        <v>1.27</v>
      </c>
      <c r="T21" s="263">
        <v>9.09</v>
      </c>
      <c r="U21" s="111">
        <v>1.42</v>
      </c>
      <c r="V21" s="263">
        <v>1.47</v>
      </c>
      <c r="W21" s="111">
        <v>2.5000000000000001E-2</v>
      </c>
      <c r="X21" s="263">
        <v>2.5000000000000001E-2</v>
      </c>
      <c r="Y21" s="268">
        <f t="shared" si="4"/>
        <v>13.3</v>
      </c>
      <c r="Z21" s="265"/>
      <c r="AA21" s="266">
        <v>0.89</v>
      </c>
      <c r="AB21" s="267">
        <v>5.39</v>
      </c>
      <c r="AC21" s="266">
        <v>6.79</v>
      </c>
      <c r="AD21" s="292">
        <v>0.18099999999999999</v>
      </c>
      <c r="AE21" s="267">
        <v>0.55549999999999999</v>
      </c>
      <c r="AF21" s="287">
        <v>0.55549999999999999</v>
      </c>
      <c r="AG21" s="302">
        <v>0</v>
      </c>
      <c r="AH21" s="355">
        <v>0</v>
      </c>
      <c r="AI21" s="301">
        <f t="shared" si="3"/>
        <v>0.25</v>
      </c>
      <c r="AK21" s="435" t="s">
        <v>50</v>
      </c>
    </row>
    <row r="22" spans="1:248" ht="45" customHeight="1" thickBot="1" x14ac:dyDescent="0.25">
      <c r="A22" s="444">
        <v>2179</v>
      </c>
      <c r="B22" s="445" t="s">
        <v>51</v>
      </c>
      <c r="C22" s="445" t="s">
        <v>91</v>
      </c>
      <c r="D22" s="445"/>
      <c r="E22" s="445">
        <v>38</v>
      </c>
      <c r="F22" s="445"/>
      <c r="G22" s="445"/>
      <c r="H22" s="448" t="s">
        <v>55</v>
      </c>
      <c r="I22" s="451">
        <f>SUMIF('Wege im Detail'!$A:$A,"02179",'Wege im Detail'!$P:$P)</f>
        <v>4.5720000000000001</v>
      </c>
      <c r="J22" s="508" t="s">
        <v>122</v>
      </c>
      <c r="L22" s="256">
        <v>49</v>
      </c>
      <c r="M22" s="195">
        <v>100</v>
      </c>
      <c r="N22" s="196">
        <v>0</v>
      </c>
      <c r="O22" s="212">
        <v>0</v>
      </c>
      <c r="R22" s="262">
        <v>0</v>
      </c>
      <c r="S22" s="111">
        <v>0.14199999999999999</v>
      </c>
      <c r="T22" s="263">
        <v>2.6</v>
      </c>
      <c r="U22" s="111">
        <v>3.5000000000000003E-2</v>
      </c>
      <c r="V22" s="263">
        <v>0.40899999999999997</v>
      </c>
      <c r="W22" s="111">
        <v>1.36</v>
      </c>
      <c r="X22" s="263">
        <v>3.5000000000000003E-2</v>
      </c>
      <c r="Y22" s="268">
        <f t="shared" si="4"/>
        <v>4.5810000000000004</v>
      </c>
      <c r="Z22" s="265"/>
      <c r="AA22" s="266">
        <v>0.46700000000000003</v>
      </c>
      <c r="AB22" s="267">
        <v>1.44</v>
      </c>
      <c r="AC22" s="266">
        <v>0</v>
      </c>
      <c r="AD22" s="292">
        <v>0.83299999999999996</v>
      </c>
      <c r="AE22" s="267">
        <v>0.36299999999999999</v>
      </c>
      <c r="AF22" s="287">
        <v>1.47</v>
      </c>
      <c r="AG22" s="302">
        <v>0</v>
      </c>
      <c r="AH22" s="355">
        <v>0</v>
      </c>
      <c r="AI22" s="301">
        <f t="shared" si="3"/>
        <v>9.0000000000003411E-3</v>
      </c>
      <c r="AK22" s="435" t="s">
        <v>50</v>
      </c>
    </row>
    <row r="23" spans="1:248" ht="45" customHeight="1" thickBot="1" x14ac:dyDescent="0.25">
      <c r="A23" s="444">
        <v>2226</v>
      </c>
      <c r="B23" s="445" t="s">
        <v>51</v>
      </c>
      <c r="C23" s="445" t="s">
        <v>91</v>
      </c>
      <c r="D23" s="445"/>
      <c r="E23" s="445">
        <v>23</v>
      </c>
      <c r="F23" s="445"/>
      <c r="G23" s="445"/>
      <c r="H23" s="448" t="s">
        <v>55</v>
      </c>
      <c r="I23" s="451">
        <f>SUMIF('Wege im Detail'!$A:$A,"02226",'Wege im Detail'!$P:$P)</f>
        <v>11.355</v>
      </c>
      <c r="J23" s="508" t="s">
        <v>125</v>
      </c>
      <c r="L23" s="256">
        <v>44</v>
      </c>
      <c r="M23" s="195">
        <v>75</v>
      </c>
      <c r="N23" s="196">
        <v>0</v>
      </c>
      <c r="O23" s="212">
        <v>0</v>
      </c>
      <c r="R23" s="262">
        <v>0</v>
      </c>
      <c r="S23" s="111">
        <v>1.32</v>
      </c>
      <c r="T23" s="263">
        <v>3.82</v>
      </c>
      <c r="U23" s="111">
        <v>1.4</v>
      </c>
      <c r="V23" s="263">
        <v>2.4500000000000002</v>
      </c>
      <c r="W23" s="111">
        <v>2.35</v>
      </c>
      <c r="X23" s="263">
        <v>0</v>
      </c>
      <c r="Y23" s="268">
        <f t="shared" si="4"/>
        <v>11.339999999999998</v>
      </c>
      <c r="Z23" s="265"/>
      <c r="AA23" s="266">
        <v>1.38</v>
      </c>
      <c r="AB23" s="267">
        <v>2.75</v>
      </c>
      <c r="AC23" s="266">
        <v>2.42</v>
      </c>
      <c r="AD23" s="292">
        <v>0</v>
      </c>
      <c r="AE23" s="267">
        <v>0.65500000000000003</v>
      </c>
      <c r="AF23" s="287">
        <v>4.1500000000000004</v>
      </c>
      <c r="AG23" s="302">
        <v>0</v>
      </c>
      <c r="AH23" s="355">
        <v>0</v>
      </c>
      <c r="AI23" s="301">
        <f t="shared" si="3"/>
        <v>-1.5000000000002345E-2</v>
      </c>
      <c r="AK23" s="435" t="s">
        <v>50</v>
      </c>
    </row>
    <row r="24" spans="1:248" ht="45" customHeight="1" thickBot="1" x14ac:dyDescent="0.25">
      <c r="A24" s="184">
        <v>2229</v>
      </c>
      <c r="B24" s="445" t="s">
        <v>51</v>
      </c>
      <c r="C24" s="445" t="s">
        <v>91</v>
      </c>
      <c r="D24" s="445"/>
      <c r="E24" s="445">
        <v>29</v>
      </c>
      <c r="F24" s="445"/>
      <c r="G24" s="445"/>
      <c r="H24" s="448" t="s">
        <v>55</v>
      </c>
      <c r="I24" s="451">
        <f>SUMIF('Wege im Detail'!$A:$A,"02229",'Wege im Detail'!$P:$P)</f>
        <v>22.312000000000001</v>
      </c>
      <c r="J24" s="508" t="s">
        <v>127</v>
      </c>
      <c r="L24" s="256">
        <v>52</v>
      </c>
      <c r="M24" s="195">
        <v>81</v>
      </c>
      <c r="N24" s="196">
        <v>16</v>
      </c>
      <c r="O24" s="212">
        <v>3</v>
      </c>
      <c r="R24" s="262">
        <v>0</v>
      </c>
      <c r="S24" s="111">
        <v>1.56</v>
      </c>
      <c r="T24" s="263">
        <v>9.34</v>
      </c>
      <c r="U24" s="111">
        <v>0.02</v>
      </c>
      <c r="V24" s="263">
        <v>7.08</v>
      </c>
      <c r="W24" s="111">
        <v>1.82</v>
      </c>
      <c r="X24" s="263">
        <v>2.48</v>
      </c>
      <c r="Y24" s="268">
        <f t="shared" si="4"/>
        <v>22.3</v>
      </c>
      <c r="Z24" s="265"/>
      <c r="AA24" s="266">
        <v>0.68899999999999995</v>
      </c>
      <c r="AB24" s="267">
        <v>4.34</v>
      </c>
      <c r="AC24" s="266">
        <v>5.16</v>
      </c>
      <c r="AD24" s="292">
        <v>2.46</v>
      </c>
      <c r="AE24" s="267">
        <v>4.18</v>
      </c>
      <c r="AF24" s="287">
        <v>5.48</v>
      </c>
      <c r="AG24" s="302">
        <v>0</v>
      </c>
      <c r="AH24" s="355">
        <v>0</v>
      </c>
      <c r="AI24" s="301">
        <f t="shared" si="3"/>
        <v>-1.2000000000000455E-2</v>
      </c>
      <c r="AK24" s="435" t="s">
        <v>50</v>
      </c>
    </row>
    <row r="25" spans="1:248" ht="45" customHeight="1" thickBot="1" x14ac:dyDescent="0.25">
      <c r="A25" s="444">
        <v>2231</v>
      </c>
      <c r="B25" s="445" t="s">
        <v>51</v>
      </c>
      <c r="C25" s="445" t="s">
        <v>91</v>
      </c>
      <c r="D25" s="445"/>
      <c r="E25" s="445">
        <v>43</v>
      </c>
      <c r="F25" s="445"/>
      <c r="G25" s="445"/>
      <c r="H25" s="448" t="s">
        <v>55</v>
      </c>
      <c r="I25" s="451">
        <f>SUMIF('Wege im Detail'!$A:$A,"02231",'Wege im Detail'!$P:$P)</f>
        <v>10.706</v>
      </c>
      <c r="J25" s="508" t="s">
        <v>129</v>
      </c>
      <c r="L25" s="256">
        <v>27</v>
      </c>
      <c r="M25" s="195">
        <v>90</v>
      </c>
      <c r="N25" s="196">
        <v>7</v>
      </c>
      <c r="O25" s="212">
        <v>3</v>
      </c>
      <c r="R25" s="262">
        <v>0</v>
      </c>
      <c r="S25" s="111">
        <v>3.35</v>
      </c>
      <c r="T25" s="263">
        <v>4.8899999999999997</v>
      </c>
      <c r="U25" s="111">
        <v>0</v>
      </c>
      <c r="V25" s="263">
        <v>1.7</v>
      </c>
      <c r="W25" s="111">
        <v>0.48</v>
      </c>
      <c r="X25" s="263">
        <v>0.21</v>
      </c>
      <c r="Y25" s="268">
        <f t="shared" si="4"/>
        <v>10.63</v>
      </c>
      <c r="Z25" s="265"/>
      <c r="AA25" s="266">
        <v>2.63</v>
      </c>
      <c r="AB25" s="267">
        <v>1.28</v>
      </c>
      <c r="AC25" s="266">
        <v>0.55549999999999999</v>
      </c>
      <c r="AD25" s="292">
        <v>0.69</v>
      </c>
      <c r="AE25" s="267">
        <v>0.93</v>
      </c>
      <c r="AF25" s="287">
        <v>1.44</v>
      </c>
      <c r="AG25" s="302">
        <v>0</v>
      </c>
      <c r="AH25" s="355">
        <v>0</v>
      </c>
      <c r="AI25" s="301">
        <f t="shared" si="3"/>
        <v>-7.5999999999998735E-2</v>
      </c>
      <c r="AK25" s="435" t="s">
        <v>50</v>
      </c>
    </row>
    <row r="26" spans="1:248" ht="45" customHeight="1" thickBot="1" x14ac:dyDescent="0.25">
      <c r="A26" s="444">
        <v>2240</v>
      </c>
      <c r="B26" s="445" t="s">
        <v>51</v>
      </c>
      <c r="C26" s="445" t="s">
        <v>91</v>
      </c>
      <c r="D26" s="445"/>
      <c r="E26" s="445">
        <v>42</v>
      </c>
      <c r="F26" s="445"/>
      <c r="G26" s="445"/>
      <c r="H26" s="448" t="s">
        <v>55</v>
      </c>
      <c r="I26" s="451">
        <f>SUMIF('Wege im Detail'!$A:$A,"02240",'Wege im Detail'!$P:$P)</f>
        <v>10.298</v>
      </c>
      <c r="J26" s="508" t="s">
        <v>130</v>
      </c>
      <c r="L26" s="379">
        <v>54</v>
      </c>
      <c r="M26" s="380">
        <v>80</v>
      </c>
      <c r="N26" s="381">
        <v>20</v>
      </c>
      <c r="O26" s="382">
        <v>0</v>
      </c>
      <c r="P26" s="383"/>
      <c r="R26" s="262">
        <v>0</v>
      </c>
      <c r="S26" s="111">
        <v>0.06</v>
      </c>
      <c r="T26" s="263">
        <v>1.52</v>
      </c>
      <c r="U26" s="111">
        <v>3.17</v>
      </c>
      <c r="V26" s="263">
        <v>3.35</v>
      </c>
      <c r="W26" s="111">
        <v>2.3199999999999998</v>
      </c>
      <c r="X26" s="263">
        <v>0.22600000000000001</v>
      </c>
      <c r="Y26" s="268">
        <f t="shared" si="4"/>
        <v>10.646000000000001</v>
      </c>
      <c r="Z26" s="265">
        <v>0.99199999999999999</v>
      </c>
      <c r="AA26" s="266">
        <v>0.99199999999999999</v>
      </c>
      <c r="AB26" s="267">
        <v>2.87</v>
      </c>
      <c r="AC26" s="266">
        <v>2.69</v>
      </c>
      <c r="AD26" s="292">
        <v>0.35899999999999999</v>
      </c>
      <c r="AE26" s="267">
        <v>0.65600000000000003</v>
      </c>
      <c r="AF26" s="287">
        <v>3.12</v>
      </c>
      <c r="AG26" s="302">
        <v>0</v>
      </c>
      <c r="AH26" s="355">
        <v>0</v>
      </c>
      <c r="AI26" s="301">
        <f t="shared" si="3"/>
        <v>0.34800000000000075</v>
      </c>
      <c r="AK26" s="435" t="s">
        <v>50</v>
      </c>
    </row>
    <row r="27" spans="1:248" ht="45" customHeight="1" thickBot="1" x14ac:dyDescent="0.25">
      <c r="A27" s="444">
        <v>2248</v>
      </c>
      <c r="B27" s="445" t="s">
        <v>84</v>
      </c>
      <c r="C27" s="455" t="s">
        <v>85</v>
      </c>
      <c r="D27" s="445"/>
      <c r="E27" s="445" t="s">
        <v>132</v>
      </c>
      <c r="F27" s="445" t="s">
        <v>133</v>
      </c>
      <c r="G27" s="445"/>
      <c r="H27" s="448" t="s">
        <v>55</v>
      </c>
      <c r="I27" s="451">
        <f>SUMIF('Wege im Detail'!$A:$A,"02248",'Wege im Detail'!$P:$P)</f>
        <v>5.3920000000000003</v>
      </c>
      <c r="J27" s="508" t="s">
        <v>135</v>
      </c>
      <c r="L27" s="260">
        <v>21</v>
      </c>
      <c r="M27" s="205">
        <v>97</v>
      </c>
      <c r="N27" s="206">
        <v>3</v>
      </c>
      <c r="O27" s="385">
        <v>0</v>
      </c>
      <c r="R27" s="262">
        <v>0</v>
      </c>
      <c r="S27" s="111">
        <v>0</v>
      </c>
      <c r="T27" s="263">
        <v>2.64</v>
      </c>
      <c r="U27" s="111">
        <v>1.34</v>
      </c>
      <c r="V27" s="263">
        <v>1.03</v>
      </c>
      <c r="W27" s="111">
        <v>0</v>
      </c>
      <c r="X27" s="263">
        <v>0.38100000000000001</v>
      </c>
      <c r="Y27" s="268">
        <f t="shared" si="4"/>
        <v>5.3910000000000009</v>
      </c>
      <c r="Z27" s="269"/>
      <c r="AA27" s="266">
        <v>0.314</v>
      </c>
      <c r="AB27" s="267">
        <v>0</v>
      </c>
      <c r="AC27" s="266">
        <v>2.59</v>
      </c>
      <c r="AD27" s="292">
        <v>1.08</v>
      </c>
      <c r="AE27" s="267">
        <v>0.73799999999999999</v>
      </c>
      <c r="AF27" s="287">
        <v>0.66900000000000004</v>
      </c>
      <c r="AG27" s="302">
        <v>0</v>
      </c>
      <c r="AH27" s="355">
        <v>0</v>
      </c>
      <c r="AI27" s="301">
        <f t="shared" si="3"/>
        <v>-9.9999999999944578E-4</v>
      </c>
      <c r="AJ27" s="187"/>
      <c r="AK27" s="437" t="s">
        <v>50</v>
      </c>
      <c r="AL27" s="427"/>
      <c r="AM27" s="428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</row>
    <row r="28" spans="1:248" ht="45" customHeight="1" thickBot="1" x14ac:dyDescent="0.25">
      <c r="A28" s="444">
        <v>2249</v>
      </c>
      <c r="B28" s="445" t="s">
        <v>84</v>
      </c>
      <c r="C28" s="455" t="s">
        <v>85</v>
      </c>
      <c r="D28" s="445"/>
      <c r="E28" s="445" t="s">
        <v>137</v>
      </c>
      <c r="F28" s="445" t="s">
        <v>138</v>
      </c>
      <c r="G28" s="445"/>
      <c r="H28" s="448" t="s">
        <v>55</v>
      </c>
      <c r="I28" s="451">
        <f>SUMIF('Wege im Detail'!$A:$A,"02249",'Wege im Detail'!$P:$P)</f>
        <v>5.95</v>
      </c>
      <c r="J28" s="508" t="s">
        <v>139</v>
      </c>
      <c r="L28" s="256">
        <v>25</v>
      </c>
      <c r="M28" s="195">
        <v>97</v>
      </c>
      <c r="N28" s="196">
        <v>3</v>
      </c>
      <c r="O28" s="212">
        <v>0</v>
      </c>
      <c r="P28" s="384"/>
      <c r="R28" s="262">
        <v>0</v>
      </c>
      <c r="S28" s="111">
        <v>0.126</v>
      </c>
      <c r="T28" s="263">
        <v>2.42</v>
      </c>
      <c r="U28" s="111">
        <v>0.77900000000000003</v>
      </c>
      <c r="V28" s="263">
        <v>1.87</v>
      </c>
      <c r="W28" s="111">
        <v>0</v>
      </c>
      <c r="X28" s="263">
        <v>0.76200000000000001</v>
      </c>
      <c r="Y28" s="268">
        <v>1.03</v>
      </c>
      <c r="Z28" s="265"/>
      <c r="AA28" s="266">
        <v>0.126</v>
      </c>
      <c r="AB28" s="267">
        <v>0</v>
      </c>
      <c r="AC28" s="266">
        <v>2.91</v>
      </c>
      <c r="AD28" s="292">
        <v>0.28499999999999998</v>
      </c>
      <c r="AE28" s="267">
        <v>1.56</v>
      </c>
      <c r="AF28" s="287">
        <v>1.07</v>
      </c>
      <c r="AG28" s="302">
        <v>0</v>
      </c>
      <c r="AH28" s="355">
        <v>0</v>
      </c>
      <c r="AI28" s="301">
        <f t="shared" si="3"/>
        <v>-4.92</v>
      </c>
      <c r="AK28" s="437" t="s">
        <v>50</v>
      </c>
    </row>
    <row r="29" spans="1:248" ht="45" customHeight="1" thickBot="1" x14ac:dyDescent="0.25">
      <c r="A29" s="184">
        <v>2289</v>
      </c>
      <c r="B29" s="445" t="s">
        <v>84</v>
      </c>
      <c r="C29" s="455" t="s">
        <v>85</v>
      </c>
      <c r="D29" s="445"/>
      <c r="E29" s="445" t="s">
        <v>141</v>
      </c>
      <c r="F29" s="445" t="s">
        <v>142</v>
      </c>
      <c r="G29" s="445"/>
      <c r="H29" s="448" t="s">
        <v>55</v>
      </c>
      <c r="I29" s="451">
        <f>SUMIF('Wege im Detail'!$A:$A,"2289",'Wege im Detail'!$P:$P)</f>
        <v>6.09</v>
      </c>
      <c r="J29" s="508" t="s">
        <v>144</v>
      </c>
      <c r="L29" s="256">
        <v>0</v>
      </c>
      <c r="M29" s="195">
        <v>100</v>
      </c>
      <c r="N29" s="196">
        <v>0</v>
      </c>
      <c r="O29" s="212">
        <v>0</v>
      </c>
      <c r="P29" s="350">
        <v>0</v>
      </c>
      <c r="R29" s="262">
        <v>0</v>
      </c>
      <c r="S29" s="111">
        <v>0.55100000000000005</v>
      </c>
      <c r="T29" s="263">
        <v>5.0999999999999996</v>
      </c>
      <c r="U29" s="111">
        <v>0.42599999999999999</v>
      </c>
      <c r="V29" s="263">
        <v>0</v>
      </c>
      <c r="W29" s="111">
        <v>0</v>
      </c>
      <c r="X29" s="263">
        <v>0</v>
      </c>
      <c r="Y29" s="268">
        <f t="shared" ref="Y29:Y92" si="5">SUM(R29:X29)</f>
        <v>6.077</v>
      </c>
      <c r="Z29" s="265"/>
      <c r="AA29" s="266">
        <v>0</v>
      </c>
      <c r="AB29" s="267">
        <v>0.92600000000000005</v>
      </c>
      <c r="AC29" s="266">
        <v>4.8499999999999996</v>
      </c>
      <c r="AD29" s="292">
        <v>0.308</v>
      </c>
      <c r="AE29" s="267">
        <v>0</v>
      </c>
      <c r="AF29" s="287">
        <v>0</v>
      </c>
      <c r="AG29" s="302">
        <v>0</v>
      </c>
      <c r="AH29" s="355">
        <v>0</v>
      </c>
      <c r="AI29" s="301">
        <f t="shared" si="3"/>
        <v>-1.2999999999999901E-2</v>
      </c>
      <c r="AK29" s="437" t="s">
        <v>50</v>
      </c>
    </row>
    <row r="30" spans="1:248" ht="45" customHeight="1" thickBot="1" x14ac:dyDescent="0.25">
      <c r="A30" s="444">
        <v>2290</v>
      </c>
      <c r="B30" s="445" t="s">
        <v>84</v>
      </c>
      <c r="C30" s="455" t="s">
        <v>85</v>
      </c>
      <c r="D30" s="445"/>
      <c r="E30" s="445" t="s">
        <v>146</v>
      </c>
      <c r="F30" s="445" t="s">
        <v>147</v>
      </c>
      <c r="G30" s="445"/>
      <c r="H30" s="448" t="s">
        <v>55</v>
      </c>
      <c r="I30" s="451">
        <f>SUMIF('Wege im Detail'!$A:$A,"02290",'Wege im Detail'!$P:$P)</f>
        <v>4.1859999999999999</v>
      </c>
      <c r="J30" s="508" t="s">
        <v>148</v>
      </c>
      <c r="L30" s="256">
        <v>0</v>
      </c>
      <c r="M30" s="195">
        <v>100</v>
      </c>
      <c r="N30" s="196">
        <v>0</v>
      </c>
      <c r="O30" s="212">
        <v>0</v>
      </c>
      <c r="P30" s="350">
        <v>0</v>
      </c>
      <c r="R30" s="262">
        <v>0</v>
      </c>
      <c r="S30" s="111">
        <v>0.55200000000000005</v>
      </c>
      <c r="T30" s="263">
        <v>3.43</v>
      </c>
      <c r="U30" s="111">
        <v>0.19700000000000001</v>
      </c>
      <c r="V30" s="263">
        <v>0</v>
      </c>
      <c r="W30" s="111">
        <v>0</v>
      </c>
      <c r="X30" s="263">
        <v>0</v>
      </c>
      <c r="Y30" s="268">
        <f t="shared" si="5"/>
        <v>4.1790000000000003</v>
      </c>
      <c r="Z30" s="265">
        <v>0</v>
      </c>
      <c r="AA30" s="266">
        <v>0</v>
      </c>
      <c r="AB30" s="267">
        <v>0.92600000000000005</v>
      </c>
      <c r="AC30" s="266">
        <v>3.01</v>
      </c>
      <c r="AD30" s="292">
        <v>0.24</v>
      </c>
      <c r="AE30" s="267">
        <v>0</v>
      </c>
      <c r="AF30" s="287">
        <v>0</v>
      </c>
      <c r="AG30" s="302">
        <v>0</v>
      </c>
      <c r="AH30" s="355">
        <v>0</v>
      </c>
      <c r="AI30" s="301">
        <f t="shared" si="3"/>
        <v>-6.9999999999996732E-3</v>
      </c>
      <c r="AK30" s="435" t="s">
        <v>50</v>
      </c>
    </row>
    <row r="31" spans="1:248" ht="45" customHeight="1" thickBot="1" x14ac:dyDescent="0.25">
      <c r="A31" s="444">
        <v>2291</v>
      </c>
      <c r="B31" s="445" t="s">
        <v>84</v>
      </c>
      <c r="C31" s="455" t="s">
        <v>85</v>
      </c>
      <c r="D31" s="445"/>
      <c r="E31" s="445" t="s">
        <v>150</v>
      </c>
      <c r="F31" s="445" t="s">
        <v>133</v>
      </c>
      <c r="G31" s="445"/>
      <c r="H31" s="448" t="s">
        <v>55</v>
      </c>
      <c r="I31" s="451">
        <f>SUMIF('Wege im Detail'!$A:$A,"02291",'Wege im Detail'!$P:$P)</f>
        <v>2.2959999999999998</v>
      </c>
      <c r="J31" s="508" t="s">
        <v>151</v>
      </c>
      <c r="L31" s="256">
        <v>0</v>
      </c>
      <c r="M31" s="195">
        <v>100</v>
      </c>
      <c r="N31" s="196">
        <v>0</v>
      </c>
      <c r="O31" s="212">
        <v>0</v>
      </c>
      <c r="P31" s="350">
        <v>0</v>
      </c>
      <c r="R31" s="262">
        <v>0</v>
      </c>
      <c r="S31" s="111">
        <v>0.215</v>
      </c>
      <c r="T31" s="263">
        <v>2.2000000000000002</v>
      </c>
      <c r="U31" s="111">
        <v>0</v>
      </c>
      <c r="V31" s="263">
        <v>0</v>
      </c>
      <c r="W31" s="111">
        <v>0</v>
      </c>
      <c r="X31" s="263">
        <v>0</v>
      </c>
      <c r="Y31" s="268">
        <f t="shared" si="5"/>
        <v>2.415</v>
      </c>
      <c r="Z31" s="265"/>
      <c r="AA31" s="266">
        <v>0.47799999999999998</v>
      </c>
      <c r="AB31" s="267">
        <v>1.1100000000000001</v>
      </c>
      <c r="AC31" s="266">
        <v>0.82299999999999995</v>
      </c>
      <c r="AD31" s="292">
        <v>0</v>
      </c>
      <c r="AE31" s="267">
        <v>0</v>
      </c>
      <c r="AF31" s="287">
        <v>0</v>
      </c>
      <c r="AG31" s="302">
        <v>0</v>
      </c>
      <c r="AH31" s="355">
        <v>0</v>
      </c>
      <c r="AI31" s="301">
        <f t="shared" si="3"/>
        <v>0.11900000000000022</v>
      </c>
      <c r="AK31" s="437" t="s">
        <v>50</v>
      </c>
    </row>
    <row r="32" spans="1:248" ht="45" customHeight="1" thickBot="1" x14ac:dyDescent="0.25">
      <c r="A32" s="438">
        <v>2292</v>
      </c>
      <c r="B32" s="445" t="s">
        <v>84</v>
      </c>
      <c r="C32" s="455" t="s">
        <v>85</v>
      </c>
      <c r="D32" s="445"/>
      <c r="E32" s="445" t="s">
        <v>152</v>
      </c>
      <c r="F32" s="445" t="s">
        <v>153</v>
      </c>
      <c r="G32" s="445"/>
      <c r="H32" s="501" t="s">
        <v>55</v>
      </c>
      <c r="I32" s="451">
        <f>SUMIF('Wege im Detail'!$A:$A,"2292",'Wege im Detail'!$P:$P)</f>
        <v>3.2890000000000001</v>
      </c>
      <c r="J32" s="512" t="s">
        <v>155</v>
      </c>
      <c r="L32" s="256">
        <v>5</v>
      </c>
      <c r="M32" s="195">
        <v>98</v>
      </c>
      <c r="N32" s="196">
        <v>0</v>
      </c>
      <c r="O32" s="212">
        <v>2</v>
      </c>
      <c r="P32" s="350">
        <v>0</v>
      </c>
      <c r="R32" s="262">
        <v>0</v>
      </c>
      <c r="S32" s="111">
        <v>0.61099999999999999</v>
      </c>
      <c r="T32" s="263">
        <v>2.73</v>
      </c>
      <c r="U32" s="111">
        <v>0</v>
      </c>
      <c r="V32" s="263">
        <v>0</v>
      </c>
      <c r="W32" s="111">
        <v>0</v>
      </c>
      <c r="X32" s="263">
        <v>0.11600000000000001</v>
      </c>
      <c r="Y32" s="268">
        <f t="shared" si="5"/>
        <v>3.4570000000000003</v>
      </c>
      <c r="Z32" s="265"/>
      <c r="AA32" s="266">
        <v>0.159</v>
      </c>
      <c r="AB32" s="267">
        <v>1.84</v>
      </c>
      <c r="AC32" s="266">
        <v>1.31</v>
      </c>
      <c r="AD32" s="292">
        <v>0.14299999999999999</v>
      </c>
      <c r="AE32" s="267">
        <v>0</v>
      </c>
      <c r="AF32" s="287">
        <v>0</v>
      </c>
      <c r="AG32" s="302">
        <v>0</v>
      </c>
      <c r="AH32" s="355">
        <v>0</v>
      </c>
      <c r="AI32" s="301">
        <f t="shared" si="3"/>
        <v>0.16800000000000015</v>
      </c>
      <c r="AK32" s="437" t="s">
        <v>50</v>
      </c>
    </row>
    <row r="33" spans="1:248" ht="45" customHeight="1" thickBot="1" x14ac:dyDescent="0.25">
      <c r="A33" s="444">
        <v>2293</v>
      </c>
      <c r="B33" s="499" t="s">
        <v>84</v>
      </c>
      <c r="C33" s="499" t="s">
        <v>85</v>
      </c>
      <c r="D33" s="513"/>
      <c r="E33" s="445" t="s">
        <v>152</v>
      </c>
      <c r="F33" s="445" t="s">
        <v>156</v>
      </c>
      <c r="G33" s="445"/>
      <c r="H33" s="501" t="s">
        <v>55</v>
      </c>
      <c r="I33" s="451">
        <f>SUMIF('Wege im Detail'!$A:$A,"2293",'Wege im Detail'!$P:$P)</f>
        <v>13.188000000000001</v>
      </c>
      <c r="J33" s="512" t="s">
        <v>154</v>
      </c>
      <c r="L33" s="256">
        <v>36</v>
      </c>
      <c r="M33" s="195">
        <v>93</v>
      </c>
      <c r="N33" s="196">
        <v>5</v>
      </c>
      <c r="O33" s="212">
        <v>2</v>
      </c>
      <c r="P33" s="350">
        <v>0</v>
      </c>
      <c r="R33" s="262">
        <v>0</v>
      </c>
      <c r="S33" s="111">
        <v>0.24</v>
      </c>
      <c r="T33" s="263">
        <v>3.61</v>
      </c>
      <c r="U33" s="111">
        <v>1.96</v>
      </c>
      <c r="V33" s="263">
        <v>3.05</v>
      </c>
      <c r="W33" s="111">
        <v>0.76</v>
      </c>
      <c r="X33" s="263">
        <v>0.77200000000000002</v>
      </c>
      <c r="Y33" s="268">
        <f t="shared" si="5"/>
        <v>10.391999999999999</v>
      </c>
      <c r="Z33" s="265"/>
      <c r="AA33" s="266">
        <v>0</v>
      </c>
      <c r="AB33" s="267">
        <v>0.254</v>
      </c>
      <c r="AC33" s="266">
        <v>7.59</v>
      </c>
      <c r="AD33" s="292">
        <v>0</v>
      </c>
      <c r="AE33" s="267">
        <v>1.25</v>
      </c>
      <c r="AF33" s="287">
        <v>1.29</v>
      </c>
      <c r="AG33" s="302">
        <v>0</v>
      </c>
      <c r="AH33" s="355">
        <v>0</v>
      </c>
      <c r="AI33" s="301">
        <f t="shared" si="3"/>
        <v>-2.7960000000000012</v>
      </c>
      <c r="AJ33" s="401" t="s">
        <v>157</v>
      </c>
      <c r="AK33" s="437" t="s">
        <v>158</v>
      </c>
    </row>
    <row r="34" spans="1:248" ht="45" customHeight="1" thickBot="1" x14ac:dyDescent="0.25">
      <c r="A34" s="444">
        <v>2457</v>
      </c>
      <c r="B34" s="445" t="s">
        <v>51</v>
      </c>
      <c r="C34" s="445" t="s">
        <v>91</v>
      </c>
      <c r="D34" s="445"/>
      <c r="E34" s="445">
        <v>35</v>
      </c>
      <c r="F34" s="445"/>
      <c r="G34" s="445"/>
      <c r="H34" s="448" t="s">
        <v>55</v>
      </c>
      <c r="I34" s="451">
        <f>SUMIF('Wege im Detail'!$A:$A,"02457",'Wege im Detail'!$P:$P)</f>
        <v>13.592000000000001</v>
      </c>
      <c r="J34" s="508" t="s">
        <v>160</v>
      </c>
      <c r="L34" s="256">
        <v>8</v>
      </c>
      <c r="M34" s="195">
        <v>95</v>
      </c>
      <c r="N34" s="196">
        <v>4</v>
      </c>
      <c r="O34" s="212">
        <v>0</v>
      </c>
      <c r="P34" s="350">
        <v>0</v>
      </c>
      <c r="R34" s="262">
        <v>0</v>
      </c>
      <c r="S34" s="111">
        <v>4.51</v>
      </c>
      <c r="T34" s="263">
        <v>7.77</v>
      </c>
      <c r="U34" s="111">
        <v>0</v>
      </c>
      <c r="V34" s="263">
        <v>0.66400000000000003</v>
      </c>
      <c r="W34" s="111">
        <v>0.54600000000000004</v>
      </c>
      <c r="X34" s="263">
        <v>0.1</v>
      </c>
      <c r="Y34" s="268">
        <f t="shared" si="5"/>
        <v>13.589999999999998</v>
      </c>
      <c r="Z34" s="265"/>
      <c r="AA34" s="266">
        <v>4</v>
      </c>
      <c r="AB34" s="267">
        <v>6.01</v>
      </c>
      <c r="AC34" s="266">
        <v>0.151</v>
      </c>
      <c r="AD34" s="292">
        <v>1.81</v>
      </c>
      <c r="AE34" s="267">
        <v>0.58199999999999996</v>
      </c>
      <c r="AF34" s="287">
        <v>0.94</v>
      </c>
      <c r="AG34" s="302">
        <v>0</v>
      </c>
      <c r="AH34" s="355">
        <v>0</v>
      </c>
      <c r="AI34" s="301">
        <f t="shared" si="3"/>
        <v>-2.0000000000024443E-3</v>
      </c>
      <c r="AK34" s="435" t="s">
        <v>50</v>
      </c>
    </row>
    <row r="35" spans="1:248" ht="45" customHeight="1" thickBot="1" x14ac:dyDescent="0.25">
      <c r="A35" s="444">
        <v>2458</v>
      </c>
      <c r="B35" s="445" t="s">
        <v>84</v>
      </c>
      <c r="C35" s="455" t="s">
        <v>85</v>
      </c>
      <c r="D35" s="445"/>
      <c r="E35" s="445" t="s">
        <v>162</v>
      </c>
      <c r="F35" s="445" t="s">
        <v>163</v>
      </c>
      <c r="G35" s="445"/>
      <c r="H35" s="448" t="s">
        <v>55</v>
      </c>
      <c r="I35" s="451">
        <f>SUMIF('Wege im Detail'!$A:$A,"02458",'Wege im Detail'!$P:$P)</f>
        <v>7.4169999999999998</v>
      </c>
      <c r="J35" s="508" t="s">
        <v>165</v>
      </c>
      <c r="L35" s="256">
        <v>67</v>
      </c>
      <c r="M35" s="195">
        <v>83</v>
      </c>
      <c r="N35" s="196">
        <v>14</v>
      </c>
      <c r="O35" s="212">
        <v>3</v>
      </c>
      <c r="P35" s="350">
        <v>0</v>
      </c>
      <c r="R35" s="262">
        <v>0</v>
      </c>
      <c r="S35" s="111">
        <v>1.19</v>
      </c>
      <c r="T35" s="263">
        <v>0.48499999999999999</v>
      </c>
      <c r="U35" s="111">
        <v>0.63500000000000001</v>
      </c>
      <c r="V35" s="263">
        <v>4.3099999999999996</v>
      </c>
      <c r="W35" s="111">
        <v>0.60499999999999998</v>
      </c>
      <c r="X35" s="263">
        <v>0.2</v>
      </c>
      <c r="Y35" s="268">
        <f t="shared" si="5"/>
        <v>7.4249999999999998</v>
      </c>
      <c r="Z35" s="265"/>
      <c r="AA35" s="266">
        <v>1.1000000000000001</v>
      </c>
      <c r="AB35" s="267">
        <v>0.71899999999999997</v>
      </c>
      <c r="AC35" s="266">
        <v>0.39100000000000001</v>
      </c>
      <c r="AD35" s="292">
        <v>0.42299999999999999</v>
      </c>
      <c r="AE35" s="267">
        <v>1.1499999999999999</v>
      </c>
      <c r="AF35" s="287">
        <v>3.65</v>
      </c>
      <c r="AG35" s="302">
        <v>0</v>
      </c>
      <c r="AH35" s="355">
        <v>0</v>
      </c>
      <c r="AI35" s="301">
        <f t="shared" si="3"/>
        <v>8.0000000000000071E-3</v>
      </c>
      <c r="AK35" s="435" t="s">
        <v>50</v>
      </c>
    </row>
    <row r="36" spans="1:248" ht="45" customHeight="1" thickBot="1" x14ac:dyDescent="0.25">
      <c r="A36" s="444">
        <v>2462</v>
      </c>
      <c r="B36" s="445" t="s">
        <v>84</v>
      </c>
      <c r="C36" s="455" t="s">
        <v>85</v>
      </c>
      <c r="D36" s="445"/>
      <c r="E36" s="445" t="s">
        <v>167</v>
      </c>
      <c r="F36" s="445" t="s">
        <v>168</v>
      </c>
      <c r="G36" s="445"/>
      <c r="H36" s="448" t="s">
        <v>55</v>
      </c>
      <c r="I36" s="451">
        <f>SUMIF('Wege im Detail'!$A:$A,"02462",'Wege im Detail'!$P:$P)</f>
        <v>4.1399999999999997</v>
      </c>
      <c r="J36" s="508" t="s">
        <v>169</v>
      </c>
      <c r="L36" s="256">
        <v>24</v>
      </c>
      <c r="M36" s="195">
        <v>90</v>
      </c>
      <c r="N36" s="196">
        <v>6</v>
      </c>
      <c r="O36" s="212">
        <v>4</v>
      </c>
      <c r="P36" s="350">
        <v>0</v>
      </c>
      <c r="R36" s="262">
        <v>0</v>
      </c>
      <c r="S36" s="111">
        <v>0</v>
      </c>
      <c r="T36" s="263">
        <v>3.12</v>
      </c>
      <c r="U36" s="111">
        <v>0.03</v>
      </c>
      <c r="V36" s="263">
        <v>0.61</v>
      </c>
      <c r="W36" s="111">
        <v>0.16300000000000001</v>
      </c>
      <c r="X36" s="263">
        <v>0.19800000000000001</v>
      </c>
      <c r="Y36" s="268">
        <f t="shared" si="5"/>
        <v>4.1209999999999996</v>
      </c>
      <c r="Z36" s="265"/>
      <c r="AA36" s="266">
        <v>2.4700000000000002</v>
      </c>
      <c r="AB36" s="267">
        <v>0</v>
      </c>
      <c r="AC36" s="266">
        <v>0.56499999999999995</v>
      </c>
      <c r="AD36" s="292">
        <v>0.14399999999999999</v>
      </c>
      <c r="AE36" s="267">
        <v>0.24199999999999999</v>
      </c>
      <c r="AF36" s="287">
        <v>0.69899999999999995</v>
      </c>
      <c r="AG36" s="302">
        <v>0</v>
      </c>
      <c r="AH36" s="355">
        <v>0</v>
      </c>
      <c r="AI36" s="301">
        <f t="shared" si="3"/>
        <v>-1.9000000000000128E-2</v>
      </c>
      <c r="AK36" s="435" t="s">
        <v>50</v>
      </c>
    </row>
    <row r="37" spans="1:248" ht="45" customHeight="1" thickBot="1" x14ac:dyDescent="0.25">
      <c r="A37" s="444">
        <v>2464</v>
      </c>
      <c r="B37" s="445" t="s">
        <v>84</v>
      </c>
      <c r="C37" s="455" t="s">
        <v>85</v>
      </c>
      <c r="D37" s="445"/>
      <c r="E37" s="445" t="s">
        <v>171</v>
      </c>
      <c r="F37" s="445" t="s">
        <v>172</v>
      </c>
      <c r="G37" s="445"/>
      <c r="H37" s="448" t="s">
        <v>55</v>
      </c>
      <c r="I37" s="451">
        <f>SUMIF('Wege im Detail'!$A:$A,"02464",'Wege im Detail'!$P:$P)</f>
        <v>5.641</v>
      </c>
      <c r="J37" s="508" t="s">
        <v>173</v>
      </c>
      <c r="L37" s="256">
        <v>54</v>
      </c>
      <c r="M37" s="195">
        <v>51</v>
      </c>
      <c r="N37" s="196">
        <v>46</v>
      </c>
      <c r="O37" s="212">
        <v>3</v>
      </c>
      <c r="P37" s="350">
        <v>0</v>
      </c>
      <c r="R37" s="262">
        <v>0</v>
      </c>
      <c r="S37" s="111">
        <v>0.74</v>
      </c>
      <c r="T37" s="263">
        <v>1.85</v>
      </c>
      <c r="U37" s="111">
        <v>0</v>
      </c>
      <c r="V37" s="263">
        <v>2.69</v>
      </c>
      <c r="W37" s="111">
        <v>0.4</v>
      </c>
      <c r="X37" s="263">
        <v>0.21</v>
      </c>
      <c r="Y37" s="268">
        <f t="shared" si="5"/>
        <v>5.89</v>
      </c>
      <c r="Z37" s="265"/>
      <c r="AA37" s="266">
        <v>1.68</v>
      </c>
      <c r="AB37" s="267">
        <v>0</v>
      </c>
      <c r="AC37" s="266">
        <v>0.21</v>
      </c>
      <c r="AD37" s="292">
        <v>0.69</v>
      </c>
      <c r="AE37" s="267">
        <v>2</v>
      </c>
      <c r="AF37" s="287">
        <v>2.78</v>
      </c>
      <c r="AG37" s="302">
        <v>0</v>
      </c>
      <c r="AH37" s="355">
        <v>0</v>
      </c>
      <c r="AI37" s="301">
        <f t="shared" si="3"/>
        <v>0.24899999999999967</v>
      </c>
      <c r="AK37" s="435" t="s">
        <v>50</v>
      </c>
    </row>
    <row r="38" spans="1:248" ht="45" customHeight="1" thickBot="1" x14ac:dyDescent="0.25">
      <c r="A38" s="444">
        <v>2466</v>
      </c>
      <c r="B38" s="445" t="s">
        <v>84</v>
      </c>
      <c r="C38" s="455" t="s">
        <v>85</v>
      </c>
      <c r="D38" s="445"/>
      <c r="E38" s="445" t="s">
        <v>174</v>
      </c>
      <c r="F38" s="445" t="s">
        <v>133</v>
      </c>
      <c r="G38" s="445"/>
      <c r="H38" s="448" t="s">
        <v>55</v>
      </c>
      <c r="I38" s="451">
        <f>SUMIF('Wege im Detail'!$A:$A,"02466",'Wege im Detail'!$P:$P)</f>
        <v>10.887</v>
      </c>
      <c r="J38" s="508" t="s">
        <v>175</v>
      </c>
      <c r="L38" s="256">
        <v>20</v>
      </c>
      <c r="M38" s="195">
        <v>89</v>
      </c>
      <c r="N38" s="196">
        <v>11</v>
      </c>
      <c r="O38" s="212">
        <v>0</v>
      </c>
      <c r="P38" s="350">
        <v>0</v>
      </c>
      <c r="R38" s="262">
        <v>0</v>
      </c>
      <c r="S38" s="111">
        <v>0.96</v>
      </c>
      <c r="T38" s="263">
        <v>7.85</v>
      </c>
      <c r="U38" s="111">
        <v>0.24</v>
      </c>
      <c r="V38" s="263">
        <v>1.1499999999999999</v>
      </c>
      <c r="W38" s="111">
        <v>0.53</v>
      </c>
      <c r="X38" s="263">
        <v>0.11</v>
      </c>
      <c r="Y38" s="268">
        <f t="shared" si="5"/>
        <v>10.839999999999998</v>
      </c>
      <c r="Z38" s="265"/>
      <c r="AA38" s="266">
        <v>3.38</v>
      </c>
      <c r="AB38" s="267">
        <v>3.14</v>
      </c>
      <c r="AC38" s="266">
        <v>1.67</v>
      </c>
      <c r="AD38" s="292">
        <v>0.86</v>
      </c>
      <c r="AE38" s="267">
        <v>0.6</v>
      </c>
      <c r="AF38" s="287">
        <v>1.2</v>
      </c>
      <c r="AG38" s="302">
        <v>0</v>
      </c>
      <c r="AH38" s="355">
        <v>0</v>
      </c>
      <c r="AI38" s="301">
        <f t="shared" si="3"/>
        <v>-4.7000000000002373E-2</v>
      </c>
      <c r="AK38" s="435" t="s">
        <v>50</v>
      </c>
    </row>
    <row r="39" spans="1:248" ht="45" customHeight="1" thickBot="1" x14ac:dyDescent="0.25">
      <c r="A39" s="444">
        <v>2470</v>
      </c>
      <c r="B39" s="445" t="s">
        <v>51</v>
      </c>
      <c r="C39" s="445" t="s">
        <v>91</v>
      </c>
      <c r="D39" s="445"/>
      <c r="E39" s="445">
        <v>22</v>
      </c>
      <c r="F39" s="445"/>
      <c r="G39" s="445"/>
      <c r="H39" s="448" t="s">
        <v>55</v>
      </c>
      <c r="I39" s="451">
        <f>SUMIF('Wege im Detail'!$A:$A,"02470",'Wege im Detail'!$P:$P)</f>
        <v>12.335999999999999</v>
      </c>
      <c r="J39" s="508" t="s">
        <v>177</v>
      </c>
      <c r="L39" s="256">
        <v>54</v>
      </c>
      <c r="M39" s="195">
        <v>81</v>
      </c>
      <c r="N39" s="196">
        <v>10</v>
      </c>
      <c r="O39" s="212">
        <v>0</v>
      </c>
      <c r="P39" s="350">
        <v>0</v>
      </c>
      <c r="R39" s="262">
        <v>0</v>
      </c>
      <c r="S39" s="111">
        <v>0</v>
      </c>
      <c r="T39" s="263">
        <v>5.69</v>
      </c>
      <c r="U39" s="111">
        <v>0</v>
      </c>
      <c r="V39" s="263">
        <v>5.19</v>
      </c>
      <c r="W39" s="111">
        <v>1.01</v>
      </c>
      <c r="X39" s="263">
        <v>0.41199999999999998</v>
      </c>
      <c r="Y39" s="268">
        <f t="shared" si="5"/>
        <v>12.302000000000001</v>
      </c>
      <c r="Z39" s="269">
        <v>2.86</v>
      </c>
      <c r="AA39" s="266">
        <v>2.86</v>
      </c>
      <c r="AB39" s="267">
        <v>0.623</v>
      </c>
      <c r="AC39" s="266">
        <v>2.4</v>
      </c>
      <c r="AD39" s="292">
        <v>0</v>
      </c>
      <c r="AE39" s="267">
        <v>1.55</v>
      </c>
      <c r="AF39" s="287">
        <v>4.8099999999999996</v>
      </c>
      <c r="AG39" s="302">
        <v>0.55549999999999999</v>
      </c>
      <c r="AH39" s="355">
        <v>0.55549999999999999</v>
      </c>
      <c r="AI39" s="301">
        <f t="shared" si="3"/>
        <v>-3.3999999999997144E-2</v>
      </c>
      <c r="AJ39" s="187"/>
      <c r="AK39" s="435" t="s">
        <v>50</v>
      </c>
      <c r="AL39" s="427"/>
      <c r="AM39" s="428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</row>
    <row r="40" spans="1:248" ht="45" customHeight="1" thickBot="1" x14ac:dyDescent="0.25">
      <c r="A40" s="444">
        <v>2483</v>
      </c>
      <c r="B40" s="445" t="s">
        <v>51</v>
      </c>
      <c r="C40" s="445" t="s">
        <v>91</v>
      </c>
      <c r="D40" s="445"/>
      <c r="E40" s="445">
        <v>67</v>
      </c>
      <c r="F40" s="445"/>
      <c r="G40" s="445"/>
      <c r="H40" s="448" t="s">
        <v>55</v>
      </c>
      <c r="I40" s="451">
        <f>SUMIF('Wege im Detail'!$A:$A,"02483",'Wege im Detail'!$P:$P)</f>
        <v>11.021000000000001</v>
      </c>
      <c r="J40" s="508" t="s">
        <v>179</v>
      </c>
      <c r="L40" s="256">
        <v>11</v>
      </c>
      <c r="M40" s="195">
        <v>96</v>
      </c>
      <c r="N40" s="196">
        <v>1</v>
      </c>
      <c r="O40" s="212">
        <v>3</v>
      </c>
      <c r="P40" s="350">
        <v>0</v>
      </c>
      <c r="R40" s="262">
        <v>0</v>
      </c>
      <c r="S40" s="111">
        <v>0</v>
      </c>
      <c r="T40" s="263">
        <v>9.2200000000000006</v>
      </c>
      <c r="U40" s="111">
        <v>0.95699999999999996</v>
      </c>
      <c r="V40" s="263">
        <v>0.64500000000000002</v>
      </c>
      <c r="W40" s="111">
        <v>0.48699999999999999</v>
      </c>
      <c r="X40" s="263">
        <v>0.129</v>
      </c>
      <c r="Y40" s="268">
        <f t="shared" si="5"/>
        <v>11.438000000000001</v>
      </c>
      <c r="Z40" s="265"/>
      <c r="AA40" s="266">
        <v>3.61</v>
      </c>
      <c r="AB40" s="267">
        <v>2.3199999999999998</v>
      </c>
      <c r="AC40" s="266">
        <v>0.55549999999999999</v>
      </c>
      <c r="AD40" s="292">
        <v>4.22</v>
      </c>
      <c r="AE40" s="267">
        <v>0.13</v>
      </c>
      <c r="AF40" s="287">
        <v>1.1299999999999999</v>
      </c>
      <c r="AG40" s="302">
        <v>0</v>
      </c>
      <c r="AH40" s="355">
        <v>0</v>
      </c>
      <c r="AI40" s="301">
        <f t="shared" si="3"/>
        <v>0.41699999999999982</v>
      </c>
      <c r="AK40" s="435" t="s">
        <v>50</v>
      </c>
    </row>
    <row r="41" spans="1:248" ht="45" customHeight="1" thickBot="1" x14ac:dyDescent="0.25">
      <c r="A41" s="444">
        <v>2485</v>
      </c>
      <c r="B41" s="445" t="s">
        <v>51</v>
      </c>
      <c r="C41" s="445" t="s">
        <v>91</v>
      </c>
      <c r="D41" s="445"/>
      <c r="E41" s="445">
        <v>65</v>
      </c>
      <c r="F41" s="445"/>
      <c r="G41" s="445"/>
      <c r="H41" s="445" t="s">
        <v>55</v>
      </c>
      <c r="I41" s="451">
        <f>SUMIF('Wege im Detail'!$A:$A,"02485",'Wege im Detail'!$P:$P)</f>
        <v>19.035</v>
      </c>
      <c r="J41" s="508" t="s">
        <v>182</v>
      </c>
      <c r="L41" s="256">
        <v>31</v>
      </c>
      <c r="M41" s="195">
        <v>88</v>
      </c>
      <c r="N41" s="196">
        <v>11</v>
      </c>
      <c r="O41" s="212">
        <v>1</v>
      </c>
      <c r="P41" s="350">
        <v>0</v>
      </c>
      <c r="R41" s="262">
        <v>0</v>
      </c>
      <c r="S41" s="111">
        <v>1.18</v>
      </c>
      <c r="T41" s="263">
        <v>10.9</v>
      </c>
      <c r="U41" s="111">
        <v>0.3</v>
      </c>
      <c r="V41" s="263">
        <v>4.09</v>
      </c>
      <c r="W41" s="111">
        <v>2.33</v>
      </c>
      <c r="X41" s="263">
        <v>0.22800000000000001</v>
      </c>
      <c r="Y41" s="268">
        <f t="shared" si="5"/>
        <v>19.027999999999999</v>
      </c>
      <c r="Z41" s="269">
        <v>2.4</v>
      </c>
      <c r="AA41" s="266">
        <v>2.4</v>
      </c>
      <c r="AB41" s="267">
        <v>4.84</v>
      </c>
      <c r="AC41" s="266">
        <v>0.23799999999999999</v>
      </c>
      <c r="AD41" s="292">
        <v>6.98</v>
      </c>
      <c r="AE41" s="267">
        <v>2.09</v>
      </c>
      <c r="AF41" s="287">
        <v>2.27</v>
      </c>
      <c r="AG41" s="302">
        <v>0</v>
      </c>
      <c r="AH41" s="355">
        <v>0</v>
      </c>
      <c r="AI41" s="301">
        <f t="shared" si="3"/>
        <v>-7.0000000000014495E-3</v>
      </c>
      <c r="AJ41" s="187"/>
      <c r="AK41" s="435" t="s">
        <v>50</v>
      </c>
      <c r="AL41" s="427"/>
      <c r="AM41" s="428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</row>
    <row r="42" spans="1:248" ht="45" customHeight="1" thickBot="1" x14ac:dyDescent="0.25">
      <c r="A42" s="444">
        <v>2487</v>
      </c>
      <c r="B42" s="445" t="s">
        <v>51</v>
      </c>
      <c r="C42" s="445" t="s">
        <v>91</v>
      </c>
      <c r="D42" s="445"/>
      <c r="E42" s="445" t="s">
        <v>183</v>
      </c>
      <c r="F42" s="445"/>
      <c r="G42" s="445"/>
      <c r="H42" s="445" t="s">
        <v>55</v>
      </c>
      <c r="I42" s="451">
        <f>SUMIF('Wege im Detail'!$A:$A,"02487",'Wege im Detail'!$P:$P)</f>
        <v>2.1890000000000001</v>
      </c>
      <c r="J42" s="508" t="s">
        <v>184</v>
      </c>
      <c r="L42" s="256">
        <v>10</v>
      </c>
      <c r="M42" s="195">
        <v>100</v>
      </c>
      <c r="N42" s="196">
        <v>0</v>
      </c>
      <c r="O42" s="212">
        <v>0</v>
      </c>
      <c r="P42" s="350">
        <v>0</v>
      </c>
      <c r="R42" s="262">
        <v>0</v>
      </c>
      <c r="S42" s="111">
        <v>0.60399999999999998</v>
      </c>
      <c r="T42" s="263">
        <v>0.47399999999999998</v>
      </c>
      <c r="U42" s="111">
        <v>0.84899999999999998</v>
      </c>
      <c r="V42" s="263">
        <v>0</v>
      </c>
      <c r="W42" s="111">
        <v>0.21099999999999999</v>
      </c>
      <c r="X42" s="263">
        <v>0</v>
      </c>
      <c r="Y42" s="268">
        <f t="shared" si="5"/>
        <v>2.1379999999999999</v>
      </c>
      <c r="Z42" s="269"/>
      <c r="AA42" s="266">
        <v>0</v>
      </c>
      <c r="AB42" s="267">
        <v>0.67900000000000005</v>
      </c>
      <c r="AC42" s="266">
        <v>0.70299999999999996</v>
      </c>
      <c r="AD42" s="292">
        <v>0.54600000000000004</v>
      </c>
      <c r="AE42" s="267">
        <v>0.20499999999999999</v>
      </c>
      <c r="AF42" s="287">
        <v>0.55549999999999999</v>
      </c>
      <c r="AG42" s="302">
        <v>0</v>
      </c>
      <c r="AH42" s="355">
        <v>0</v>
      </c>
      <c r="AI42" s="301">
        <f t="shared" si="3"/>
        <v>-5.1000000000000156E-2</v>
      </c>
      <c r="AJ42" s="187"/>
      <c r="AK42" s="435" t="s">
        <v>50</v>
      </c>
      <c r="AL42" s="427"/>
      <c r="AM42" s="428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</row>
    <row r="43" spans="1:248" s="35" customFormat="1" ht="45" customHeight="1" thickBot="1" x14ac:dyDescent="0.25">
      <c r="A43" s="444">
        <v>2488</v>
      </c>
      <c r="B43" s="445" t="s">
        <v>51</v>
      </c>
      <c r="C43" s="445" t="s">
        <v>91</v>
      </c>
      <c r="D43" s="445"/>
      <c r="E43" s="445">
        <v>48</v>
      </c>
      <c r="F43" s="445"/>
      <c r="G43" s="445"/>
      <c r="H43" s="445" t="s">
        <v>55</v>
      </c>
      <c r="I43" s="451">
        <f>SUMIF('Wege im Detail'!$A:$A,"02488",'Wege im Detail'!$P:$P)</f>
        <v>14.673</v>
      </c>
      <c r="J43" s="508" t="s">
        <v>185</v>
      </c>
      <c r="K43" s="237"/>
      <c r="L43" s="256">
        <v>25</v>
      </c>
      <c r="M43" s="195">
        <v>100</v>
      </c>
      <c r="N43" s="196">
        <v>0</v>
      </c>
      <c r="O43" s="212">
        <v>0</v>
      </c>
      <c r="P43" s="350">
        <v>0</v>
      </c>
      <c r="Q43" s="226"/>
      <c r="R43" s="262">
        <v>0</v>
      </c>
      <c r="S43" s="111">
        <v>4.38</v>
      </c>
      <c r="T43" s="263">
        <v>6.4</v>
      </c>
      <c r="U43" s="111">
        <v>0.80900000000000005</v>
      </c>
      <c r="V43" s="263">
        <v>1.77</v>
      </c>
      <c r="W43" s="111">
        <v>1</v>
      </c>
      <c r="X43" s="263">
        <v>0.35</v>
      </c>
      <c r="Y43" s="268">
        <f t="shared" si="5"/>
        <v>14.709</v>
      </c>
      <c r="Z43" s="265"/>
      <c r="AA43" s="266">
        <v>0.47099999999999997</v>
      </c>
      <c r="AB43" s="267">
        <v>4.6500000000000004</v>
      </c>
      <c r="AC43" s="266">
        <v>3.63</v>
      </c>
      <c r="AD43" s="292">
        <v>4.18</v>
      </c>
      <c r="AE43" s="267">
        <v>1.02</v>
      </c>
      <c r="AF43" s="287">
        <v>0.76200000000000001</v>
      </c>
      <c r="AG43" s="302">
        <v>0</v>
      </c>
      <c r="AH43" s="355">
        <v>0</v>
      </c>
      <c r="AI43" s="301">
        <f t="shared" ref="AI43:AI67" si="6">Y43-I43</f>
        <v>3.5999999999999588E-2</v>
      </c>
      <c r="AJ43" s="401"/>
      <c r="AK43" s="435" t="s">
        <v>50</v>
      </c>
      <c r="AL43" s="425"/>
      <c r="AM43" s="426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</row>
    <row r="44" spans="1:248" s="35" customFormat="1" ht="45" customHeight="1" thickBot="1" x14ac:dyDescent="0.25">
      <c r="A44" s="444">
        <v>2489</v>
      </c>
      <c r="B44" s="445" t="s">
        <v>51</v>
      </c>
      <c r="C44" s="445" t="s">
        <v>91</v>
      </c>
      <c r="D44" s="445"/>
      <c r="E44" s="445">
        <v>66</v>
      </c>
      <c r="F44" s="445"/>
      <c r="G44" s="445"/>
      <c r="H44" s="448" t="s">
        <v>55</v>
      </c>
      <c r="I44" s="451">
        <f>SUMIF('Wege im Detail'!$A:$A,"02489",'Wege im Detail'!$P:$P)</f>
        <v>3.2330000000000001</v>
      </c>
      <c r="J44" s="508" t="s">
        <v>188</v>
      </c>
      <c r="K44" s="237"/>
      <c r="L44" s="256">
        <v>0</v>
      </c>
      <c r="M44" s="195">
        <v>100</v>
      </c>
      <c r="N44" s="196">
        <v>0</v>
      </c>
      <c r="O44" s="212">
        <v>0</v>
      </c>
      <c r="P44" s="350">
        <v>0</v>
      </c>
      <c r="Q44" s="226"/>
      <c r="R44" s="262">
        <v>0</v>
      </c>
      <c r="S44" s="111">
        <v>0.51600000000000001</v>
      </c>
      <c r="T44" s="263">
        <v>2.63</v>
      </c>
      <c r="U44" s="111">
        <v>0.05</v>
      </c>
      <c r="V44" s="263">
        <v>0</v>
      </c>
      <c r="W44" s="111">
        <v>0.05</v>
      </c>
      <c r="X44" s="263">
        <v>0</v>
      </c>
      <c r="Y44" s="268">
        <f t="shared" si="5"/>
        <v>3.2459999999999996</v>
      </c>
      <c r="Z44" s="265"/>
      <c r="AA44" s="266">
        <v>0.55549999999999999</v>
      </c>
      <c r="AB44" s="267">
        <v>0.51900000000000002</v>
      </c>
      <c r="AC44" s="266">
        <v>0</v>
      </c>
      <c r="AD44" s="292">
        <v>2.66</v>
      </c>
      <c r="AE44" s="267">
        <v>0</v>
      </c>
      <c r="AF44" s="287">
        <v>0.55549999999999999</v>
      </c>
      <c r="AG44" s="302">
        <v>0</v>
      </c>
      <c r="AH44" s="355">
        <v>0</v>
      </c>
      <c r="AI44" s="301">
        <f t="shared" si="6"/>
        <v>1.2999999999999456E-2</v>
      </c>
      <c r="AJ44" s="401"/>
      <c r="AK44" s="435" t="s">
        <v>50</v>
      </c>
      <c r="AL44" s="425"/>
      <c r="AM44" s="426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</row>
    <row r="45" spans="1:248" s="35" customFormat="1" ht="45" customHeight="1" thickBot="1" x14ac:dyDescent="0.25">
      <c r="A45" s="444">
        <v>2491</v>
      </c>
      <c r="B45" s="445" t="s">
        <v>51</v>
      </c>
      <c r="C45" s="445" t="s">
        <v>91</v>
      </c>
      <c r="D45" s="445"/>
      <c r="E45" s="445" t="s">
        <v>190</v>
      </c>
      <c r="F45" s="445" t="s">
        <v>191</v>
      </c>
      <c r="G45" s="445"/>
      <c r="H45" s="448" t="s">
        <v>55</v>
      </c>
      <c r="I45" s="451">
        <f>SUMIF('Wege im Detail'!$A:$A,"02491",'Wege im Detail'!$P:$P)</f>
        <v>7.9769999999999994</v>
      </c>
      <c r="J45" s="508" t="s">
        <v>192</v>
      </c>
      <c r="K45" s="237"/>
      <c r="L45" s="256">
        <v>10</v>
      </c>
      <c r="M45" s="195">
        <v>100</v>
      </c>
      <c r="N45" s="196">
        <v>0</v>
      </c>
      <c r="O45" s="212">
        <v>0</v>
      </c>
      <c r="P45" s="350">
        <v>0</v>
      </c>
      <c r="Q45" s="226"/>
      <c r="R45" s="262">
        <v>0</v>
      </c>
      <c r="S45" s="111">
        <v>1.35</v>
      </c>
      <c r="T45" s="263">
        <v>5.69</v>
      </c>
      <c r="U45" s="111" t="s">
        <v>193</v>
      </c>
      <c r="V45" s="263">
        <v>0.70199999999999996</v>
      </c>
      <c r="W45" s="111">
        <v>0</v>
      </c>
      <c r="X45" s="263">
        <v>0.23</v>
      </c>
      <c r="Y45" s="268">
        <f t="shared" si="5"/>
        <v>7.9720000000000013</v>
      </c>
      <c r="Z45" s="265"/>
      <c r="AA45" s="266">
        <v>2.39</v>
      </c>
      <c r="AB45" s="267">
        <v>2.42</v>
      </c>
      <c r="AC45" s="266">
        <v>0</v>
      </c>
      <c r="AD45" s="292">
        <v>4.5599999999999996</v>
      </c>
      <c r="AE45" s="267">
        <v>0.312</v>
      </c>
      <c r="AF45" s="287">
        <v>0.433</v>
      </c>
      <c r="AG45" s="302">
        <v>0</v>
      </c>
      <c r="AH45" s="355">
        <v>0</v>
      </c>
      <c r="AI45" s="301">
        <f t="shared" si="6"/>
        <v>-4.9999999999981171E-3</v>
      </c>
      <c r="AJ45" s="401"/>
      <c r="AK45" s="435" t="s">
        <v>50</v>
      </c>
      <c r="AL45" s="425"/>
      <c r="AM45" s="426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</row>
    <row r="46" spans="1:248" s="35" customFormat="1" ht="45" customHeight="1" thickBot="1" x14ac:dyDescent="0.25">
      <c r="A46" s="444">
        <v>2494</v>
      </c>
      <c r="B46" s="445" t="s">
        <v>51</v>
      </c>
      <c r="C46" s="445" t="s">
        <v>91</v>
      </c>
      <c r="D46" s="445"/>
      <c r="E46" s="445">
        <v>93</v>
      </c>
      <c r="F46" s="445" t="s">
        <v>194</v>
      </c>
      <c r="G46" s="445"/>
      <c r="H46" s="448" t="s">
        <v>55</v>
      </c>
      <c r="I46" s="451">
        <f>SUMIF('Wege im Detail'!$A:$A,"02494",'Wege im Detail'!$P:$P)</f>
        <v>1.585</v>
      </c>
      <c r="J46" s="514" t="s">
        <v>195</v>
      </c>
      <c r="K46" s="237"/>
      <c r="L46" s="256">
        <v>5</v>
      </c>
      <c r="M46" s="195">
        <v>100</v>
      </c>
      <c r="N46" s="196">
        <v>0</v>
      </c>
      <c r="O46" s="212">
        <v>0</v>
      </c>
      <c r="P46" s="350">
        <v>0</v>
      </c>
      <c r="Q46" s="226"/>
      <c r="R46" s="262">
        <v>0</v>
      </c>
      <c r="S46" s="111">
        <v>0.96199999999999997</v>
      </c>
      <c r="T46" s="263">
        <v>0.46400000000000002</v>
      </c>
      <c r="U46" s="111">
        <v>0.22500000000000001</v>
      </c>
      <c r="V46" s="263">
        <v>1E-3</v>
      </c>
      <c r="W46" s="111">
        <v>0</v>
      </c>
      <c r="X46" s="263">
        <v>0</v>
      </c>
      <c r="Y46" s="268">
        <f t="shared" si="5"/>
        <v>1.6519999999999999</v>
      </c>
      <c r="Z46" s="265"/>
      <c r="AA46" s="266">
        <v>0.67200000000000004</v>
      </c>
      <c r="AB46" s="267">
        <v>0.56999999999999995</v>
      </c>
      <c r="AC46" s="266">
        <v>0</v>
      </c>
      <c r="AD46" s="292" t="s">
        <v>196</v>
      </c>
      <c r="AE46" s="267">
        <v>0.55549999999999999</v>
      </c>
      <c r="AF46" s="287">
        <v>0</v>
      </c>
      <c r="AG46" s="302">
        <v>0</v>
      </c>
      <c r="AH46" s="355">
        <v>0</v>
      </c>
      <c r="AI46" s="301">
        <f t="shared" si="6"/>
        <v>6.6999999999999948E-2</v>
      </c>
      <c r="AJ46" s="401" t="s">
        <v>197</v>
      </c>
      <c r="AK46" s="435" t="s">
        <v>50</v>
      </c>
      <c r="AL46" s="425"/>
      <c r="AM46" s="426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</row>
    <row r="47" spans="1:248" ht="45" customHeight="1" thickBot="1" x14ac:dyDescent="0.25">
      <c r="A47" s="444">
        <v>2495</v>
      </c>
      <c r="B47" s="445" t="s">
        <v>51</v>
      </c>
      <c r="C47" s="445" t="s">
        <v>91</v>
      </c>
      <c r="D47" s="445"/>
      <c r="E47" s="445">
        <v>92</v>
      </c>
      <c r="F47" s="445"/>
      <c r="G47" s="445"/>
      <c r="H47" s="448" t="s">
        <v>55</v>
      </c>
      <c r="I47" s="451">
        <f>SUMIF('Wege im Detail'!$A:$A,"02495",'Wege im Detail'!$P:$P)</f>
        <v>2.2389999999999999</v>
      </c>
      <c r="J47" s="508" t="s">
        <v>199</v>
      </c>
      <c r="L47" s="256">
        <v>0</v>
      </c>
      <c r="M47" s="195">
        <v>100</v>
      </c>
      <c r="N47" s="196">
        <v>0</v>
      </c>
      <c r="O47" s="212">
        <v>0</v>
      </c>
      <c r="P47" s="350">
        <v>0</v>
      </c>
      <c r="R47" s="262">
        <v>0</v>
      </c>
      <c r="S47" s="111">
        <v>0.21199999999999999</v>
      </c>
      <c r="T47" s="263">
        <v>1.84</v>
      </c>
      <c r="U47" s="111">
        <v>0.186</v>
      </c>
      <c r="V47" s="263">
        <v>0</v>
      </c>
      <c r="W47" s="111">
        <v>0</v>
      </c>
      <c r="X47" s="263">
        <v>0</v>
      </c>
      <c r="Y47" s="268">
        <f t="shared" si="5"/>
        <v>2.238</v>
      </c>
      <c r="Z47" s="265"/>
      <c r="AA47" s="266">
        <v>0</v>
      </c>
      <c r="AB47" s="267">
        <v>0.44900000000000001</v>
      </c>
      <c r="AC47" s="266">
        <v>0.55549999999999999</v>
      </c>
      <c r="AD47" s="292">
        <v>1.77</v>
      </c>
      <c r="AE47" s="267">
        <v>0</v>
      </c>
      <c r="AF47" s="287">
        <v>0</v>
      </c>
      <c r="AG47" s="302">
        <v>0</v>
      </c>
      <c r="AH47" s="355">
        <v>0</v>
      </c>
      <c r="AI47" s="301">
        <f t="shared" si="6"/>
        <v>-9.9999999999988987E-4</v>
      </c>
      <c r="AK47" s="437" t="s">
        <v>50</v>
      </c>
    </row>
    <row r="48" spans="1:248" ht="45" customHeight="1" thickBot="1" x14ac:dyDescent="0.25">
      <c r="A48" s="444">
        <v>2497</v>
      </c>
      <c r="B48" s="445" t="s">
        <v>51</v>
      </c>
      <c r="C48" s="445" t="s">
        <v>91</v>
      </c>
      <c r="D48" s="479"/>
      <c r="E48" s="445">
        <v>96</v>
      </c>
      <c r="F48" s="448" t="s">
        <v>201</v>
      </c>
      <c r="G48" s="448"/>
      <c r="H48" s="448" t="s">
        <v>55</v>
      </c>
      <c r="I48" s="451">
        <f>SUMIF('Wege im Detail'!$A:$A,"02497",'Wege im Detail'!$P:$P)</f>
        <v>4.3440000000000003</v>
      </c>
      <c r="J48" s="508" t="s">
        <v>203</v>
      </c>
      <c r="L48" s="256">
        <v>27</v>
      </c>
      <c r="M48" s="195">
        <v>78</v>
      </c>
      <c r="N48" s="196">
        <v>22</v>
      </c>
      <c r="O48" s="212">
        <v>0</v>
      </c>
      <c r="P48" s="350">
        <v>0</v>
      </c>
      <c r="R48" s="262">
        <v>0</v>
      </c>
      <c r="S48" s="111">
        <v>0</v>
      </c>
      <c r="T48" s="263">
        <v>3.2</v>
      </c>
      <c r="U48" s="111">
        <v>0</v>
      </c>
      <c r="V48" s="263">
        <v>0.99399999999999999</v>
      </c>
      <c r="W48" s="111">
        <v>7.4999999999999997E-2</v>
      </c>
      <c r="X48" s="263">
        <v>7.4999999999999997E-2</v>
      </c>
      <c r="Y48" s="268">
        <f t="shared" si="5"/>
        <v>4.3440000000000003</v>
      </c>
      <c r="Z48" s="265"/>
      <c r="AA48" s="266">
        <v>0.114</v>
      </c>
      <c r="AB48" s="267">
        <v>2.27</v>
      </c>
      <c r="AC48" s="266">
        <v>0</v>
      </c>
      <c r="AD48" s="292">
        <v>0.83199999999999996</v>
      </c>
      <c r="AE48" s="267">
        <v>1.05</v>
      </c>
      <c r="AF48" s="287">
        <v>0.55549999999999999</v>
      </c>
      <c r="AG48" s="302">
        <v>0</v>
      </c>
      <c r="AH48" s="355">
        <v>0</v>
      </c>
      <c r="AI48" s="301">
        <f t="shared" si="6"/>
        <v>0</v>
      </c>
      <c r="AK48" s="435" t="s">
        <v>50</v>
      </c>
    </row>
    <row r="49" spans="1:248" ht="45" customHeight="1" thickBot="1" x14ac:dyDescent="0.25">
      <c r="A49" s="444">
        <v>2500</v>
      </c>
      <c r="B49" s="445" t="s">
        <v>51</v>
      </c>
      <c r="C49" s="445" t="s">
        <v>91</v>
      </c>
      <c r="D49" s="445"/>
      <c r="E49" s="445">
        <v>60</v>
      </c>
      <c r="F49" s="445"/>
      <c r="G49" s="445"/>
      <c r="H49" s="448" t="s">
        <v>55</v>
      </c>
      <c r="I49" s="451">
        <f>SUMIF('Wege im Detail'!$A:$A,"02500",'Wege im Detail'!$P:$P)</f>
        <v>21.032</v>
      </c>
      <c r="J49" s="508" t="s">
        <v>205</v>
      </c>
      <c r="L49" s="256">
        <v>17</v>
      </c>
      <c r="M49" s="195">
        <v>94</v>
      </c>
      <c r="N49" s="196">
        <v>5</v>
      </c>
      <c r="O49" s="212">
        <v>1</v>
      </c>
      <c r="P49" s="350">
        <v>0</v>
      </c>
      <c r="R49" s="262">
        <v>0.42599999999999999</v>
      </c>
      <c r="S49" s="111">
        <v>0</v>
      </c>
      <c r="T49" s="263">
        <v>15.8</v>
      </c>
      <c r="U49" s="111">
        <v>0.79500000000000004</v>
      </c>
      <c r="V49" s="263">
        <v>2.76</v>
      </c>
      <c r="W49" s="111">
        <v>0.64100000000000001</v>
      </c>
      <c r="X49" s="263">
        <v>0.26200000000000001</v>
      </c>
      <c r="Y49" s="268">
        <f t="shared" si="5"/>
        <v>20.683999999999997</v>
      </c>
      <c r="Z49" s="265"/>
      <c r="AA49" s="266">
        <v>2.72</v>
      </c>
      <c r="AB49" s="267">
        <v>5.71</v>
      </c>
      <c r="AC49" s="266">
        <v>0.20499999999999999</v>
      </c>
      <c r="AD49" s="292">
        <v>9.1</v>
      </c>
      <c r="AE49" s="267">
        <v>1.6</v>
      </c>
      <c r="AF49" s="287">
        <v>1.31</v>
      </c>
      <c r="AG49" s="302">
        <v>0</v>
      </c>
      <c r="AH49" s="355">
        <v>0</v>
      </c>
      <c r="AI49" s="301">
        <f t="shared" si="6"/>
        <v>-0.34800000000000253</v>
      </c>
      <c r="AK49" s="435" t="s">
        <v>50</v>
      </c>
    </row>
    <row r="50" spans="1:248" ht="45" customHeight="1" thickBot="1" x14ac:dyDescent="0.25">
      <c r="A50" s="444">
        <v>2503</v>
      </c>
      <c r="B50" s="445" t="s">
        <v>51</v>
      </c>
      <c r="C50" s="445" t="s">
        <v>91</v>
      </c>
      <c r="D50" s="445"/>
      <c r="E50" s="445">
        <v>63</v>
      </c>
      <c r="F50" s="445"/>
      <c r="G50" s="445"/>
      <c r="H50" s="448" t="s">
        <v>55</v>
      </c>
      <c r="I50" s="451">
        <f>SUMIF('Wege im Detail'!$A:$A,"02503",'Wege im Detail'!$P:$P)</f>
        <v>10.542999999999999</v>
      </c>
      <c r="J50" s="508" t="s">
        <v>207</v>
      </c>
      <c r="L50" s="256">
        <v>23</v>
      </c>
      <c r="M50" s="195">
        <v>96</v>
      </c>
      <c r="N50" s="196">
        <v>1</v>
      </c>
      <c r="O50" s="212">
        <v>3</v>
      </c>
      <c r="P50" s="350">
        <v>0</v>
      </c>
      <c r="R50" s="262">
        <v>0</v>
      </c>
      <c r="S50" s="111">
        <v>0.30499999999999999</v>
      </c>
      <c r="T50" s="263">
        <v>7.88</v>
      </c>
      <c r="U50" s="111">
        <v>0.05</v>
      </c>
      <c r="V50" s="263">
        <v>1.8</v>
      </c>
      <c r="W50" s="111">
        <v>0.55400000000000005</v>
      </c>
      <c r="X50" s="263">
        <v>0.01</v>
      </c>
      <c r="Y50" s="268">
        <f t="shared" si="5"/>
        <v>10.599000000000002</v>
      </c>
      <c r="Z50" s="269"/>
      <c r="AA50" s="266">
        <v>1.56</v>
      </c>
      <c r="AB50" s="267">
        <v>2.67</v>
      </c>
      <c r="AC50" s="266">
        <v>0.55549999999999999</v>
      </c>
      <c r="AD50" s="292">
        <v>3.95</v>
      </c>
      <c r="AE50" s="267">
        <v>1.93</v>
      </c>
      <c r="AF50" s="287">
        <v>0.39700000000000002</v>
      </c>
      <c r="AG50" s="302">
        <v>0</v>
      </c>
      <c r="AH50" s="355">
        <v>0</v>
      </c>
      <c r="AI50" s="301">
        <f t="shared" si="6"/>
        <v>5.6000000000002714E-2</v>
      </c>
      <c r="AJ50" s="187"/>
      <c r="AK50" s="435" t="s">
        <v>50</v>
      </c>
      <c r="AL50" s="427"/>
      <c r="AM50" s="428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</row>
    <row r="51" spans="1:248" ht="45" customHeight="1" thickBot="1" x14ac:dyDescent="0.25">
      <c r="A51" s="444">
        <v>2506</v>
      </c>
      <c r="B51" s="445" t="s">
        <v>51</v>
      </c>
      <c r="C51" s="445" t="s">
        <v>91</v>
      </c>
      <c r="D51" s="445"/>
      <c r="E51" s="445">
        <v>69</v>
      </c>
      <c r="F51" s="445"/>
      <c r="G51" s="445"/>
      <c r="H51" s="448" t="s">
        <v>55</v>
      </c>
      <c r="I51" s="451">
        <f>SUMIF('Wege im Detail'!$A:$A,"02506",'Wege im Detail'!$P:$P)</f>
        <v>3.6760000000000002</v>
      </c>
      <c r="J51" s="508" t="s">
        <v>209</v>
      </c>
      <c r="L51" s="256">
        <v>21</v>
      </c>
      <c r="M51" s="195">
        <v>92</v>
      </c>
      <c r="N51" s="196">
        <v>0</v>
      </c>
      <c r="O51" s="212">
        <v>8</v>
      </c>
      <c r="P51" s="350">
        <v>0</v>
      </c>
      <c r="R51" s="262">
        <v>0</v>
      </c>
      <c r="S51" s="111">
        <v>0.442</v>
      </c>
      <c r="T51" s="263">
        <v>2.48</v>
      </c>
      <c r="U51" s="111">
        <v>0</v>
      </c>
      <c r="V51" s="263">
        <v>0.48699999999999999</v>
      </c>
      <c r="W51" s="111">
        <v>0.27900000000000003</v>
      </c>
      <c r="X51" s="263">
        <v>0</v>
      </c>
      <c r="Y51" s="268">
        <f t="shared" si="5"/>
        <v>3.6880000000000002</v>
      </c>
      <c r="Z51" s="265"/>
      <c r="AA51" s="266">
        <v>0</v>
      </c>
      <c r="AB51" s="267">
        <v>1.64</v>
      </c>
      <c r="AC51" s="266">
        <v>1.19</v>
      </c>
      <c r="AD51" s="292">
        <v>0.55549999999999999</v>
      </c>
      <c r="AE51" s="267">
        <v>0.48699999999999999</v>
      </c>
      <c r="AF51" s="287">
        <v>0.27900000000000003</v>
      </c>
      <c r="AG51" s="302">
        <v>0</v>
      </c>
      <c r="AH51" s="355">
        <v>0</v>
      </c>
      <c r="AI51" s="301">
        <f t="shared" si="6"/>
        <v>1.2000000000000011E-2</v>
      </c>
      <c r="AK51" s="435" t="s">
        <v>50</v>
      </c>
    </row>
    <row r="52" spans="1:248" ht="45" customHeight="1" thickBot="1" x14ac:dyDescent="0.25">
      <c r="A52" s="444">
        <v>2511</v>
      </c>
      <c r="B52" s="445" t="s">
        <v>51</v>
      </c>
      <c r="C52" s="445" t="s">
        <v>91</v>
      </c>
      <c r="D52" s="445"/>
      <c r="E52" s="445">
        <v>76</v>
      </c>
      <c r="F52" s="445"/>
      <c r="G52" s="445"/>
      <c r="H52" s="448" t="s">
        <v>55</v>
      </c>
      <c r="I52" s="451">
        <f>SUMIF('Wege im Detail'!$A:$A,"02511",'Wege im Detail'!$P:$P)</f>
        <v>5.5620000000000003</v>
      </c>
      <c r="J52" s="508" t="s">
        <v>210</v>
      </c>
      <c r="L52" s="256">
        <v>24</v>
      </c>
      <c r="M52" s="195">
        <v>98</v>
      </c>
      <c r="N52" s="196">
        <v>0</v>
      </c>
      <c r="O52" s="212">
        <v>2</v>
      </c>
      <c r="P52" s="350">
        <v>0</v>
      </c>
      <c r="R52" s="262">
        <v>0</v>
      </c>
      <c r="S52" s="111">
        <v>0</v>
      </c>
      <c r="T52" s="263">
        <v>3</v>
      </c>
      <c r="U52" s="111">
        <v>1</v>
      </c>
      <c r="V52" s="263">
        <v>1.06</v>
      </c>
      <c r="W52" s="111">
        <v>0.16700000000000001</v>
      </c>
      <c r="X52" s="263">
        <v>0.33400000000000002</v>
      </c>
      <c r="Y52" s="268">
        <f t="shared" si="5"/>
        <v>5.5609999999999999</v>
      </c>
      <c r="Z52" s="265"/>
      <c r="AA52" s="266">
        <v>0</v>
      </c>
      <c r="AB52" s="267">
        <v>5.45</v>
      </c>
      <c r="AC52" s="266">
        <v>0.11</v>
      </c>
      <c r="AD52" s="292">
        <v>0</v>
      </c>
      <c r="AE52" s="267">
        <v>0</v>
      </c>
      <c r="AF52" s="287">
        <v>0</v>
      </c>
      <c r="AG52" s="302">
        <v>0</v>
      </c>
      <c r="AH52" s="355">
        <v>0</v>
      </c>
      <c r="AI52" s="301">
        <f t="shared" si="6"/>
        <v>-1.000000000000334E-3</v>
      </c>
      <c r="AK52" s="435" t="s">
        <v>50</v>
      </c>
    </row>
    <row r="53" spans="1:248" ht="45" customHeight="1" thickBot="1" x14ac:dyDescent="0.25">
      <c r="A53" s="444">
        <v>2512</v>
      </c>
      <c r="B53" s="445" t="s">
        <v>51</v>
      </c>
      <c r="C53" s="445" t="s">
        <v>91</v>
      </c>
      <c r="D53" s="445"/>
      <c r="E53" s="445">
        <v>71</v>
      </c>
      <c r="F53" s="445"/>
      <c r="G53" s="445"/>
      <c r="H53" s="448" t="s">
        <v>55</v>
      </c>
      <c r="I53" s="451">
        <f>SUMIF('Wege im Detail'!$A:$A,"02512",'Wege im Detail'!$P:$P)</f>
        <v>3.96</v>
      </c>
      <c r="J53" s="508" t="s">
        <v>212</v>
      </c>
      <c r="L53" s="256">
        <v>29</v>
      </c>
      <c r="M53" s="195">
        <v>100</v>
      </c>
      <c r="N53" s="196">
        <v>0</v>
      </c>
      <c r="O53" s="212">
        <v>0</v>
      </c>
      <c r="P53" s="350">
        <v>0</v>
      </c>
      <c r="R53" s="262">
        <v>0.43099999999999999</v>
      </c>
      <c r="S53" s="111">
        <v>0.9</v>
      </c>
      <c r="T53" s="263">
        <v>1.33</v>
      </c>
      <c r="U53" s="111">
        <v>0</v>
      </c>
      <c r="V53" s="263">
        <v>1.1399999999999999</v>
      </c>
      <c r="W53" s="111">
        <v>0.08</v>
      </c>
      <c r="X53" s="263">
        <v>0.11700000000000001</v>
      </c>
      <c r="Y53" s="268">
        <f t="shared" si="5"/>
        <v>3.9980000000000002</v>
      </c>
      <c r="Z53" s="265"/>
      <c r="AA53" s="266">
        <v>0.43099999999999999</v>
      </c>
      <c r="AB53" s="267">
        <v>3.48</v>
      </c>
      <c r="AC53" s="266">
        <v>0</v>
      </c>
      <c r="AD53" s="292">
        <v>0</v>
      </c>
      <c r="AE53" s="267">
        <v>0</v>
      </c>
      <c r="AF53" s="287">
        <v>0</v>
      </c>
      <c r="AG53" s="302">
        <v>0</v>
      </c>
      <c r="AH53" s="355">
        <v>0</v>
      </c>
      <c r="AI53" s="301">
        <f t="shared" si="6"/>
        <v>3.8000000000000256E-2</v>
      </c>
      <c r="AK53" s="435" t="s">
        <v>50</v>
      </c>
    </row>
    <row r="54" spans="1:248" ht="45" customHeight="1" thickBot="1" x14ac:dyDescent="0.25">
      <c r="A54" s="444">
        <v>2513</v>
      </c>
      <c r="B54" s="445" t="s">
        <v>51</v>
      </c>
      <c r="C54" s="445" t="s">
        <v>91</v>
      </c>
      <c r="D54" s="445"/>
      <c r="E54" s="445">
        <v>72</v>
      </c>
      <c r="F54" s="445"/>
      <c r="G54" s="445"/>
      <c r="H54" s="448" t="s">
        <v>55</v>
      </c>
      <c r="I54" s="451">
        <f>SUMIF('Wege im Detail'!$A:$A,"02513",'Wege im Detail'!$P:$P)</f>
        <v>4.1530000000000005</v>
      </c>
      <c r="J54" s="508" t="s">
        <v>213</v>
      </c>
      <c r="L54" s="209">
        <v>39</v>
      </c>
      <c r="M54" s="197">
        <v>98</v>
      </c>
      <c r="N54" s="198">
        <v>0</v>
      </c>
      <c r="O54" s="213">
        <v>2</v>
      </c>
      <c r="P54" s="350">
        <v>0</v>
      </c>
      <c r="R54" s="262">
        <v>0</v>
      </c>
      <c r="S54" s="111">
        <v>0.43099999999999999</v>
      </c>
      <c r="T54" s="263">
        <v>2.4</v>
      </c>
      <c r="U54" s="111">
        <v>0</v>
      </c>
      <c r="V54" s="263">
        <v>0.67600000000000005</v>
      </c>
      <c r="W54" s="111">
        <v>0.249</v>
      </c>
      <c r="X54" s="263">
        <v>0.45200000000000001</v>
      </c>
      <c r="Y54" s="264">
        <f t="shared" si="5"/>
        <v>4.2080000000000002</v>
      </c>
      <c r="Z54" s="269">
        <v>0.88800000000000001</v>
      </c>
      <c r="AA54" s="266">
        <v>0.88800000000000001</v>
      </c>
      <c r="AB54" s="267">
        <v>1.43</v>
      </c>
      <c r="AC54" s="266">
        <v>0.47499999999999998</v>
      </c>
      <c r="AD54" s="292">
        <v>0.66300000000000003</v>
      </c>
      <c r="AE54" s="267">
        <v>0.32800000000000001</v>
      </c>
      <c r="AF54" s="287">
        <v>0.55549999999999999</v>
      </c>
      <c r="AG54" s="302">
        <v>0</v>
      </c>
      <c r="AH54" s="355">
        <v>0.33500000000000002</v>
      </c>
      <c r="AI54" s="301">
        <f t="shared" si="6"/>
        <v>5.4999999999999716E-2</v>
      </c>
      <c r="AJ54" s="187"/>
      <c r="AK54" s="437" t="s">
        <v>50</v>
      </c>
      <c r="AL54" s="427"/>
      <c r="AM54" s="428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</row>
    <row r="55" spans="1:248" ht="45" customHeight="1" thickBot="1" x14ac:dyDescent="0.25">
      <c r="A55" s="444">
        <v>2521</v>
      </c>
      <c r="B55" s="445" t="s">
        <v>51</v>
      </c>
      <c r="C55" s="455" t="s">
        <v>214</v>
      </c>
      <c r="D55" s="470"/>
      <c r="E55" s="445">
        <v>203</v>
      </c>
      <c r="F55" s="445" t="s">
        <v>216</v>
      </c>
      <c r="G55" s="445"/>
      <c r="H55" s="448" t="s">
        <v>55</v>
      </c>
      <c r="I55" s="451">
        <f>SUMIF('Wege im Detail'!$A:$A,"02521",'Wege im Detail'!$P:$P)</f>
        <v>16.141000000000002</v>
      </c>
      <c r="J55" s="508" t="s">
        <v>217</v>
      </c>
      <c r="L55" s="256">
        <v>5</v>
      </c>
      <c r="M55" s="195">
        <v>100</v>
      </c>
      <c r="N55" s="196">
        <v>0</v>
      </c>
      <c r="O55" s="212">
        <v>0</v>
      </c>
      <c r="P55" s="350">
        <v>0</v>
      </c>
      <c r="R55" s="262">
        <v>0</v>
      </c>
      <c r="S55" s="111">
        <v>0.51700000000000002</v>
      </c>
      <c r="T55" s="263">
        <v>8.1</v>
      </c>
      <c r="U55" s="111">
        <v>5.88</v>
      </c>
      <c r="V55" s="263">
        <v>1.1299999999999999</v>
      </c>
      <c r="W55" s="111">
        <v>0.55549999999999999</v>
      </c>
      <c r="X55" s="263">
        <v>0.64300000000000002</v>
      </c>
      <c r="Y55" s="264">
        <f t="shared" si="5"/>
        <v>16.825499999999998</v>
      </c>
      <c r="Z55" s="265"/>
      <c r="AA55" s="266">
        <v>3.63</v>
      </c>
      <c r="AB55" s="267">
        <v>4.82</v>
      </c>
      <c r="AC55" s="266">
        <v>5.52</v>
      </c>
      <c r="AD55" s="292">
        <v>1.02</v>
      </c>
      <c r="AE55" s="267">
        <v>1.27</v>
      </c>
      <c r="AF55" s="287">
        <v>0.55549999999999999</v>
      </c>
      <c r="AG55" s="302">
        <v>0</v>
      </c>
      <c r="AH55" s="355">
        <v>0</v>
      </c>
      <c r="AI55" s="301">
        <f t="shared" si="6"/>
        <v>0.68449999999999633</v>
      </c>
      <c r="AK55" s="437" t="s">
        <v>50</v>
      </c>
    </row>
    <row r="56" spans="1:248" ht="45" customHeight="1" thickBot="1" x14ac:dyDescent="0.25">
      <c r="A56" s="444">
        <v>2523</v>
      </c>
      <c r="B56" s="445" t="s">
        <v>51</v>
      </c>
      <c r="C56" s="445" t="s">
        <v>91</v>
      </c>
      <c r="D56" s="479"/>
      <c r="E56" s="445">
        <v>62</v>
      </c>
      <c r="F56" s="448" t="s">
        <v>219</v>
      </c>
      <c r="G56" s="448"/>
      <c r="H56" s="448" t="s">
        <v>55</v>
      </c>
      <c r="I56" s="451">
        <f>SUMIF('Wege im Detail'!$A:$A,"02523",'Wege im Detail'!$P:$P)</f>
        <v>13.841000000000001</v>
      </c>
      <c r="J56" s="508" t="s">
        <v>221</v>
      </c>
      <c r="L56" s="256">
        <v>28</v>
      </c>
      <c r="M56" s="195">
        <v>86</v>
      </c>
      <c r="N56" s="196">
        <v>14</v>
      </c>
      <c r="O56" s="212">
        <v>0</v>
      </c>
      <c r="P56" s="350">
        <v>0</v>
      </c>
      <c r="R56" s="262">
        <v>0</v>
      </c>
      <c r="S56" s="111">
        <v>0.64800000000000002</v>
      </c>
      <c r="T56" s="263">
        <v>8.8000000000000007</v>
      </c>
      <c r="U56" s="111">
        <v>0.55549999999999999</v>
      </c>
      <c r="V56" s="263">
        <v>2.88</v>
      </c>
      <c r="W56" s="111">
        <v>1.5</v>
      </c>
      <c r="X56" s="263">
        <v>0.55549999999999999</v>
      </c>
      <c r="Y56" s="264">
        <f t="shared" si="5"/>
        <v>14.939000000000002</v>
      </c>
      <c r="Z56" s="265"/>
      <c r="AA56" s="266">
        <v>0</v>
      </c>
      <c r="AB56" s="267">
        <v>4.58</v>
      </c>
      <c r="AC56" s="266">
        <v>0.182</v>
      </c>
      <c r="AD56" s="292">
        <v>5.14</v>
      </c>
      <c r="AE56" s="267">
        <v>1.88</v>
      </c>
      <c r="AF56" s="287">
        <v>2.08</v>
      </c>
      <c r="AG56" s="302">
        <v>0</v>
      </c>
      <c r="AH56" s="355">
        <v>0</v>
      </c>
      <c r="AI56" s="301">
        <f t="shared" si="6"/>
        <v>1.0980000000000008</v>
      </c>
      <c r="AK56" s="437" t="s">
        <v>50</v>
      </c>
    </row>
    <row r="57" spans="1:248" ht="45" customHeight="1" thickBot="1" x14ac:dyDescent="0.25">
      <c r="A57" s="444">
        <v>2524</v>
      </c>
      <c r="B57" s="445" t="s">
        <v>51</v>
      </c>
      <c r="C57" s="445" t="s">
        <v>91</v>
      </c>
      <c r="D57" s="479"/>
      <c r="E57" s="445">
        <v>58</v>
      </c>
      <c r="F57" s="448"/>
      <c r="G57" s="448"/>
      <c r="H57" s="448" t="s">
        <v>55</v>
      </c>
      <c r="I57" s="451">
        <f>SUMIF('Wege im Detail'!$A:$A,"02524",'Wege im Detail'!$P:$P)</f>
        <v>4.649</v>
      </c>
      <c r="J57" s="508" t="s">
        <v>222</v>
      </c>
      <c r="L57" s="256">
        <v>21</v>
      </c>
      <c r="M57" s="195">
        <v>91</v>
      </c>
      <c r="N57" s="196">
        <v>0</v>
      </c>
      <c r="O57" s="212">
        <v>9</v>
      </c>
      <c r="P57" s="350">
        <v>0</v>
      </c>
      <c r="R57" s="262">
        <v>0</v>
      </c>
      <c r="S57" s="111">
        <v>0.31900000000000001</v>
      </c>
      <c r="T57" s="263">
        <v>3.47</v>
      </c>
      <c r="U57" s="111">
        <v>0</v>
      </c>
      <c r="V57" s="263">
        <v>0.47799999999999998</v>
      </c>
      <c r="W57" s="111">
        <v>0.41499999999999998</v>
      </c>
      <c r="X57" s="263">
        <v>0</v>
      </c>
      <c r="Y57" s="264">
        <f t="shared" si="5"/>
        <v>4.6820000000000004</v>
      </c>
      <c r="Z57" s="265"/>
      <c r="AA57" s="266">
        <v>0.55549999999999999</v>
      </c>
      <c r="AB57" s="267">
        <v>2.92</v>
      </c>
      <c r="AC57" s="266">
        <v>0</v>
      </c>
      <c r="AD57" s="292">
        <v>0.59799999999999998</v>
      </c>
      <c r="AE57" s="267">
        <v>0.65400000000000003</v>
      </c>
      <c r="AF57" s="287">
        <v>0.41499999999999998</v>
      </c>
      <c r="AG57" s="302">
        <v>0</v>
      </c>
      <c r="AH57" s="355">
        <v>0</v>
      </c>
      <c r="AI57" s="301">
        <f t="shared" si="6"/>
        <v>3.3000000000000362E-2</v>
      </c>
      <c r="AK57" s="435" t="s">
        <v>50</v>
      </c>
    </row>
    <row r="58" spans="1:248" ht="45" customHeight="1" thickBot="1" x14ac:dyDescent="0.25">
      <c r="A58" s="444">
        <v>2526</v>
      </c>
      <c r="B58" s="445" t="s">
        <v>51</v>
      </c>
      <c r="C58" s="445" t="s">
        <v>91</v>
      </c>
      <c r="D58" s="445"/>
      <c r="E58" s="445">
        <v>132</v>
      </c>
      <c r="F58" s="445"/>
      <c r="G58" s="445"/>
      <c r="H58" s="448" t="s">
        <v>55</v>
      </c>
      <c r="I58" s="451">
        <f>SUMIF('Wege im Detail'!$A:$A,"02526",'Wege im Detail'!$P:$P)</f>
        <v>4.4619999999999997</v>
      </c>
      <c r="J58" s="508" t="s">
        <v>223</v>
      </c>
      <c r="L58" s="257">
        <v>27</v>
      </c>
      <c r="M58" s="199">
        <v>100</v>
      </c>
      <c r="N58" s="200">
        <v>0</v>
      </c>
      <c r="O58" s="214">
        <v>0</v>
      </c>
      <c r="P58" s="350">
        <v>0</v>
      </c>
      <c r="R58" s="262">
        <v>0</v>
      </c>
      <c r="S58" s="111">
        <v>0.55100000000000005</v>
      </c>
      <c r="T58" s="263">
        <v>2.56</v>
      </c>
      <c r="U58" s="111">
        <v>0.14199999999999999</v>
      </c>
      <c r="V58" s="263">
        <v>0.58199999999999996</v>
      </c>
      <c r="W58" s="111">
        <v>0.41699999999999998</v>
      </c>
      <c r="X58" s="263">
        <v>0.25</v>
      </c>
      <c r="Y58" s="264">
        <f t="shared" si="5"/>
        <v>4.5019999999999998</v>
      </c>
      <c r="Z58" s="265"/>
      <c r="AA58" s="266">
        <v>1.02</v>
      </c>
      <c r="AB58" s="267">
        <v>1.24</v>
      </c>
      <c r="AC58" s="266">
        <v>0.86299999999999999</v>
      </c>
      <c r="AD58" s="292">
        <v>1.08</v>
      </c>
      <c r="AE58" s="267">
        <v>0.13300000000000001</v>
      </c>
      <c r="AF58" s="287">
        <v>0</v>
      </c>
      <c r="AG58" s="302">
        <v>0</v>
      </c>
      <c r="AH58" s="355">
        <v>0</v>
      </c>
      <c r="AI58" s="301">
        <f t="shared" si="6"/>
        <v>4.0000000000000036E-2</v>
      </c>
      <c r="AK58" s="435" t="s">
        <v>50</v>
      </c>
    </row>
    <row r="59" spans="1:248" ht="45" customHeight="1" thickBot="1" x14ac:dyDescent="0.25">
      <c r="A59" s="444">
        <v>2529</v>
      </c>
      <c r="B59" s="445" t="s">
        <v>51</v>
      </c>
      <c r="C59" s="445" t="s">
        <v>52</v>
      </c>
      <c r="D59" s="445"/>
      <c r="E59" s="445">
        <v>3</v>
      </c>
      <c r="F59" s="445" t="s">
        <v>225</v>
      </c>
      <c r="G59" s="445"/>
      <c r="H59" s="448" t="s">
        <v>55</v>
      </c>
      <c r="I59" s="451">
        <f>SUMIF('Wege im Detail'!$A:$A,"02529",'Wege im Detail'!$P:$P)</f>
        <v>64.75800000000001</v>
      </c>
      <c r="J59" s="508" t="s">
        <v>227</v>
      </c>
      <c r="L59" s="257">
        <v>25</v>
      </c>
      <c r="M59" s="604">
        <v>95</v>
      </c>
      <c r="N59" s="605">
        <v>4</v>
      </c>
      <c r="O59" s="606">
        <v>1</v>
      </c>
      <c r="P59" s="350">
        <v>0</v>
      </c>
      <c r="R59" s="262">
        <v>0.88200000000000001</v>
      </c>
      <c r="S59" s="111">
        <v>5.04</v>
      </c>
      <c r="T59" s="263">
        <v>28.9</v>
      </c>
      <c r="U59" s="111">
        <v>13.4</v>
      </c>
      <c r="V59" s="263">
        <v>11.9</v>
      </c>
      <c r="W59" s="111">
        <v>4.1100000000000003</v>
      </c>
      <c r="X59" s="263">
        <v>0.65300000000000002</v>
      </c>
      <c r="Y59" s="268">
        <f t="shared" si="5"/>
        <v>64.885000000000005</v>
      </c>
      <c r="Z59" s="269"/>
      <c r="AA59" s="266">
        <v>12</v>
      </c>
      <c r="AB59" s="267">
        <v>11.4</v>
      </c>
      <c r="AC59" s="266">
        <v>1.02</v>
      </c>
      <c r="AD59" s="292">
        <v>25.4</v>
      </c>
      <c r="AE59" s="267">
        <v>2.86</v>
      </c>
      <c r="AF59" s="287">
        <v>12.3</v>
      </c>
      <c r="AG59" s="302">
        <v>0</v>
      </c>
      <c r="AH59" s="355">
        <v>0</v>
      </c>
      <c r="AI59" s="301">
        <f t="shared" si="6"/>
        <v>0.12699999999999534</v>
      </c>
      <c r="AJ59" s="402"/>
      <c r="AL59" s="427"/>
      <c r="AM59" s="428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</row>
    <row r="60" spans="1:248" ht="45" customHeight="1" thickBot="1" x14ac:dyDescent="0.25">
      <c r="A60" s="444">
        <v>2530</v>
      </c>
      <c r="B60" s="445" t="s">
        <v>51</v>
      </c>
      <c r="C60" s="445" t="s">
        <v>52</v>
      </c>
      <c r="D60" s="445"/>
      <c r="E60" s="445">
        <v>10</v>
      </c>
      <c r="F60" s="445" t="s">
        <v>229</v>
      </c>
      <c r="G60" s="445"/>
      <c r="H60" s="448" t="s">
        <v>55</v>
      </c>
      <c r="I60" s="451">
        <f>SUMIF('Wege im Detail'!$A:$A,"02530",'Wege im Detail'!$P:$P)</f>
        <v>41.998000000000005</v>
      </c>
      <c r="J60" s="514" t="s">
        <v>231</v>
      </c>
      <c r="L60" s="257">
        <v>49</v>
      </c>
      <c r="M60" s="199">
        <v>95</v>
      </c>
      <c r="N60" s="200">
        <v>4</v>
      </c>
      <c r="O60" s="214">
        <v>1</v>
      </c>
      <c r="P60" s="350">
        <v>0</v>
      </c>
      <c r="R60" s="262">
        <v>0</v>
      </c>
      <c r="S60" s="111">
        <v>3.78</v>
      </c>
      <c r="T60" s="263">
        <v>8.26</v>
      </c>
      <c r="U60" s="111">
        <v>9.06</v>
      </c>
      <c r="V60" s="263">
        <v>15.9</v>
      </c>
      <c r="W60" s="111">
        <v>4.53</v>
      </c>
      <c r="X60" s="263">
        <v>0.373</v>
      </c>
      <c r="Y60" s="268">
        <f t="shared" si="5"/>
        <v>41.902999999999999</v>
      </c>
      <c r="Z60" s="265"/>
      <c r="AA60" s="266">
        <v>4.34</v>
      </c>
      <c r="AB60" s="267">
        <v>7.73</v>
      </c>
      <c r="AC60" s="266">
        <v>1.83</v>
      </c>
      <c r="AD60" s="292">
        <v>13.6</v>
      </c>
      <c r="AE60" s="267">
        <v>6.47</v>
      </c>
      <c r="AF60" s="287">
        <v>7.9</v>
      </c>
      <c r="AG60" s="302">
        <v>0</v>
      </c>
      <c r="AH60" s="355">
        <v>0</v>
      </c>
      <c r="AI60" s="301">
        <f t="shared" si="6"/>
        <v>-9.5000000000005969E-2</v>
      </c>
      <c r="AK60" s="435" t="s">
        <v>50</v>
      </c>
    </row>
    <row r="61" spans="1:248" ht="45" customHeight="1" thickBot="1" x14ac:dyDescent="0.25">
      <c r="A61" s="444">
        <v>2589</v>
      </c>
      <c r="B61" s="445" t="s">
        <v>51</v>
      </c>
      <c r="C61" s="445" t="s">
        <v>52</v>
      </c>
      <c r="D61" s="445"/>
      <c r="E61" s="445">
        <v>12</v>
      </c>
      <c r="F61" s="445" t="s">
        <v>233</v>
      </c>
      <c r="G61" s="445"/>
      <c r="H61" s="448" t="s">
        <v>55</v>
      </c>
      <c r="I61" s="451">
        <f>SUMIF('Wege im Detail'!$A:$A,"02589",'Wege im Detail'!$P:$P)</f>
        <v>27.244</v>
      </c>
      <c r="J61" s="508" t="s">
        <v>234</v>
      </c>
      <c r="L61" s="209">
        <v>37</v>
      </c>
      <c r="M61" s="197">
        <v>92</v>
      </c>
      <c r="N61" s="198">
        <v>4</v>
      </c>
      <c r="O61" s="213">
        <v>2</v>
      </c>
      <c r="P61" s="350">
        <v>2</v>
      </c>
      <c r="R61" s="262">
        <v>0</v>
      </c>
      <c r="S61" s="111">
        <v>1.62</v>
      </c>
      <c r="T61" s="263">
        <v>17.100000000000001</v>
      </c>
      <c r="U61" s="111">
        <v>2.57</v>
      </c>
      <c r="V61" s="263">
        <v>4.4400000000000004</v>
      </c>
      <c r="W61" s="111">
        <v>0.71299999999999997</v>
      </c>
      <c r="X61" s="263">
        <v>0.33400000000000002</v>
      </c>
      <c r="Y61" s="268">
        <f t="shared" si="5"/>
        <v>26.777000000000005</v>
      </c>
      <c r="Z61" s="269"/>
      <c r="AA61" s="266">
        <v>1.0900000000000001</v>
      </c>
      <c r="AB61" s="267">
        <v>8.9499999999999993</v>
      </c>
      <c r="AC61" s="266">
        <v>0.13900000000000001</v>
      </c>
      <c r="AD61" s="292">
        <v>11.4</v>
      </c>
      <c r="AE61" s="267">
        <v>1.96</v>
      </c>
      <c r="AF61" s="287">
        <v>3.2</v>
      </c>
      <c r="AG61" s="302">
        <v>0.55549999999999999</v>
      </c>
      <c r="AH61" s="355">
        <v>0.55549999999999999</v>
      </c>
      <c r="AI61" s="301">
        <f t="shared" si="6"/>
        <v>-0.4669999999999952</v>
      </c>
      <c r="AJ61" s="187"/>
      <c r="AK61" s="435" t="s">
        <v>50</v>
      </c>
      <c r="AL61" s="427"/>
      <c r="AM61" s="428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</row>
    <row r="62" spans="1:248" s="35" customFormat="1" ht="45" customHeight="1" thickBot="1" x14ac:dyDescent="0.25">
      <c r="A62" s="444">
        <v>2634</v>
      </c>
      <c r="B62" s="445" t="s">
        <v>84</v>
      </c>
      <c r="C62" s="455" t="s">
        <v>85</v>
      </c>
      <c r="D62" s="445"/>
      <c r="E62" s="445" t="s">
        <v>235</v>
      </c>
      <c r="F62" s="445" t="s">
        <v>142</v>
      </c>
      <c r="G62" s="445"/>
      <c r="H62" s="448" t="s">
        <v>55</v>
      </c>
      <c r="I62" s="451">
        <f>SUMIF('Wege im Detail'!$A:$A,"02634",'Wege im Detail'!$P:$P)</f>
        <v>6.5940000000000003</v>
      </c>
      <c r="J62" s="508" t="s">
        <v>236</v>
      </c>
      <c r="K62" s="237"/>
      <c r="L62" s="257">
        <v>24</v>
      </c>
      <c r="M62" s="199">
        <v>90</v>
      </c>
      <c r="N62" s="200">
        <v>10</v>
      </c>
      <c r="O62" s="214">
        <v>0</v>
      </c>
      <c r="P62" s="350">
        <v>0</v>
      </c>
      <c r="Q62" s="226"/>
      <c r="R62" s="262">
        <v>0</v>
      </c>
      <c r="S62" s="111">
        <v>0.55800000000000005</v>
      </c>
      <c r="T62" s="263">
        <v>4.6399999999999997</v>
      </c>
      <c r="U62" s="111">
        <v>0</v>
      </c>
      <c r="V62" s="263">
        <v>0.56799999999999995</v>
      </c>
      <c r="W62" s="111">
        <v>0.64200000000000002</v>
      </c>
      <c r="X62" s="263">
        <v>0.11899999999999999</v>
      </c>
      <c r="Y62" s="264">
        <f t="shared" si="5"/>
        <v>6.5269999999999992</v>
      </c>
      <c r="Z62" s="269"/>
      <c r="AA62" s="266">
        <v>2.4700000000000002</v>
      </c>
      <c r="AB62" s="267">
        <v>2.46</v>
      </c>
      <c r="AC62" s="266">
        <v>0</v>
      </c>
      <c r="AD62" s="292">
        <v>0.28899999999999998</v>
      </c>
      <c r="AE62" s="267">
        <v>0.63</v>
      </c>
      <c r="AF62" s="287">
        <v>0.66900000000000004</v>
      </c>
      <c r="AG62" s="302">
        <v>0</v>
      </c>
      <c r="AH62" s="355">
        <v>0</v>
      </c>
      <c r="AI62" s="301">
        <f t="shared" si="6"/>
        <v>-6.7000000000001059E-2</v>
      </c>
      <c r="AJ62" s="187"/>
      <c r="AK62" s="435" t="s">
        <v>50</v>
      </c>
      <c r="AL62" s="427"/>
      <c r="AM62" s="428"/>
    </row>
    <row r="63" spans="1:248" ht="45" customHeight="1" thickBot="1" x14ac:dyDescent="0.25">
      <c r="A63" s="444">
        <v>2636</v>
      </c>
      <c r="B63" s="445" t="s">
        <v>84</v>
      </c>
      <c r="C63" s="455" t="s">
        <v>85</v>
      </c>
      <c r="D63" s="445"/>
      <c r="E63" s="445" t="s">
        <v>238</v>
      </c>
      <c r="F63" s="445" t="s">
        <v>138</v>
      </c>
      <c r="G63" s="445"/>
      <c r="H63" s="448" t="s">
        <v>55</v>
      </c>
      <c r="I63" s="451">
        <f>SUMIF('Wege im Detail'!$A:$A,"02636",'Wege im Detail'!$P:$P)</f>
        <v>9.3539999999999992</v>
      </c>
      <c r="J63" s="508" t="s">
        <v>239</v>
      </c>
      <c r="L63" s="258">
        <v>16</v>
      </c>
      <c r="M63" s="201">
        <v>93</v>
      </c>
      <c r="N63" s="202">
        <v>5</v>
      </c>
      <c r="O63" s="215">
        <v>2</v>
      </c>
      <c r="P63" s="350">
        <v>0</v>
      </c>
      <c r="R63" s="262">
        <v>0</v>
      </c>
      <c r="S63" s="111">
        <v>0.55549999999999999</v>
      </c>
      <c r="T63" s="263">
        <v>8.06</v>
      </c>
      <c r="U63" s="111">
        <v>0</v>
      </c>
      <c r="V63" s="263">
        <v>0.80200000000000005</v>
      </c>
      <c r="W63" s="111">
        <v>0.60099999999999998</v>
      </c>
      <c r="X63" s="263">
        <v>0.55549999999999999</v>
      </c>
      <c r="Y63" s="264">
        <f t="shared" si="5"/>
        <v>10.574</v>
      </c>
      <c r="Z63" s="269"/>
      <c r="AA63" s="266">
        <v>2.31</v>
      </c>
      <c r="AB63" s="267">
        <v>2.5499999999999998</v>
      </c>
      <c r="AC63" s="266">
        <v>1.77</v>
      </c>
      <c r="AD63" s="292">
        <v>1.45</v>
      </c>
      <c r="AE63" s="267">
        <v>0.86299999999999999</v>
      </c>
      <c r="AF63" s="287">
        <v>0.60099999999999998</v>
      </c>
      <c r="AG63" s="302">
        <v>0</v>
      </c>
      <c r="AH63" s="355">
        <v>0</v>
      </c>
      <c r="AI63" s="301">
        <f t="shared" si="6"/>
        <v>1.2200000000000006</v>
      </c>
      <c r="AJ63" s="187"/>
      <c r="AK63" s="435" t="s">
        <v>50</v>
      </c>
      <c r="AL63" s="427"/>
      <c r="AM63" s="428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</row>
    <row r="64" spans="1:248" ht="45" customHeight="1" thickBot="1" x14ac:dyDescent="0.25">
      <c r="A64" s="444">
        <v>2646</v>
      </c>
      <c r="B64" s="445" t="s">
        <v>84</v>
      </c>
      <c r="C64" s="455" t="s">
        <v>85</v>
      </c>
      <c r="D64" s="445"/>
      <c r="E64" s="445" t="s">
        <v>241</v>
      </c>
      <c r="F64" s="445" t="s">
        <v>142</v>
      </c>
      <c r="G64" s="445"/>
      <c r="H64" s="448" t="s">
        <v>55</v>
      </c>
      <c r="I64" s="451">
        <f>SUMIF('Wege im Detail'!$A:$A,"02646",'Wege im Detail'!$P:$P)</f>
        <v>4.3959999999999999</v>
      </c>
      <c r="J64" s="508" t="s">
        <v>242</v>
      </c>
      <c r="L64" s="258">
        <v>2</v>
      </c>
      <c r="M64" s="201">
        <v>100</v>
      </c>
      <c r="N64" s="202">
        <v>0</v>
      </c>
      <c r="O64" s="215">
        <v>0</v>
      </c>
      <c r="P64" s="350">
        <v>0</v>
      </c>
      <c r="R64" s="262">
        <v>0</v>
      </c>
      <c r="S64" s="111">
        <v>0</v>
      </c>
      <c r="T64" s="263">
        <v>4.41</v>
      </c>
      <c r="U64" s="111">
        <v>0</v>
      </c>
      <c r="V64" s="263">
        <v>0</v>
      </c>
      <c r="W64" s="111">
        <v>0</v>
      </c>
      <c r="X64" s="263">
        <v>0.55549999999999999</v>
      </c>
      <c r="Y64" s="264">
        <f t="shared" si="5"/>
        <v>4.9655000000000005</v>
      </c>
      <c r="Z64" s="269"/>
      <c r="AA64" s="266">
        <v>0</v>
      </c>
      <c r="AB64" s="267">
        <v>1.35</v>
      </c>
      <c r="AC64" s="266">
        <v>0</v>
      </c>
      <c r="AD64" s="292">
        <v>3.06</v>
      </c>
      <c r="AE64" s="267">
        <v>0.55549999999999999</v>
      </c>
      <c r="AF64" s="287">
        <v>0</v>
      </c>
      <c r="AG64" s="302">
        <v>0</v>
      </c>
      <c r="AH64" s="355">
        <v>0</v>
      </c>
      <c r="AI64" s="301">
        <f t="shared" si="6"/>
        <v>0.56950000000000056</v>
      </c>
      <c r="AJ64" s="187"/>
      <c r="AK64" s="435" t="s">
        <v>50</v>
      </c>
      <c r="AL64" s="427"/>
      <c r="AM64" s="428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</row>
    <row r="65" spans="1:248" ht="45" customHeight="1" thickBot="1" x14ac:dyDescent="0.25">
      <c r="A65" s="444">
        <v>2648</v>
      </c>
      <c r="B65" s="445" t="s">
        <v>84</v>
      </c>
      <c r="C65" s="455" t="s">
        <v>85</v>
      </c>
      <c r="D65" s="445"/>
      <c r="E65" s="445" t="s">
        <v>244</v>
      </c>
      <c r="F65" s="445" t="s">
        <v>147</v>
      </c>
      <c r="G65" s="445"/>
      <c r="H65" s="448" t="s">
        <v>55</v>
      </c>
      <c r="I65" s="451">
        <f>SUMIF('Wege im Detail'!$A:$A,"02648",'Wege im Detail'!$P:$P)</f>
        <v>10.688000000000001</v>
      </c>
      <c r="J65" s="508" t="s">
        <v>245</v>
      </c>
      <c r="L65" s="257">
        <v>25</v>
      </c>
      <c r="M65" s="199">
        <v>91</v>
      </c>
      <c r="N65" s="200">
        <v>1</v>
      </c>
      <c r="O65" s="214">
        <v>9</v>
      </c>
      <c r="P65" s="350">
        <v>0</v>
      </c>
      <c r="R65" s="262">
        <v>0</v>
      </c>
      <c r="S65" s="111">
        <v>0.48299999999999998</v>
      </c>
      <c r="T65" s="263">
        <v>6.59</v>
      </c>
      <c r="U65" s="111">
        <v>1.57</v>
      </c>
      <c r="V65" s="263">
        <v>1.3</v>
      </c>
      <c r="W65" s="111">
        <v>0.73799999999999999</v>
      </c>
      <c r="X65" s="263">
        <v>0.55549999999999999</v>
      </c>
      <c r="Y65" s="264">
        <f t="shared" si="5"/>
        <v>11.236499999999999</v>
      </c>
      <c r="Z65" s="265"/>
      <c r="AA65" s="266">
        <v>0.48599999999999999</v>
      </c>
      <c r="AB65" s="267">
        <v>4.38</v>
      </c>
      <c r="AC65" s="266">
        <v>0.54600000000000004</v>
      </c>
      <c r="AD65" s="292">
        <v>3.12</v>
      </c>
      <c r="AE65" s="267">
        <v>1.63</v>
      </c>
      <c r="AF65" s="287">
        <v>0.53200000000000003</v>
      </c>
      <c r="AG65" s="302">
        <v>0</v>
      </c>
      <c r="AH65" s="355">
        <v>0</v>
      </c>
      <c r="AI65" s="301">
        <f t="shared" si="6"/>
        <v>0.54849999999999888</v>
      </c>
      <c r="AK65" s="435" t="s">
        <v>50</v>
      </c>
    </row>
    <row r="66" spans="1:248" ht="45" customHeight="1" thickBot="1" x14ac:dyDescent="0.25">
      <c r="A66" s="444">
        <v>2687</v>
      </c>
      <c r="B66" s="445" t="s">
        <v>84</v>
      </c>
      <c r="C66" s="455" t="s">
        <v>85</v>
      </c>
      <c r="D66" s="445"/>
      <c r="E66" s="445" t="s">
        <v>247</v>
      </c>
      <c r="F66" s="445" t="s">
        <v>142</v>
      </c>
      <c r="G66" s="445"/>
      <c r="H66" s="448" t="s">
        <v>55</v>
      </c>
      <c r="I66" s="451">
        <f>SUMIF('Wege im Detail'!$A:$A,"02687",'Wege im Detail'!$P:$P)</f>
        <v>9.843</v>
      </c>
      <c r="J66" s="508" t="s">
        <v>249</v>
      </c>
      <c r="L66" s="257">
        <v>26</v>
      </c>
      <c r="M66" s="199">
        <v>96</v>
      </c>
      <c r="N66" s="200">
        <v>0</v>
      </c>
      <c r="O66" s="214">
        <v>4</v>
      </c>
      <c r="P66" s="350">
        <v>0</v>
      </c>
      <c r="R66" s="262">
        <v>0</v>
      </c>
      <c r="S66" s="111">
        <v>0.88</v>
      </c>
      <c r="T66" s="263">
        <v>5.52</v>
      </c>
      <c r="U66" s="111">
        <v>0.16200000000000001</v>
      </c>
      <c r="V66" s="263">
        <v>2.77</v>
      </c>
      <c r="W66" s="111">
        <v>0.39</v>
      </c>
      <c r="X66" s="263">
        <v>0.23200000000000001</v>
      </c>
      <c r="Y66" s="264">
        <f t="shared" si="5"/>
        <v>9.9539999999999988</v>
      </c>
      <c r="Z66" s="269"/>
      <c r="AA66" s="266">
        <v>2.46</v>
      </c>
      <c r="AB66" s="267">
        <v>1.07</v>
      </c>
      <c r="AC66" s="266">
        <v>3.29</v>
      </c>
      <c r="AD66" s="292">
        <v>1.34</v>
      </c>
      <c r="AE66" s="267">
        <v>1.22</v>
      </c>
      <c r="AF66" s="287">
        <v>0.57299999999999995</v>
      </c>
      <c r="AG66" s="302">
        <v>0</v>
      </c>
      <c r="AH66" s="355">
        <v>0.55549999999999999</v>
      </c>
      <c r="AI66" s="301">
        <f t="shared" si="6"/>
        <v>0.11099999999999888</v>
      </c>
      <c r="AJ66" s="187"/>
      <c r="AK66" s="435" t="s">
        <v>50</v>
      </c>
      <c r="AL66" s="427"/>
      <c r="AM66" s="428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</row>
    <row r="67" spans="1:248" ht="45" customHeight="1" thickBot="1" x14ac:dyDescent="0.25">
      <c r="A67" s="444">
        <v>2688</v>
      </c>
      <c r="B67" s="445" t="s">
        <v>84</v>
      </c>
      <c r="C67" s="455" t="s">
        <v>85</v>
      </c>
      <c r="D67" s="445"/>
      <c r="E67" s="445" t="s">
        <v>251</v>
      </c>
      <c r="F67" s="445" t="s">
        <v>147</v>
      </c>
      <c r="G67" s="445"/>
      <c r="H67" s="448" t="s">
        <v>55</v>
      </c>
      <c r="I67" s="451">
        <f>SUMIF('Wege im Detail'!$A:$A,"02688",'Wege im Detail'!$P:$P)</f>
        <v>7.298</v>
      </c>
      <c r="J67" s="508" t="s">
        <v>252</v>
      </c>
      <c r="L67" s="209">
        <v>39</v>
      </c>
      <c r="M67" s="197">
        <v>83</v>
      </c>
      <c r="N67" s="198">
        <v>8</v>
      </c>
      <c r="O67" s="213">
        <v>9</v>
      </c>
      <c r="P67" s="350">
        <v>0</v>
      </c>
      <c r="R67" s="262">
        <v>0</v>
      </c>
      <c r="S67" s="111">
        <v>0</v>
      </c>
      <c r="T67" s="263">
        <v>4.43</v>
      </c>
      <c r="U67" s="111">
        <v>0</v>
      </c>
      <c r="V67" s="263">
        <v>1.78</v>
      </c>
      <c r="W67" s="111">
        <v>1.05</v>
      </c>
      <c r="X67" s="263">
        <v>0</v>
      </c>
      <c r="Y67" s="264">
        <f t="shared" si="5"/>
        <v>7.26</v>
      </c>
      <c r="Z67" s="269"/>
      <c r="AA67" s="266">
        <v>1.99</v>
      </c>
      <c r="AB67" s="267">
        <v>0.77800000000000002</v>
      </c>
      <c r="AC67" s="266">
        <v>2.13</v>
      </c>
      <c r="AD67" s="292">
        <v>0.71099999999999997</v>
      </c>
      <c r="AE67" s="267">
        <v>0.57999999999999996</v>
      </c>
      <c r="AF67" s="287">
        <v>1.07</v>
      </c>
      <c r="AG67" s="302">
        <v>0</v>
      </c>
      <c r="AH67" s="355">
        <v>0</v>
      </c>
      <c r="AI67" s="301">
        <f t="shared" si="6"/>
        <v>-3.8000000000000256E-2</v>
      </c>
      <c r="AJ67" s="187"/>
      <c r="AK67" s="435" t="s">
        <v>50</v>
      </c>
      <c r="AL67" s="427"/>
      <c r="AM67" s="428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</row>
    <row r="68" spans="1:248" ht="45" customHeight="1" thickBot="1" x14ac:dyDescent="0.25">
      <c r="A68" s="444">
        <v>2689</v>
      </c>
      <c r="B68" s="445" t="s">
        <v>84</v>
      </c>
      <c r="C68" s="455" t="s">
        <v>85</v>
      </c>
      <c r="D68" s="445"/>
      <c r="E68" s="445" t="s">
        <v>254</v>
      </c>
      <c r="F68" s="445" t="s">
        <v>133</v>
      </c>
      <c r="G68" s="445"/>
      <c r="H68" s="448" t="s">
        <v>55</v>
      </c>
      <c r="I68" s="451">
        <f>SUMIF('Wege im Detail'!$A:$A,"02689",'Wege im Detail'!$P:$P)</f>
        <v>6.06</v>
      </c>
      <c r="J68" s="508" t="s">
        <v>255</v>
      </c>
      <c r="L68" s="209">
        <v>0</v>
      </c>
      <c r="M68" s="197">
        <v>100</v>
      </c>
      <c r="N68" s="198">
        <v>0</v>
      </c>
      <c r="O68" s="213">
        <v>0</v>
      </c>
      <c r="P68" s="350">
        <v>0</v>
      </c>
      <c r="R68" s="262">
        <v>0</v>
      </c>
      <c r="S68" s="111">
        <v>0.98599999999999999</v>
      </c>
      <c r="T68" s="263">
        <v>3.6</v>
      </c>
      <c r="U68" s="111">
        <v>1.49</v>
      </c>
      <c r="V68" s="263">
        <v>0</v>
      </c>
      <c r="W68" s="111">
        <v>0.55549999999999999</v>
      </c>
      <c r="X68" s="263">
        <v>0</v>
      </c>
      <c r="Y68" s="264">
        <f t="shared" si="5"/>
        <v>6.6315000000000008</v>
      </c>
      <c r="Z68" s="265"/>
      <c r="AA68" s="266">
        <v>0.96599999999999997</v>
      </c>
      <c r="AB68" s="267">
        <v>1.81</v>
      </c>
      <c r="AC68" s="266">
        <v>1.45</v>
      </c>
      <c r="AD68" s="292">
        <v>1.86</v>
      </c>
      <c r="AE68" s="267">
        <v>0</v>
      </c>
      <c r="AF68" s="287">
        <v>0</v>
      </c>
      <c r="AG68" s="302">
        <v>0</v>
      </c>
      <c r="AH68" s="355">
        <v>0</v>
      </c>
      <c r="AI68" s="301">
        <v>0</v>
      </c>
      <c r="AK68" s="435" t="s">
        <v>50</v>
      </c>
    </row>
    <row r="69" spans="1:248" ht="45" customHeight="1" thickBot="1" x14ac:dyDescent="0.25">
      <c r="A69" s="444">
        <v>2690</v>
      </c>
      <c r="B69" s="445" t="s">
        <v>84</v>
      </c>
      <c r="C69" s="455" t="s">
        <v>85</v>
      </c>
      <c r="D69" s="445"/>
      <c r="E69" s="445" t="s">
        <v>257</v>
      </c>
      <c r="F69" s="445" t="s">
        <v>138</v>
      </c>
      <c r="G69" s="445"/>
      <c r="H69" s="448" t="s">
        <v>55</v>
      </c>
      <c r="I69" s="451">
        <f>SUMIF('Wege im Detail'!$A:$A,"02690",'Wege im Detail'!$P:$P)</f>
        <v>4.0229999999999997</v>
      </c>
      <c r="J69" s="508" t="s">
        <v>258</v>
      </c>
      <c r="L69" s="209">
        <v>52</v>
      </c>
      <c r="M69" s="197">
        <v>100</v>
      </c>
      <c r="N69" s="198">
        <v>0</v>
      </c>
      <c r="O69" s="213">
        <v>0</v>
      </c>
      <c r="P69" s="350">
        <v>0</v>
      </c>
      <c r="R69" s="262">
        <v>0</v>
      </c>
      <c r="S69" s="111">
        <v>0.55549999999999999</v>
      </c>
      <c r="T69" s="263">
        <v>1.79</v>
      </c>
      <c r="U69" s="111">
        <v>0.55549999999999999</v>
      </c>
      <c r="V69" s="263">
        <v>0</v>
      </c>
      <c r="W69" s="111">
        <v>2.0499999999999998</v>
      </c>
      <c r="X69" s="263">
        <v>0.55549999999999999</v>
      </c>
      <c r="Y69" s="264">
        <f t="shared" si="5"/>
        <v>5.5065</v>
      </c>
      <c r="Z69" s="265"/>
      <c r="AA69" s="266">
        <v>0.185</v>
      </c>
      <c r="AB69" s="267">
        <v>0.93799999999999994</v>
      </c>
      <c r="AC69" s="266">
        <v>0.78900000000000003</v>
      </c>
      <c r="AD69" s="292">
        <v>0</v>
      </c>
      <c r="AE69" s="267">
        <v>0.55549999999999999</v>
      </c>
      <c r="AF69" s="287">
        <v>2.0499999999999998</v>
      </c>
      <c r="AG69" s="302">
        <v>0</v>
      </c>
      <c r="AH69" s="355">
        <v>0</v>
      </c>
      <c r="AI69" s="301">
        <f t="shared" ref="AI69:AI100" si="7">Y69-I69</f>
        <v>1.4835000000000003</v>
      </c>
      <c r="AK69" s="435" t="s">
        <v>50</v>
      </c>
    </row>
    <row r="70" spans="1:248" ht="45" customHeight="1" thickBot="1" x14ac:dyDescent="0.25">
      <c r="A70" s="444">
        <v>2692</v>
      </c>
      <c r="B70" s="445" t="s">
        <v>84</v>
      </c>
      <c r="C70" s="455" t="s">
        <v>85</v>
      </c>
      <c r="D70" s="445"/>
      <c r="E70" s="445" t="s">
        <v>260</v>
      </c>
      <c r="F70" s="445" t="s">
        <v>88</v>
      </c>
      <c r="G70" s="445"/>
      <c r="H70" s="448" t="s">
        <v>55</v>
      </c>
      <c r="I70" s="451">
        <f>SUMIF('Wege im Detail'!$A:$A,"02692",'Wege im Detail'!$P:$P)</f>
        <v>6.4790000000000001</v>
      </c>
      <c r="J70" s="508" t="s">
        <v>261</v>
      </c>
      <c r="L70" s="209">
        <v>56</v>
      </c>
      <c r="M70" s="197">
        <v>71</v>
      </c>
      <c r="N70" s="198">
        <v>22</v>
      </c>
      <c r="O70" s="213">
        <v>7</v>
      </c>
      <c r="P70" s="350">
        <v>0</v>
      </c>
      <c r="R70" s="262">
        <v>0</v>
      </c>
      <c r="S70" s="111">
        <v>0</v>
      </c>
      <c r="T70" s="263">
        <v>1.85</v>
      </c>
      <c r="U70" s="111">
        <v>0.498</v>
      </c>
      <c r="V70" s="263">
        <v>3.19</v>
      </c>
      <c r="W70" s="111">
        <v>0.84799999999999998</v>
      </c>
      <c r="X70" s="263">
        <v>0.55549999999999999</v>
      </c>
      <c r="Y70" s="264">
        <f t="shared" si="5"/>
        <v>6.9415000000000004</v>
      </c>
      <c r="Z70" s="265"/>
      <c r="AA70" s="266">
        <v>0.40500000000000003</v>
      </c>
      <c r="AB70" s="267">
        <v>0.98599999999999999</v>
      </c>
      <c r="AC70" s="266">
        <v>2.61</v>
      </c>
      <c r="AD70" s="292">
        <v>0</v>
      </c>
      <c r="AE70" s="267">
        <v>0.19500000000000001</v>
      </c>
      <c r="AF70" s="287">
        <v>2.2599999999999998</v>
      </c>
      <c r="AG70" s="302">
        <v>0</v>
      </c>
      <c r="AH70" s="355">
        <v>0</v>
      </c>
      <c r="AI70" s="301">
        <f t="shared" si="7"/>
        <v>0.46250000000000036</v>
      </c>
      <c r="AK70" s="435" t="s">
        <v>50</v>
      </c>
    </row>
    <row r="71" spans="1:248" ht="45" customHeight="1" thickBot="1" x14ac:dyDescent="0.25">
      <c r="A71" s="444">
        <v>2693</v>
      </c>
      <c r="B71" s="445" t="s">
        <v>84</v>
      </c>
      <c r="C71" s="455" t="s">
        <v>85</v>
      </c>
      <c r="D71" s="511"/>
      <c r="E71" s="445" t="s">
        <v>263</v>
      </c>
      <c r="F71" s="445" t="s">
        <v>172</v>
      </c>
      <c r="G71" s="445"/>
      <c r="H71" s="448" t="s">
        <v>55</v>
      </c>
      <c r="I71" s="451">
        <f>SUMIF('Wege im Detail'!$A:$A,"02693",'Wege im Detail'!$P:$P)</f>
        <v>2.6019999999999999</v>
      </c>
      <c r="J71" s="508" t="s">
        <v>264</v>
      </c>
      <c r="L71" s="209">
        <v>78</v>
      </c>
      <c r="M71" s="197">
        <v>99</v>
      </c>
      <c r="N71" s="198">
        <v>0</v>
      </c>
      <c r="O71" s="213">
        <v>1</v>
      </c>
      <c r="P71" s="350">
        <v>0</v>
      </c>
      <c r="R71" s="262">
        <v>0</v>
      </c>
      <c r="S71" s="111">
        <v>0</v>
      </c>
      <c r="T71" s="263">
        <v>0.32100000000000001</v>
      </c>
      <c r="U71" s="111">
        <v>0.34499999999999997</v>
      </c>
      <c r="V71" s="263">
        <v>1.93</v>
      </c>
      <c r="W71" s="111">
        <v>0.55549999999999999</v>
      </c>
      <c r="X71" s="263">
        <v>0</v>
      </c>
      <c r="Y71" s="264">
        <f t="shared" si="5"/>
        <v>3.1515</v>
      </c>
      <c r="Z71" s="269"/>
      <c r="AA71" s="266">
        <v>0</v>
      </c>
      <c r="AB71" s="267">
        <v>0.66600000000000004</v>
      </c>
      <c r="AC71" s="266">
        <v>0.32600000000000001</v>
      </c>
      <c r="AD71" s="292">
        <v>0.189</v>
      </c>
      <c r="AE71" s="267">
        <v>1.24</v>
      </c>
      <c r="AF71" s="287">
        <v>0.20300000000000001</v>
      </c>
      <c r="AG71" s="302">
        <v>0</v>
      </c>
      <c r="AH71" s="355">
        <v>0</v>
      </c>
      <c r="AI71" s="301">
        <f t="shared" si="7"/>
        <v>0.5495000000000001</v>
      </c>
      <c r="AJ71" s="187"/>
      <c r="AK71" s="435" t="s">
        <v>50</v>
      </c>
      <c r="AL71" s="427"/>
      <c r="AM71" s="428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</row>
    <row r="72" spans="1:248" ht="45" customHeight="1" thickBot="1" x14ac:dyDescent="0.25">
      <c r="A72" s="444">
        <v>2694</v>
      </c>
      <c r="B72" s="445" t="s">
        <v>84</v>
      </c>
      <c r="C72" s="455" t="s">
        <v>85</v>
      </c>
      <c r="D72" s="511"/>
      <c r="E72" s="445" t="s">
        <v>266</v>
      </c>
      <c r="F72" s="445" t="s">
        <v>163</v>
      </c>
      <c r="G72" s="445"/>
      <c r="H72" s="448" t="s">
        <v>55</v>
      </c>
      <c r="I72" s="451">
        <f>SUMIF('Wege im Detail'!$A:$A,"02694",'Wege im Detail'!$P:$P)</f>
        <v>7.6870000000000003</v>
      </c>
      <c r="J72" s="508" t="s">
        <v>267</v>
      </c>
      <c r="L72" s="209">
        <v>23</v>
      </c>
      <c r="M72" s="197">
        <v>100</v>
      </c>
      <c r="N72" s="198">
        <v>0</v>
      </c>
      <c r="O72" s="213">
        <v>0</v>
      </c>
      <c r="P72" s="350">
        <v>0</v>
      </c>
      <c r="R72" s="262">
        <v>0</v>
      </c>
      <c r="S72" s="111">
        <v>0.218</v>
      </c>
      <c r="T72" s="263">
        <v>5.0999999999999996</v>
      </c>
      <c r="U72" s="111">
        <v>0.39900000000000002</v>
      </c>
      <c r="V72" s="263">
        <v>0.71199999999999997</v>
      </c>
      <c r="W72" s="111">
        <v>0.84099999999999997</v>
      </c>
      <c r="X72" s="263">
        <v>0.48</v>
      </c>
      <c r="Y72" s="264">
        <f t="shared" si="5"/>
        <v>7.75</v>
      </c>
      <c r="Z72" s="265"/>
      <c r="AA72" s="266">
        <v>0.14299999999999999</v>
      </c>
      <c r="AB72" s="267">
        <v>1.23</v>
      </c>
      <c r="AC72" s="266">
        <v>3</v>
      </c>
      <c r="AD72" s="292">
        <v>1.61</v>
      </c>
      <c r="AE72" s="267">
        <v>1.77</v>
      </c>
      <c r="AF72" s="287">
        <v>0</v>
      </c>
      <c r="AG72" s="302">
        <v>0</v>
      </c>
      <c r="AH72" s="355">
        <v>0</v>
      </c>
      <c r="AI72" s="301">
        <f t="shared" si="7"/>
        <v>6.2999999999999723E-2</v>
      </c>
      <c r="AK72" s="435" t="s">
        <v>50</v>
      </c>
    </row>
    <row r="73" spans="1:248" s="35" customFormat="1" ht="45" customHeight="1" thickBot="1" x14ac:dyDescent="0.25">
      <c r="A73" s="444">
        <v>2695</v>
      </c>
      <c r="B73" s="445" t="s">
        <v>84</v>
      </c>
      <c r="C73" s="455" t="s">
        <v>85</v>
      </c>
      <c r="D73" s="511"/>
      <c r="E73" s="445" t="s">
        <v>269</v>
      </c>
      <c r="F73" s="445" t="s">
        <v>168</v>
      </c>
      <c r="G73" s="445"/>
      <c r="H73" s="448" t="s">
        <v>55</v>
      </c>
      <c r="I73" s="451">
        <f>SUMIF('Wege im Detail'!$A:$A,"02695",'Wege im Detail'!$P:$P)</f>
        <v>4.5940000000000003</v>
      </c>
      <c r="J73" s="508" t="s">
        <v>270</v>
      </c>
      <c r="K73" s="237"/>
      <c r="L73" s="209">
        <v>55</v>
      </c>
      <c r="M73" s="197">
        <v>94</v>
      </c>
      <c r="N73" s="198">
        <v>5</v>
      </c>
      <c r="O73" s="213">
        <v>10</v>
      </c>
      <c r="P73" s="350">
        <v>0</v>
      </c>
      <c r="Q73" s="226"/>
      <c r="R73" s="262">
        <v>0</v>
      </c>
      <c r="S73" s="111">
        <v>0.222</v>
      </c>
      <c r="T73" s="263">
        <v>1.04</v>
      </c>
      <c r="U73" s="111">
        <v>0.57499999999999996</v>
      </c>
      <c r="V73" s="263">
        <v>1.77</v>
      </c>
      <c r="W73" s="111">
        <v>0.58399999999999996</v>
      </c>
      <c r="X73" s="263">
        <v>0.77200000000000002</v>
      </c>
      <c r="Y73" s="264">
        <f t="shared" si="5"/>
        <v>4.9630000000000001</v>
      </c>
      <c r="Z73" s="269"/>
      <c r="AA73" s="266">
        <v>0.32200000000000001</v>
      </c>
      <c r="AB73" s="267">
        <v>0.81499999999999995</v>
      </c>
      <c r="AC73" s="266">
        <v>0.84</v>
      </c>
      <c r="AD73" s="292">
        <v>0</v>
      </c>
      <c r="AE73" s="267">
        <v>2.9119999999999999</v>
      </c>
      <c r="AF73" s="287">
        <v>0.54</v>
      </c>
      <c r="AG73" s="302">
        <v>0</v>
      </c>
      <c r="AH73" s="355">
        <v>0</v>
      </c>
      <c r="AI73" s="301">
        <f t="shared" si="7"/>
        <v>0.36899999999999977</v>
      </c>
      <c r="AJ73" s="402"/>
      <c r="AK73" s="435" t="s">
        <v>50</v>
      </c>
      <c r="AL73" s="427"/>
      <c r="AM73" s="428"/>
    </row>
    <row r="74" spans="1:248" s="35" customFormat="1" ht="45" customHeight="1" thickBot="1" x14ac:dyDescent="0.25">
      <c r="A74" s="444">
        <v>2696</v>
      </c>
      <c r="B74" s="445" t="s">
        <v>84</v>
      </c>
      <c r="C74" s="455" t="s">
        <v>85</v>
      </c>
      <c r="D74" s="511"/>
      <c r="E74" s="445" t="s">
        <v>272</v>
      </c>
      <c r="F74" s="445" t="s">
        <v>273</v>
      </c>
      <c r="G74" s="445"/>
      <c r="H74" s="448" t="s">
        <v>55</v>
      </c>
      <c r="I74" s="451">
        <f>SUMIF('Wege im Detail'!$A:$A,"02696",'Wege im Detail'!$P:$P)</f>
        <v>3.6640000000000001</v>
      </c>
      <c r="J74" s="508" t="s">
        <v>274</v>
      </c>
      <c r="K74" s="237"/>
      <c r="L74" s="209">
        <v>31</v>
      </c>
      <c r="M74" s="197">
        <v>100</v>
      </c>
      <c r="N74" s="198">
        <v>0</v>
      </c>
      <c r="O74" s="213">
        <v>0</v>
      </c>
      <c r="P74" s="350">
        <v>0</v>
      </c>
      <c r="Q74" s="226"/>
      <c r="R74" s="262">
        <v>0</v>
      </c>
      <c r="S74" s="111">
        <v>0.442</v>
      </c>
      <c r="T74" s="263">
        <v>2.2400000000000002</v>
      </c>
      <c r="U74" s="111">
        <v>0</v>
      </c>
      <c r="V74" s="263">
        <v>0.91600000000000004</v>
      </c>
      <c r="W74" s="111">
        <v>0</v>
      </c>
      <c r="X74" s="263">
        <v>0.115</v>
      </c>
      <c r="Y74" s="264">
        <f t="shared" si="5"/>
        <v>3.7130000000000005</v>
      </c>
      <c r="Z74" s="269"/>
      <c r="AA74" s="266">
        <v>0</v>
      </c>
      <c r="AB74" s="267">
        <v>1.28</v>
      </c>
      <c r="AC74" s="266">
        <v>1.83</v>
      </c>
      <c r="AD74" s="292">
        <v>0</v>
      </c>
      <c r="AE74" s="267">
        <v>0.60199999999999998</v>
      </c>
      <c r="AF74" s="287">
        <v>0</v>
      </c>
      <c r="AG74" s="302">
        <v>0</v>
      </c>
      <c r="AH74" s="355">
        <v>0</v>
      </c>
      <c r="AI74" s="301">
        <f t="shared" si="7"/>
        <v>4.9000000000000377E-2</v>
      </c>
      <c r="AJ74" s="402"/>
      <c r="AK74" s="435" t="s">
        <v>50</v>
      </c>
      <c r="AL74" s="427"/>
      <c r="AM74" s="428"/>
    </row>
    <row r="75" spans="1:248" s="35" customFormat="1" ht="45" customHeight="1" thickBot="1" x14ac:dyDescent="0.25">
      <c r="A75" s="444">
        <v>2697</v>
      </c>
      <c r="B75" s="445" t="s">
        <v>84</v>
      </c>
      <c r="C75" s="455" t="s">
        <v>85</v>
      </c>
      <c r="D75" s="511"/>
      <c r="E75" s="445" t="s">
        <v>276</v>
      </c>
      <c r="F75" s="445" t="s">
        <v>277</v>
      </c>
      <c r="G75" s="445"/>
      <c r="H75" s="448" t="s">
        <v>55</v>
      </c>
      <c r="I75" s="451">
        <f>SUMIF('Wege im Detail'!$A:$A,"02697",'Wege im Detail'!$P:$P)</f>
        <v>3.593</v>
      </c>
      <c r="J75" s="508" t="s">
        <v>278</v>
      </c>
      <c r="K75" s="237"/>
      <c r="L75" s="209">
        <v>48</v>
      </c>
      <c r="M75" s="197">
        <v>92</v>
      </c>
      <c r="N75" s="198">
        <v>0</v>
      </c>
      <c r="O75" s="213">
        <v>8</v>
      </c>
      <c r="P75" s="350">
        <v>0</v>
      </c>
      <c r="Q75" s="226"/>
      <c r="R75" s="262">
        <v>0</v>
      </c>
      <c r="S75" s="111">
        <v>0</v>
      </c>
      <c r="T75" s="263">
        <v>1.4</v>
      </c>
      <c r="U75" s="111">
        <v>0</v>
      </c>
      <c r="V75" s="263">
        <v>0.67400000000000004</v>
      </c>
      <c r="W75" s="111">
        <v>0.27800000000000002</v>
      </c>
      <c r="X75" s="263">
        <v>1.2</v>
      </c>
      <c r="Y75" s="264">
        <f t="shared" si="5"/>
        <v>3.5519999999999996</v>
      </c>
      <c r="Z75" s="265"/>
      <c r="AA75" s="266">
        <v>0.223</v>
      </c>
      <c r="AB75" s="267">
        <v>0.67900000000000005</v>
      </c>
      <c r="AC75" s="266">
        <v>0.755</v>
      </c>
      <c r="AD75" s="292">
        <v>0</v>
      </c>
      <c r="AE75" s="267">
        <v>0.627</v>
      </c>
      <c r="AF75" s="287">
        <v>0.27800000000000002</v>
      </c>
      <c r="AG75" s="302">
        <v>0</v>
      </c>
      <c r="AH75" s="355">
        <v>0.997</v>
      </c>
      <c r="AI75" s="301">
        <f t="shared" si="7"/>
        <v>-4.1000000000000369E-2</v>
      </c>
      <c r="AJ75" s="401"/>
      <c r="AK75" s="435" t="s">
        <v>50</v>
      </c>
      <c r="AL75" s="425"/>
      <c r="AM75" s="426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</row>
    <row r="76" spans="1:248" s="35" customFormat="1" ht="45" customHeight="1" thickBot="1" x14ac:dyDescent="0.25">
      <c r="A76" s="444">
        <v>2723</v>
      </c>
      <c r="B76" s="445" t="s">
        <v>84</v>
      </c>
      <c r="C76" s="455" t="s">
        <v>85</v>
      </c>
      <c r="D76" s="511"/>
      <c r="E76" s="445" t="s">
        <v>279</v>
      </c>
      <c r="F76" s="445" t="s">
        <v>172</v>
      </c>
      <c r="G76" s="445"/>
      <c r="H76" s="448" t="s">
        <v>55</v>
      </c>
      <c r="I76" s="451">
        <f>SUMIF('Wege im Detail'!$A:$A,"02723",'Wege im Detail'!$P:$P)</f>
        <v>7.24</v>
      </c>
      <c r="J76" s="508" t="s">
        <v>280</v>
      </c>
      <c r="K76" s="237"/>
      <c r="L76" s="209">
        <v>4</v>
      </c>
      <c r="M76" s="197">
        <v>100</v>
      </c>
      <c r="N76" s="198">
        <v>0</v>
      </c>
      <c r="O76" s="213">
        <v>0</v>
      </c>
      <c r="P76" s="350">
        <v>0</v>
      </c>
      <c r="Q76" s="226"/>
      <c r="R76" s="262">
        <v>0</v>
      </c>
      <c r="S76" s="111">
        <v>3.39</v>
      </c>
      <c r="T76" s="263">
        <v>2.1819999999999999</v>
      </c>
      <c r="U76" s="111">
        <v>0.53200000000000003</v>
      </c>
      <c r="V76" s="263">
        <v>1.1299999999999999</v>
      </c>
      <c r="W76" s="111">
        <v>0</v>
      </c>
      <c r="X76" s="263">
        <v>0</v>
      </c>
      <c r="Y76" s="264">
        <f t="shared" si="5"/>
        <v>7.234</v>
      </c>
      <c r="Z76" s="269"/>
      <c r="AA76" s="266">
        <v>1.873</v>
      </c>
      <c r="AB76" s="267">
        <v>3.35</v>
      </c>
      <c r="AC76" s="266">
        <v>1.29</v>
      </c>
      <c r="AD76" s="292">
        <v>0</v>
      </c>
      <c r="AE76" s="267">
        <v>0.72699999999999998</v>
      </c>
      <c r="AF76" s="287">
        <v>0</v>
      </c>
      <c r="AG76" s="302">
        <v>0</v>
      </c>
      <c r="AH76" s="355">
        <v>0</v>
      </c>
      <c r="AI76" s="301">
        <f t="shared" si="7"/>
        <v>-6.0000000000002274E-3</v>
      </c>
      <c r="AJ76" s="187"/>
      <c r="AK76" s="435" t="s">
        <v>50</v>
      </c>
      <c r="AL76" s="427"/>
      <c r="AM76" s="428"/>
    </row>
    <row r="77" spans="1:248" s="35" customFormat="1" ht="45" customHeight="1" thickBot="1" x14ac:dyDescent="0.25">
      <c r="A77" s="444">
        <v>2724</v>
      </c>
      <c r="B77" s="445" t="s">
        <v>84</v>
      </c>
      <c r="C77" s="455" t="s">
        <v>85</v>
      </c>
      <c r="D77" s="482" t="s">
        <v>281</v>
      </c>
      <c r="E77" s="445" t="s">
        <v>283</v>
      </c>
      <c r="F77" s="445" t="s">
        <v>138</v>
      </c>
      <c r="G77" s="445"/>
      <c r="H77" s="448" t="s">
        <v>55</v>
      </c>
      <c r="I77" s="451">
        <f>SUMIF('Wege im Detail'!$A:$A,"002724",'Wege im Detail'!$P:$P)</f>
        <v>7.4180000000000001</v>
      </c>
      <c r="J77" s="508" t="s">
        <v>284</v>
      </c>
      <c r="K77" s="237"/>
      <c r="L77" s="209">
        <v>2</v>
      </c>
      <c r="M77" s="197">
        <v>100</v>
      </c>
      <c r="N77" s="198">
        <v>0</v>
      </c>
      <c r="O77" s="213">
        <v>0</v>
      </c>
      <c r="P77" s="350">
        <v>0</v>
      </c>
      <c r="Q77" s="226"/>
      <c r="R77" s="262">
        <v>0</v>
      </c>
      <c r="S77" s="111">
        <v>1.86</v>
      </c>
      <c r="T77" s="263">
        <v>4.3</v>
      </c>
      <c r="U77" s="111">
        <v>1.1100000000000001</v>
      </c>
      <c r="V77" s="263">
        <v>0</v>
      </c>
      <c r="W77" s="111">
        <v>0.1</v>
      </c>
      <c r="X77" s="263">
        <v>0.14799999999999999</v>
      </c>
      <c r="Y77" s="278">
        <f t="shared" si="5"/>
        <v>7.5179999999999998</v>
      </c>
      <c r="Z77" s="265"/>
      <c r="AA77" s="266">
        <v>1.86</v>
      </c>
      <c r="AB77" s="267">
        <v>3.12</v>
      </c>
      <c r="AC77" s="266">
        <v>2.37</v>
      </c>
      <c r="AD77" s="292">
        <v>0</v>
      </c>
      <c r="AE77" s="267">
        <v>0.1</v>
      </c>
      <c r="AF77" s="287">
        <v>0</v>
      </c>
      <c r="AG77" s="302">
        <v>0</v>
      </c>
      <c r="AH77" s="355">
        <v>0</v>
      </c>
      <c r="AI77" s="301">
        <f t="shared" si="7"/>
        <v>9.9999999999999645E-2</v>
      </c>
      <c r="AJ77" s="401"/>
      <c r="AK77" s="435" t="s">
        <v>50</v>
      </c>
      <c r="AL77" s="425"/>
      <c r="AM77" s="426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</row>
    <row r="78" spans="1:248" s="35" customFormat="1" ht="45" customHeight="1" thickBot="1" x14ac:dyDescent="0.25">
      <c r="A78" s="444">
        <v>2879</v>
      </c>
      <c r="B78" s="445" t="s">
        <v>51</v>
      </c>
      <c r="C78" s="455" t="s">
        <v>214</v>
      </c>
      <c r="D78" s="479"/>
      <c r="E78" s="445">
        <v>201</v>
      </c>
      <c r="F78" s="445" t="s">
        <v>285</v>
      </c>
      <c r="G78" s="448" t="s">
        <v>2282</v>
      </c>
      <c r="H78" s="448" t="s">
        <v>287</v>
      </c>
      <c r="I78" s="451">
        <f>SUMIF('Wege im Detail'!$A:$A,"02879",'Wege im Detail'!$P:$P)</f>
        <v>10.363</v>
      </c>
      <c r="J78" s="508" t="s">
        <v>288</v>
      </c>
      <c r="K78" s="237"/>
      <c r="L78" s="209">
        <v>12</v>
      </c>
      <c r="M78" s="197">
        <v>96</v>
      </c>
      <c r="N78" s="198">
        <v>2</v>
      </c>
      <c r="O78" s="213">
        <v>2</v>
      </c>
      <c r="P78" s="350">
        <v>0</v>
      </c>
      <c r="Q78" s="226"/>
      <c r="R78" s="262">
        <v>0</v>
      </c>
      <c r="S78" s="111">
        <v>2.33</v>
      </c>
      <c r="T78" s="263">
        <v>6.41</v>
      </c>
      <c r="U78" s="111">
        <v>0.60399999999999998</v>
      </c>
      <c r="V78" s="263">
        <v>0.58499999999999996</v>
      </c>
      <c r="W78" s="111">
        <v>0.32300000000000001</v>
      </c>
      <c r="X78" s="263">
        <v>0.38600000000000001</v>
      </c>
      <c r="Y78" s="278">
        <f t="shared" si="5"/>
        <v>10.637999999999998</v>
      </c>
      <c r="Z78" s="269"/>
      <c r="AA78" s="266">
        <v>1.69</v>
      </c>
      <c r="AB78" s="267">
        <v>6.28</v>
      </c>
      <c r="AC78" s="266">
        <v>12.13</v>
      </c>
      <c r="AD78" s="292">
        <v>0.33</v>
      </c>
      <c r="AE78" s="267">
        <v>0.88500000000000001</v>
      </c>
      <c r="AF78" s="287">
        <v>0.27600000000000002</v>
      </c>
      <c r="AG78" s="302">
        <v>0.55549999999999999</v>
      </c>
      <c r="AH78" s="355" t="s">
        <v>289</v>
      </c>
      <c r="AI78" s="301">
        <f t="shared" si="7"/>
        <v>0.27499999999999858</v>
      </c>
      <c r="AJ78" s="187" t="s">
        <v>290</v>
      </c>
      <c r="AK78" s="435" t="s">
        <v>50</v>
      </c>
      <c r="AL78" s="427"/>
      <c r="AM78" s="428"/>
    </row>
    <row r="79" spans="1:248" s="35" customFormat="1" ht="45" customHeight="1" thickBot="1" x14ac:dyDescent="0.25">
      <c r="A79" s="444">
        <v>2881</v>
      </c>
      <c r="B79" s="445" t="s">
        <v>51</v>
      </c>
      <c r="C79" s="445" t="s">
        <v>91</v>
      </c>
      <c r="D79" s="445"/>
      <c r="E79" s="445">
        <v>47</v>
      </c>
      <c r="F79" s="445"/>
      <c r="G79" s="445"/>
      <c r="H79" s="448" t="s">
        <v>55</v>
      </c>
      <c r="I79" s="451">
        <f>SUMIF('Wege im Detail'!$A:$A,"02881",'Wege im Detail'!$P:$P)</f>
        <v>8.7940000000000005</v>
      </c>
      <c r="J79" s="508" t="s">
        <v>291</v>
      </c>
      <c r="K79" s="237"/>
      <c r="L79" s="209">
        <v>25</v>
      </c>
      <c r="M79" s="197">
        <v>77</v>
      </c>
      <c r="N79" s="198">
        <v>0</v>
      </c>
      <c r="O79" s="213">
        <v>23</v>
      </c>
      <c r="P79" s="350">
        <v>0</v>
      </c>
      <c r="Q79" s="226"/>
      <c r="R79" s="262">
        <v>0</v>
      </c>
      <c r="S79" s="111">
        <v>0</v>
      </c>
      <c r="T79" s="263">
        <v>6.38</v>
      </c>
      <c r="U79" s="111">
        <v>0.20399999999999999</v>
      </c>
      <c r="V79" s="263">
        <v>0.219</v>
      </c>
      <c r="W79" s="111">
        <v>1.96</v>
      </c>
      <c r="X79" s="263">
        <v>0.55549999999999999</v>
      </c>
      <c r="Y79" s="264">
        <f t="shared" si="5"/>
        <v>9.3185000000000002</v>
      </c>
      <c r="Z79" s="265"/>
      <c r="AA79" s="266">
        <v>1.04</v>
      </c>
      <c r="AB79" s="267">
        <v>2.06</v>
      </c>
      <c r="AC79" s="266">
        <v>0.55549999999999999</v>
      </c>
      <c r="AD79" s="292">
        <v>3.46</v>
      </c>
      <c r="AE79" s="267">
        <v>0.23799999999999999</v>
      </c>
      <c r="AF79" s="287">
        <v>1.98</v>
      </c>
      <c r="AG79" s="302">
        <v>0</v>
      </c>
      <c r="AH79" s="355">
        <v>0</v>
      </c>
      <c r="AI79" s="301">
        <f t="shared" si="7"/>
        <v>0.52449999999999974</v>
      </c>
      <c r="AJ79" s="401"/>
      <c r="AK79" s="435" t="s">
        <v>50</v>
      </c>
      <c r="AL79" s="425"/>
      <c r="AM79" s="426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</row>
    <row r="80" spans="1:248" s="35" customFormat="1" ht="45" customHeight="1" thickBot="1" x14ac:dyDescent="0.25">
      <c r="A80" s="444">
        <v>2883</v>
      </c>
      <c r="B80" s="445" t="s">
        <v>51</v>
      </c>
      <c r="C80" s="445" t="s">
        <v>91</v>
      </c>
      <c r="D80" s="445"/>
      <c r="E80" s="445">
        <v>64</v>
      </c>
      <c r="F80" s="445"/>
      <c r="G80" s="445"/>
      <c r="H80" s="448" t="s">
        <v>55</v>
      </c>
      <c r="I80" s="451">
        <f>SUMIF('Wege im Detail'!$A:$A,"02883",'Wege im Detail'!$P:$P)</f>
        <v>4.0250000000000004</v>
      </c>
      <c r="J80" s="508" t="s">
        <v>292</v>
      </c>
      <c r="K80" s="237"/>
      <c r="L80" s="209">
        <v>25</v>
      </c>
      <c r="M80" s="197">
        <v>100</v>
      </c>
      <c r="N80" s="198">
        <v>0</v>
      </c>
      <c r="O80" s="213">
        <v>0</v>
      </c>
      <c r="P80" s="350">
        <v>0</v>
      </c>
      <c r="Q80" s="226"/>
      <c r="R80" s="262">
        <v>0</v>
      </c>
      <c r="S80" s="111">
        <v>0.65700000000000003</v>
      </c>
      <c r="T80" s="263">
        <v>2.39</v>
      </c>
      <c r="U80" s="111">
        <v>0.55549999999999999</v>
      </c>
      <c r="V80" s="263">
        <v>0.80100000000000005</v>
      </c>
      <c r="W80" s="111">
        <v>0</v>
      </c>
      <c r="X80" s="263">
        <v>0.11</v>
      </c>
      <c r="Y80" s="264">
        <f t="shared" si="5"/>
        <v>4.5135000000000005</v>
      </c>
      <c r="Z80" s="265"/>
      <c r="AA80" s="266">
        <v>0.26900000000000002</v>
      </c>
      <c r="AB80" s="267">
        <v>2.62</v>
      </c>
      <c r="AC80" s="266">
        <v>0</v>
      </c>
      <c r="AD80" s="292">
        <v>0.24099999999999999</v>
      </c>
      <c r="AE80" s="267">
        <v>0.35</v>
      </c>
      <c r="AF80" s="287">
        <v>0.56000000000000005</v>
      </c>
      <c r="AG80" s="302">
        <v>0</v>
      </c>
      <c r="AH80" s="355">
        <v>0</v>
      </c>
      <c r="AI80" s="301">
        <f t="shared" si="7"/>
        <v>0.48850000000000016</v>
      </c>
      <c r="AJ80" s="401"/>
      <c r="AK80" s="435" t="s">
        <v>50</v>
      </c>
      <c r="AL80" s="425"/>
      <c r="AM80" s="426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</row>
    <row r="81" spans="1:248" s="35" customFormat="1" ht="45" customHeight="1" thickBot="1" x14ac:dyDescent="0.25">
      <c r="A81" s="444">
        <v>2885</v>
      </c>
      <c r="B81" s="445" t="s">
        <v>51</v>
      </c>
      <c r="C81" s="445" t="s">
        <v>91</v>
      </c>
      <c r="D81" s="445"/>
      <c r="E81" s="445">
        <v>44</v>
      </c>
      <c r="F81" s="445"/>
      <c r="G81" s="445"/>
      <c r="H81" s="448" t="s">
        <v>55</v>
      </c>
      <c r="I81" s="451">
        <f>SUMIF('Wege im Detail'!$A:$A,"02885",'Wege im Detail'!$P:$P)</f>
        <v>7.9610000000000003</v>
      </c>
      <c r="J81" s="508" t="s">
        <v>293</v>
      </c>
      <c r="K81" s="237"/>
      <c r="L81" s="209">
        <v>20</v>
      </c>
      <c r="M81" s="197">
        <v>85</v>
      </c>
      <c r="N81" s="198">
        <v>1</v>
      </c>
      <c r="O81" s="213">
        <v>14</v>
      </c>
      <c r="P81" s="350">
        <v>0</v>
      </c>
      <c r="Q81" s="226"/>
      <c r="R81" s="262">
        <v>0</v>
      </c>
      <c r="S81" s="111">
        <v>0.35299999999999998</v>
      </c>
      <c r="T81" s="263">
        <v>5.77</v>
      </c>
      <c r="U81" s="111">
        <v>0.188</v>
      </c>
      <c r="V81" s="263">
        <v>0.187</v>
      </c>
      <c r="W81" s="111">
        <v>1.28</v>
      </c>
      <c r="X81" s="263">
        <v>0.191</v>
      </c>
      <c r="Y81" s="264">
        <f t="shared" si="5"/>
        <v>7.9689999999999994</v>
      </c>
      <c r="Z81" s="265"/>
      <c r="AA81" s="266">
        <v>0.621</v>
      </c>
      <c r="AB81" s="267">
        <v>1.45</v>
      </c>
      <c r="AC81" s="266">
        <v>0.191</v>
      </c>
      <c r="AD81" s="292">
        <v>4.24</v>
      </c>
      <c r="AE81" s="267">
        <v>0.36399999999999999</v>
      </c>
      <c r="AF81" s="287">
        <v>1.1100000000000001</v>
      </c>
      <c r="AG81" s="302">
        <v>0</v>
      </c>
      <c r="AH81" s="355">
        <v>0</v>
      </c>
      <c r="AI81" s="301">
        <f t="shared" si="7"/>
        <v>7.9999999999991189E-3</v>
      </c>
      <c r="AJ81" s="401"/>
      <c r="AK81" s="435" t="s">
        <v>50</v>
      </c>
      <c r="AL81" s="425"/>
      <c r="AM81" s="426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</row>
    <row r="82" spans="1:248" s="35" customFormat="1" ht="45" customHeight="1" thickBot="1" x14ac:dyDescent="0.25">
      <c r="A82" s="444">
        <v>2887</v>
      </c>
      <c r="B82" s="445" t="s">
        <v>51</v>
      </c>
      <c r="C82" s="445" t="s">
        <v>91</v>
      </c>
      <c r="D82" s="445"/>
      <c r="E82" s="445">
        <v>46</v>
      </c>
      <c r="F82" s="445"/>
      <c r="G82" s="445"/>
      <c r="H82" s="448" t="s">
        <v>55</v>
      </c>
      <c r="I82" s="451">
        <f>SUMIF('Wege im Detail'!$A:$A,"02887",'Wege im Detail'!$P:$P)</f>
        <v>7.7759999999999998</v>
      </c>
      <c r="J82" s="508" t="s">
        <v>294</v>
      </c>
      <c r="K82" s="237"/>
      <c r="L82" s="209">
        <v>45</v>
      </c>
      <c r="M82" s="197">
        <v>72</v>
      </c>
      <c r="N82" s="198">
        <v>13</v>
      </c>
      <c r="O82" s="213">
        <v>15</v>
      </c>
      <c r="P82" s="350">
        <v>0</v>
      </c>
      <c r="Q82" s="226"/>
      <c r="R82" s="262">
        <v>0</v>
      </c>
      <c r="S82" s="111">
        <v>0.26600000000000001</v>
      </c>
      <c r="T82" s="263">
        <v>2.64</v>
      </c>
      <c r="U82" s="111">
        <v>1.28</v>
      </c>
      <c r="V82" s="263">
        <v>2.2000000000000002</v>
      </c>
      <c r="W82" s="111">
        <v>1.1599999999999999</v>
      </c>
      <c r="X82" s="263">
        <v>0.24199999999999999</v>
      </c>
      <c r="Y82" s="264">
        <f t="shared" si="5"/>
        <v>7.7880000000000003</v>
      </c>
      <c r="Z82" s="265"/>
      <c r="AA82" s="266">
        <v>0.22700000000000001</v>
      </c>
      <c r="AB82" s="267">
        <v>2.6</v>
      </c>
      <c r="AC82" s="266">
        <v>0.191</v>
      </c>
      <c r="AD82" s="292">
        <v>1.35</v>
      </c>
      <c r="AE82" s="267">
        <v>0.57899999999999996</v>
      </c>
      <c r="AF82" s="287">
        <v>2.79</v>
      </c>
      <c r="AG82" s="302">
        <v>0.55549999999999999</v>
      </c>
      <c r="AH82" s="355">
        <v>0</v>
      </c>
      <c r="AI82" s="301">
        <f t="shared" si="7"/>
        <v>1.2000000000000455E-2</v>
      </c>
      <c r="AJ82" s="401"/>
      <c r="AK82" s="435" t="s">
        <v>50</v>
      </c>
      <c r="AL82" s="425"/>
      <c r="AM82" s="426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</row>
    <row r="83" spans="1:248" ht="45" customHeight="1" thickBot="1" x14ac:dyDescent="0.3">
      <c r="A83" s="444">
        <v>2890</v>
      </c>
      <c r="B83" s="445" t="s">
        <v>51</v>
      </c>
      <c r="C83" s="445" t="s">
        <v>91</v>
      </c>
      <c r="D83" s="479"/>
      <c r="E83" s="445">
        <v>49</v>
      </c>
      <c r="F83" s="445"/>
      <c r="G83" s="445"/>
      <c r="H83" s="448" t="s">
        <v>55</v>
      </c>
      <c r="I83" s="451">
        <f>SUMIF('Wege im Detail'!$A:$A,"02890",'Wege im Detail'!$P:$P)</f>
        <v>9.0660000000000007</v>
      </c>
      <c r="J83" s="508" t="s">
        <v>296</v>
      </c>
      <c r="L83" s="209">
        <v>54</v>
      </c>
      <c r="M83" s="197">
        <v>87</v>
      </c>
      <c r="N83" s="198">
        <v>4</v>
      </c>
      <c r="O83" s="213">
        <v>9</v>
      </c>
      <c r="P83" s="350">
        <v>0</v>
      </c>
      <c r="R83" s="275">
        <v>0</v>
      </c>
      <c r="S83" s="276">
        <v>0.59599999999999997</v>
      </c>
      <c r="T83" s="277">
        <v>2.99</v>
      </c>
      <c r="U83" s="276">
        <v>0.99199999999999999</v>
      </c>
      <c r="V83" s="277">
        <v>2.89</v>
      </c>
      <c r="W83" s="276">
        <v>1.26</v>
      </c>
      <c r="X83" s="277">
        <v>0.39200000000000002</v>
      </c>
      <c r="Y83" s="264">
        <f t="shared" si="5"/>
        <v>9.1199999999999992</v>
      </c>
      <c r="Z83" s="279"/>
      <c r="AA83" s="280">
        <v>0.91300000000000003</v>
      </c>
      <c r="AB83" s="281">
        <v>0.996</v>
      </c>
      <c r="AC83" s="280">
        <v>1.29</v>
      </c>
      <c r="AD83" s="294">
        <v>1.45</v>
      </c>
      <c r="AE83" s="281">
        <v>1.19</v>
      </c>
      <c r="AF83" s="288">
        <v>3.27</v>
      </c>
      <c r="AG83" s="303">
        <v>0</v>
      </c>
      <c r="AH83" s="356">
        <v>0</v>
      </c>
      <c r="AI83" s="301">
        <f t="shared" si="7"/>
        <v>5.3999999999998494E-2</v>
      </c>
      <c r="AK83" s="435" t="s">
        <v>50</v>
      </c>
    </row>
    <row r="84" spans="1:248" ht="45" customHeight="1" thickBot="1" x14ac:dyDescent="0.3">
      <c r="A84" s="444">
        <v>2895</v>
      </c>
      <c r="B84" s="445" t="s">
        <v>51</v>
      </c>
      <c r="C84" s="445" t="s">
        <v>91</v>
      </c>
      <c r="D84" s="479"/>
      <c r="E84" s="445">
        <v>53</v>
      </c>
      <c r="F84" s="445"/>
      <c r="G84" s="445"/>
      <c r="H84" s="448" t="s">
        <v>55</v>
      </c>
      <c r="I84" s="451">
        <f>SUMIF('Wege im Detail'!$A:$A,"02895",'Wege im Detail'!$P:$P)</f>
        <v>8.3719999999999999</v>
      </c>
      <c r="J84" s="508" t="s">
        <v>297</v>
      </c>
      <c r="L84" s="209">
        <v>12</v>
      </c>
      <c r="M84" s="197">
        <v>88</v>
      </c>
      <c r="N84" s="198">
        <v>0</v>
      </c>
      <c r="O84" s="213">
        <v>12</v>
      </c>
      <c r="P84" s="350">
        <v>0</v>
      </c>
      <c r="R84" s="275">
        <v>0</v>
      </c>
      <c r="S84" s="276">
        <v>0</v>
      </c>
      <c r="T84" s="277">
        <v>6.64</v>
      </c>
      <c r="U84" s="276">
        <v>0.72599999999999998</v>
      </c>
      <c r="V84" s="277">
        <v>0</v>
      </c>
      <c r="W84" s="276">
        <v>1.04</v>
      </c>
      <c r="X84" s="277">
        <v>0</v>
      </c>
      <c r="Y84" s="264">
        <f t="shared" si="5"/>
        <v>8.4059999999999988</v>
      </c>
      <c r="Z84" s="279"/>
      <c r="AA84" s="280">
        <v>0.13</v>
      </c>
      <c r="AB84" s="281">
        <v>2.5299999999999998</v>
      </c>
      <c r="AC84" s="280">
        <v>2.72</v>
      </c>
      <c r="AD84" s="294">
        <v>1.98</v>
      </c>
      <c r="AE84" s="281">
        <v>0</v>
      </c>
      <c r="AF84" s="288">
        <v>1.04</v>
      </c>
      <c r="AG84" s="303">
        <v>0</v>
      </c>
      <c r="AH84" s="356">
        <v>0</v>
      </c>
      <c r="AI84" s="301">
        <f t="shared" si="7"/>
        <v>3.399999999999892E-2</v>
      </c>
      <c r="AK84" s="435" t="s">
        <v>50</v>
      </c>
    </row>
    <row r="85" spans="1:248" ht="45" customHeight="1" thickBot="1" x14ac:dyDescent="0.25">
      <c r="A85" s="444">
        <v>2896</v>
      </c>
      <c r="B85" s="445" t="s">
        <v>51</v>
      </c>
      <c r="C85" s="445" t="s">
        <v>91</v>
      </c>
      <c r="D85" s="445"/>
      <c r="E85" s="445">
        <v>54</v>
      </c>
      <c r="F85" s="445"/>
      <c r="G85" s="445"/>
      <c r="H85" s="448" t="s">
        <v>55</v>
      </c>
      <c r="I85" s="451">
        <f>SUMIF('Wege im Detail'!$A:$A,"02896",'Wege im Detail'!$P:$P)</f>
        <v>8.8830000000000009</v>
      </c>
      <c r="J85" s="508" t="s">
        <v>300</v>
      </c>
      <c r="L85" s="209">
        <v>23</v>
      </c>
      <c r="M85" s="197">
        <v>93</v>
      </c>
      <c r="N85" s="198">
        <v>3</v>
      </c>
      <c r="O85" s="213">
        <v>4</v>
      </c>
      <c r="P85" s="350">
        <v>0</v>
      </c>
      <c r="R85" s="275">
        <v>0</v>
      </c>
      <c r="S85" s="276">
        <v>1.29</v>
      </c>
      <c r="T85" s="277">
        <v>4.08</v>
      </c>
      <c r="U85" s="276">
        <v>1.24</v>
      </c>
      <c r="V85" s="277">
        <v>1.7</v>
      </c>
      <c r="W85" s="276">
        <v>0.311</v>
      </c>
      <c r="X85" s="277">
        <v>0.311</v>
      </c>
      <c r="Y85" s="264">
        <f t="shared" si="5"/>
        <v>8.9320000000000004</v>
      </c>
      <c r="Z85" s="282"/>
      <c r="AA85" s="280">
        <v>1.1299999999999999</v>
      </c>
      <c r="AB85" s="281">
        <v>4.34</v>
      </c>
      <c r="AC85" s="280">
        <v>0.41899999999999998</v>
      </c>
      <c r="AD85" s="294">
        <v>0.92800000000000005</v>
      </c>
      <c r="AE85" s="281">
        <v>1.79</v>
      </c>
      <c r="AF85" s="288">
        <v>0.32700000000000001</v>
      </c>
      <c r="AG85" s="303">
        <v>0</v>
      </c>
      <c r="AH85" s="356">
        <v>0</v>
      </c>
      <c r="AI85" s="301">
        <f t="shared" si="7"/>
        <v>4.8999999999999488E-2</v>
      </c>
      <c r="AJ85" s="187"/>
      <c r="AK85" s="435" t="s">
        <v>50</v>
      </c>
      <c r="AL85" s="427"/>
      <c r="AM85" s="428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</row>
    <row r="86" spans="1:248" ht="45" customHeight="1" thickBot="1" x14ac:dyDescent="0.3">
      <c r="A86" s="444">
        <v>2899</v>
      </c>
      <c r="B86" s="445" t="s">
        <v>51</v>
      </c>
      <c r="C86" s="445" t="s">
        <v>91</v>
      </c>
      <c r="D86" s="445"/>
      <c r="E86" s="445">
        <v>52</v>
      </c>
      <c r="F86" s="445"/>
      <c r="G86" s="445"/>
      <c r="H86" s="448" t="s">
        <v>55</v>
      </c>
      <c r="I86" s="451">
        <f>SUMIF('Wege im Detail'!$A:$A,"02899",'Wege im Detail'!$P:$P)</f>
        <v>3.3039999999999998</v>
      </c>
      <c r="J86" s="508" t="s">
        <v>301</v>
      </c>
      <c r="L86" s="209">
        <v>0</v>
      </c>
      <c r="M86" s="197">
        <v>100</v>
      </c>
      <c r="N86" s="198">
        <v>0</v>
      </c>
      <c r="O86" s="213">
        <v>0</v>
      </c>
      <c r="P86" s="350">
        <v>0</v>
      </c>
      <c r="Q86" s="226">
        <v>0</v>
      </c>
      <c r="R86" s="275">
        <v>0</v>
      </c>
      <c r="S86" s="276">
        <v>0.97</v>
      </c>
      <c r="T86" s="277">
        <v>1.6919999999999999</v>
      </c>
      <c r="U86" s="276">
        <v>0.57799999999999996</v>
      </c>
      <c r="V86" s="277">
        <v>0</v>
      </c>
      <c r="W86" s="276">
        <v>0</v>
      </c>
      <c r="X86" s="277">
        <v>0</v>
      </c>
      <c r="Y86" s="264">
        <f t="shared" si="5"/>
        <v>3.2399999999999998</v>
      </c>
      <c r="Z86" s="279"/>
      <c r="AA86" s="280">
        <v>0.53600000000000003</v>
      </c>
      <c r="AB86" s="281">
        <v>1.8879999999999999</v>
      </c>
      <c r="AC86" s="280">
        <v>0.8</v>
      </c>
      <c r="AD86" s="294">
        <v>0</v>
      </c>
      <c r="AE86" s="281">
        <v>0</v>
      </c>
      <c r="AF86" s="288">
        <v>0</v>
      </c>
      <c r="AG86" s="303">
        <v>0</v>
      </c>
      <c r="AH86" s="356">
        <v>0</v>
      </c>
      <c r="AI86" s="301">
        <f t="shared" si="7"/>
        <v>-6.4000000000000057E-2</v>
      </c>
      <c r="AK86" s="435" t="s">
        <v>50</v>
      </c>
    </row>
    <row r="87" spans="1:248" ht="45" customHeight="1" thickBot="1" x14ac:dyDescent="0.3">
      <c r="A87" s="444">
        <v>2913</v>
      </c>
      <c r="B87" s="445" t="s">
        <v>51</v>
      </c>
      <c r="C87" s="445" t="s">
        <v>91</v>
      </c>
      <c r="D87" s="479"/>
      <c r="E87" s="445">
        <v>55</v>
      </c>
      <c r="F87" s="445"/>
      <c r="G87" s="445"/>
      <c r="H87" s="448" t="s">
        <v>55</v>
      </c>
      <c r="I87" s="451">
        <f>SUMIF('Wege im Detail'!$A:$A,"02913",'Wege im Detail'!$P:$P)</f>
        <v>5.8980000000000006</v>
      </c>
      <c r="J87" s="508" t="s">
        <v>302</v>
      </c>
      <c r="L87" s="209">
        <v>28</v>
      </c>
      <c r="M87" s="197">
        <v>76</v>
      </c>
      <c r="N87" s="198">
        <v>0</v>
      </c>
      <c r="O87" s="213">
        <v>24</v>
      </c>
      <c r="P87" s="350">
        <v>0</v>
      </c>
      <c r="R87" s="275">
        <v>0.88200000000000001</v>
      </c>
      <c r="S87" s="276">
        <v>0.55549999999999999</v>
      </c>
      <c r="T87" s="277">
        <v>3.27</v>
      </c>
      <c r="U87" s="276">
        <v>0.55549999999999999</v>
      </c>
      <c r="V87" s="277">
        <v>0.186</v>
      </c>
      <c r="W87" s="276">
        <v>1.4</v>
      </c>
      <c r="X87" s="277">
        <v>0</v>
      </c>
      <c r="Y87" s="264">
        <f t="shared" si="5"/>
        <v>6.8490000000000002</v>
      </c>
      <c r="Z87" s="279"/>
      <c r="AA87" s="280">
        <v>0.88200000000000001</v>
      </c>
      <c r="AB87" s="281">
        <v>2.2200000000000002</v>
      </c>
      <c r="AC87" s="280">
        <v>0.55549999999999999</v>
      </c>
      <c r="AD87" s="294">
        <v>1.1100000000000001</v>
      </c>
      <c r="AE87" s="281">
        <v>0.186</v>
      </c>
      <c r="AF87" s="288">
        <v>1.4</v>
      </c>
      <c r="AG87" s="303">
        <v>0</v>
      </c>
      <c r="AH87" s="356">
        <v>0</v>
      </c>
      <c r="AI87" s="301">
        <f t="shared" si="7"/>
        <v>0.95099999999999962</v>
      </c>
      <c r="AK87" s="435" t="s">
        <v>50</v>
      </c>
    </row>
    <row r="88" spans="1:248" ht="45" customHeight="1" thickBot="1" x14ac:dyDescent="0.3">
      <c r="A88" s="444">
        <v>2917</v>
      </c>
      <c r="B88" s="445" t="s">
        <v>51</v>
      </c>
      <c r="C88" s="445" t="s">
        <v>91</v>
      </c>
      <c r="D88" s="445"/>
      <c r="E88" s="445">
        <v>56</v>
      </c>
      <c r="F88" s="445"/>
      <c r="G88" s="445"/>
      <c r="H88" s="448" t="s">
        <v>55</v>
      </c>
      <c r="I88" s="451">
        <f>SUMIF('Wege im Detail'!$A:$A,"02917",'Wege im Detail'!$P:$P)</f>
        <v>11.577999999999999</v>
      </c>
      <c r="J88" s="508" t="s">
        <v>304</v>
      </c>
      <c r="L88" s="209">
        <v>19</v>
      </c>
      <c r="M88" s="197">
        <v>95</v>
      </c>
      <c r="N88" s="198">
        <v>1</v>
      </c>
      <c r="O88" s="213">
        <v>4</v>
      </c>
      <c r="P88" s="350">
        <v>0</v>
      </c>
      <c r="R88" s="275">
        <v>0</v>
      </c>
      <c r="S88" s="276">
        <v>0.55549999999999999</v>
      </c>
      <c r="T88" s="277">
        <v>4.58</v>
      </c>
      <c r="U88" s="276">
        <v>4.78</v>
      </c>
      <c r="V88" s="277">
        <v>1.68</v>
      </c>
      <c r="W88" s="276">
        <v>0.61499999999999999</v>
      </c>
      <c r="X88" s="277">
        <v>0.13400000000000001</v>
      </c>
      <c r="Y88" s="264">
        <f t="shared" si="5"/>
        <v>12.344500000000002</v>
      </c>
      <c r="Z88" s="279"/>
      <c r="AA88" s="280">
        <v>2.15</v>
      </c>
      <c r="AB88" s="281">
        <v>1.49</v>
      </c>
      <c r="AC88" s="280">
        <v>0.31</v>
      </c>
      <c r="AD88" s="294">
        <v>5.46</v>
      </c>
      <c r="AE88" s="281">
        <v>1.24</v>
      </c>
      <c r="AF88" s="288">
        <v>1.19</v>
      </c>
      <c r="AG88" s="303">
        <v>0</v>
      </c>
      <c r="AH88" s="356">
        <v>0</v>
      </c>
      <c r="AI88" s="301">
        <f t="shared" si="7"/>
        <v>0.7665000000000024</v>
      </c>
      <c r="AK88" s="435" t="s">
        <v>50</v>
      </c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  <c r="HH88" s="180"/>
      <c r="HI88" s="180"/>
      <c r="HJ88" s="180"/>
      <c r="HK88" s="180"/>
      <c r="HL88" s="180"/>
      <c r="HM88" s="180"/>
      <c r="HN88" s="180"/>
      <c r="HO88" s="180"/>
      <c r="HP88" s="180"/>
      <c r="HQ88" s="180"/>
      <c r="HR88" s="180"/>
      <c r="HS88" s="180"/>
      <c r="HT88" s="180"/>
      <c r="HU88" s="180"/>
      <c r="HV88" s="180"/>
      <c r="HW88" s="180"/>
      <c r="HX88" s="180"/>
      <c r="HY88" s="180"/>
      <c r="HZ88" s="180"/>
      <c r="IA88" s="180"/>
      <c r="IB88" s="180"/>
      <c r="IC88" s="180"/>
      <c r="ID88" s="180"/>
      <c r="IE88" s="180"/>
      <c r="IF88" s="180"/>
      <c r="IG88" s="180"/>
      <c r="IH88" s="180"/>
      <c r="II88" s="180"/>
      <c r="IJ88" s="180"/>
      <c r="IK88" s="180"/>
      <c r="IL88" s="180"/>
      <c r="IM88" s="180"/>
      <c r="IN88" s="180"/>
    </row>
    <row r="89" spans="1:248" ht="45" customHeight="1" thickBot="1" x14ac:dyDescent="0.3">
      <c r="A89" s="444">
        <v>2971</v>
      </c>
      <c r="B89" s="445" t="s">
        <v>51</v>
      </c>
      <c r="C89" s="445" t="s">
        <v>52</v>
      </c>
      <c r="D89" s="445"/>
      <c r="E89" s="445">
        <v>4</v>
      </c>
      <c r="F89" s="445" t="s">
        <v>306</v>
      </c>
      <c r="G89" s="445"/>
      <c r="H89" s="448" t="s">
        <v>55</v>
      </c>
      <c r="I89" s="451">
        <f>SUMIF('Wege im Detail'!$A:$A,"02971",'Wege im Detail'!$P:$P)</f>
        <v>75.032999999999987</v>
      </c>
      <c r="J89" s="508" t="s">
        <v>308</v>
      </c>
      <c r="L89" s="374">
        <v>42</v>
      </c>
      <c r="M89" s="197">
        <v>90</v>
      </c>
      <c r="N89" s="198" t="s">
        <v>309</v>
      </c>
      <c r="O89" s="213">
        <v>2</v>
      </c>
      <c r="P89" s="350">
        <v>0</v>
      </c>
      <c r="R89" s="275">
        <v>0</v>
      </c>
      <c r="S89" s="276">
        <v>5.26</v>
      </c>
      <c r="T89" s="277">
        <v>30.1</v>
      </c>
      <c r="U89" s="276">
        <v>7.51</v>
      </c>
      <c r="V89" s="277">
        <v>15.8</v>
      </c>
      <c r="W89" s="276">
        <v>13.5</v>
      </c>
      <c r="X89" s="277">
        <v>2.83</v>
      </c>
      <c r="Y89" s="278">
        <f t="shared" si="5"/>
        <v>75</v>
      </c>
      <c r="Z89" s="279"/>
      <c r="AA89" s="280">
        <v>6.01</v>
      </c>
      <c r="AB89" s="281">
        <v>66.099999999999994</v>
      </c>
      <c r="AC89" s="280">
        <v>0.751</v>
      </c>
      <c r="AD89" s="294">
        <v>0</v>
      </c>
      <c r="AE89" s="281">
        <v>1.5</v>
      </c>
      <c r="AF89" s="288">
        <v>0.751</v>
      </c>
      <c r="AG89" s="303">
        <v>0</v>
      </c>
      <c r="AH89" s="356">
        <v>0</v>
      </c>
      <c r="AI89" s="301">
        <f t="shared" si="7"/>
        <v>-3.299999999998704E-2</v>
      </c>
      <c r="AJ89" s="187"/>
      <c r="AK89" s="435" t="s">
        <v>50</v>
      </c>
      <c r="AL89" s="427"/>
      <c r="AM89" s="428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</row>
    <row r="90" spans="1:248" s="180" customFormat="1" ht="45" customHeight="1" thickBot="1" x14ac:dyDescent="0.25">
      <c r="A90" s="444">
        <v>2977</v>
      </c>
      <c r="B90" s="445" t="s">
        <v>84</v>
      </c>
      <c r="C90" s="455" t="s">
        <v>85</v>
      </c>
      <c r="D90" s="445"/>
      <c r="E90" s="445" t="s">
        <v>310</v>
      </c>
      <c r="F90" s="445" t="s">
        <v>311</v>
      </c>
      <c r="G90" s="445"/>
      <c r="H90" s="448" t="s">
        <v>55</v>
      </c>
      <c r="I90" s="451">
        <f>SUMIF('Wege im Detail'!$A:$A,"02977",'Wege im Detail'!$P:$P)</f>
        <v>8.3309999999999995</v>
      </c>
      <c r="J90" s="508" t="s">
        <v>312</v>
      </c>
      <c r="K90" s="237"/>
      <c r="L90" s="209">
        <v>17</v>
      </c>
      <c r="M90" s="197">
        <v>100</v>
      </c>
      <c r="N90" s="198">
        <v>0</v>
      </c>
      <c r="O90" s="213">
        <v>0</v>
      </c>
      <c r="P90" s="350">
        <v>0</v>
      </c>
      <c r="Q90" s="226"/>
      <c r="R90" s="277">
        <v>0</v>
      </c>
      <c r="S90" s="283">
        <v>1.1499999999999999</v>
      </c>
      <c r="T90" s="277">
        <v>5.34</v>
      </c>
      <c r="U90" s="276">
        <v>0</v>
      </c>
      <c r="V90" s="277">
        <v>1.41</v>
      </c>
      <c r="W90" s="276">
        <v>0</v>
      </c>
      <c r="X90" s="277">
        <v>0.38700000000000001</v>
      </c>
      <c r="Y90" s="264">
        <f t="shared" si="5"/>
        <v>8.2870000000000008</v>
      </c>
      <c r="Z90" s="282"/>
      <c r="AA90" s="280">
        <v>0.55549999999999999</v>
      </c>
      <c r="AB90" s="281">
        <v>1.47</v>
      </c>
      <c r="AC90" s="280">
        <v>2.52</v>
      </c>
      <c r="AD90" s="294">
        <v>2.76</v>
      </c>
      <c r="AE90" s="281">
        <v>0.187</v>
      </c>
      <c r="AF90" s="288">
        <v>0.91100000000000003</v>
      </c>
      <c r="AG90" s="303">
        <v>0</v>
      </c>
      <c r="AH90" s="356">
        <v>0.38700000000000001</v>
      </c>
      <c r="AI90" s="301">
        <f t="shared" si="7"/>
        <v>-4.3999999999998707E-2</v>
      </c>
      <c r="AJ90" s="187"/>
      <c r="AK90" s="435" t="s">
        <v>50</v>
      </c>
      <c r="AL90" s="427"/>
      <c r="AM90" s="428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</row>
    <row r="91" spans="1:248" ht="45" customHeight="1" thickBot="1" x14ac:dyDescent="0.25">
      <c r="A91" s="444">
        <v>2979</v>
      </c>
      <c r="B91" s="445" t="s">
        <v>84</v>
      </c>
      <c r="C91" s="455" t="s">
        <v>85</v>
      </c>
      <c r="D91" s="445"/>
      <c r="E91" s="445" t="s">
        <v>313</v>
      </c>
      <c r="F91" s="445" t="s">
        <v>314</v>
      </c>
      <c r="G91" s="445"/>
      <c r="H91" s="448" t="s">
        <v>55</v>
      </c>
      <c r="I91" s="451">
        <f>SUMIF('Wege im Detail'!$A:$A,"02979",'Wege im Detail'!$P:$P)</f>
        <v>6.0780000000000003</v>
      </c>
      <c r="J91" s="508" t="s">
        <v>315</v>
      </c>
      <c r="L91" s="209">
        <v>34</v>
      </c>
      <c r="M91" s="197">
        <v>99</v>
      </c>
      <c r="N91" s="198">
        <v>0</v>
      </c>
      <c r="O91" s="213">
        <v>1</v>
      </c>
      <c r="P91" s="350">
        <v>0</v>
      </c>
      <c r="R91" s="277">
        <v>0</v>
      </c>
      <c r="S91" s="283">
        <v>0.93500000000000005</v>
      </c>
      <c r="T91" s="277">
        <v>2.39</v>
      </c>
      <c r="U91" s="276">
        <v>1.04</v>
      </c>
      <c r="V91" s="277">
        <v>0.76700000000000002</v>
      </c>
      <c r="W91" s="276">
        <v>0.40400000000000003</v>
      </c>
      <c r="X91" s="277">
        <v>0.56200000000000006</v>
      </c>
      <c r="Y91" s="264">
        <f t="shared" si="5"/>
        <v>6.0980000000000008</v>
      </c>
      <c r="Z91" s="282"/>
      <c r="AA91" s="280">
        <v>1.08</v>
      </c>
      <c r="AB91" s="281">
        <v>1.36</v>
      </c>
      <c r="AC91" s="280">
        <v>0.41899999999999998</v>
      </c>
      <c r="AD91" s="294">
        <v>1.51</v>
      </c>
      <c r="AE91" s="281">
        <v>0.64300000000000002</v>
      </c>
      <c r="AF91" s="288">
        <v>1.0900000000000001</v>
      </c>
      <c r="AG91" s="303">
        <v>0</v>
      </c>
      <c r="AH91" s="356">
        <v>0</v>
      </c>
      <c r="AI91" s="301">
        <f t="shared" si="7"/>
        <v>2.0000000000000462E-2</v>
      </c>
      <c r="AJ91" s="187"/>
      <c r="AK91" s="435" t="s">
        <v>50</v>
      </c>
      <c r="AL91" s="427"/>
      <c r="AM91" s="428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</row>
    <row r="92" spans="1:248" ht="45" customHeight="1" thickBot="1" x14ac:dyDescent="0.3">
      <c r="A92" s="444">
        <v>2980</v>
      </c>
      <c r="B92" s="445" t="s">
        <v>84</v>
      </c>
      <c r="C92" s="455" t="s">
        <v>85</v>
      </c>
      <c r="D92" s="445"/>
      <c r="E92" s="445" t="s">
        <v>317</v>
      </c>
      <c r="F92" s="445" t="s">
        <v>318</v>
      </c>
      <c r="G92" s="445"/>
      <c r="H92" s="448" t="s">
        <v>55</v>
      </c>
      <c r="I92" s="451">
        <f>SUMIF('Wege im Detail'!$A:$A,"02980",'Wege im Detail'!$P:$P)</f>
        <v>6.7220000000000004</v>
      </c>
      <c r="J92" s="508" t="s">
        <v>319</v>
      </c>
      <c r="L92" s="209">
        <v>13</v>
      </c>
      <c r="M92" s="197">
        <v>99</v>
      </c>
      <c r="N92" s="198">
        <v>0</v>
      </c>
      <c r="O92" s="213">
        <v>1</v>
      </c>
      <c r="P92" s="350">
        <v>0</v>
      </c>
      <c r="R92" s="275">
        <v>0</v>
      </c>
      <c r="S92" s="276">
        <v>1.18</v>
      </c>
      <c r="T92" s="277">
        <v>4.3</v>
      </c>
      <c r="U92" s="276">
        <v>0.25600000000000001</v>
      </c>
      <c r="V92" s="277">
        <v>0.753</v>
      </c>
      <c r="W92" s="276">
        <v>0.55549999999999999</v>
      </c>
      <c r="X92" s="277">
        <v>0.23799999999999999</v>
      </c>
      <c r="Y92" s="264">
        <f t="shared" si="5"/>
        <v>7.2825000000000006</v>
      </c>
      <c r="Z92" s="279"/>
      <c r="AA92" s="280">
        <v>2.95</v>
      </c>
      <c r="AB92" s="281">
        <v>2.4900000000000002</v>
      </c>
      <c r="AC92" s="280">
        <v>0</v>
      </c>
      <c r="AD92" s="294">
        <v>0.30099999999999999</v>
      </c>
      <c r="AE92" s="281">
        <v>0.23799999999999999</v>
      </c>
      <c r="AF92" s="288">
        <v>0.78500000000000003</v>
      </c>
      <c r="AG92" s="303">
        <v>0</v>
      </c>
      <c r="AH92" s="356">
        <v>0</v>
      </c>
      <c r="AI92" s="301">
        <f t="shared" si="7"/>
        <v>0.56050000000000022</v>
      </c>
      <c r="AK92" s="435" t="s">
        <v>50</v>
      </c>
    </row>
    <row r="93" spans="1:248" ht="45" customHeight="1" thickBot="1" x14ac:dyDescent="0.25">
      <c r="A93" s="444">
        <v>2982</v>
      </c>
      <c r="B93" s="445" t="s">
        <v>84</v>
      </c>
      <c r="C93" s="515" t="s">
        <v>320</v>
      </c>
      <c r="D93" s="445"/>
      <c r="E93" s="445" t="s">
        <v>322</v>
      </c>
      <c r="F93" s="445" t="s">
        <v>323</v>
      </c>
      <c r="G93" s="445"/>
      <c r="H93" s="448" t="s">
        <v>55</v>
      </c>
      <c r="I93" s="451">
        <f>SUMIF('Wege im Detail'!$A:$A,"02982",'Wege im Detail'!$P:$P)</f>
        <v>7.4969999999999999</v>
      </c>
      <c r="J93" s="508" t="s">
        <v>324</v>
      </c>
      <c r="L93" s="209">
        <v>10</v>
      </c>
      <c r="M93" s="197">
        <v>100</v>
      </c>
      <c r="N93" s="198">
        <v>0</v>
      </c>
      <c r="O93" s="213">
        <v>0</v>
      </c>
      <c r="P93" s="350">
        <v>0</v>
      </c>
      <c r="R93" s="275">
        <v>0</v>
      </c>
      <c r="S93" s="276">
        <v>1.17</v>
      </c>
      <c r="T93" s="277">
        <v>2.92</v>
      </c>
      <c r="U93" s="276">
        <v>1.57</v>
      </c>
      <c r="V93" s="277">
        <v>0.13900000000000001</v>
      </c>
      <c r="W93" s="276">
        <v>1.04</v>
      </c>
      <c r="X93" s="277">
        <v>0.71799999999999997</v>
      </c>
      <c r="Y93" s="264">
        <f t="shared" ref="Y93:Y156" si="8">SUM(R93:X93)</f>
        <v>7.5570000000000004</v>
      </c>
      <c r="Z93" s="282"/>
      <c r="AA93" s="280">
        <v>4.22</v>
      </c>
      <c r="AB93" s="281">
        <v>1.06</v>
      </c>
      <c r="AC93" s="280">
        <v>1.29</v>
      </c>
      <c r="AD93" s="294">
        <v>0</v>
      </c>
      <c r="AE93" s="281">
        <v>0.35599999999999998</v>
      </c>
      <c r="AF93" s="288">
        <v>0.13900000000000001</v>
      </c>
      <c r="AG93" s="303">
        <v>0</v>
      </c>
      <c r="AH93" s="356">
        <v>0.495</v>
      </c>
      <c r="AI93" s="301">
        <f t="shared" si="7"/>
        <v>6.0000000000000497E-2</v>
      </c>
      <c r="AJ93" s="187"/>
      <c r="AK93" s="435" t="s">
        <v>50</v>
      </c>
      <c r="AL93" s="427"/>
      <c r="AM93" s="428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</row>
    <row r="94" spans="1:248" ht="45" customHeight="1" thickBot="1" x14ac:dyDescent="0.3">
      <c r="A94" s="438">
        <v>2985</v>
      </c>
      <c r="B94" s="445" t="s">
        <v>84</v>
      </c>
      <c r="C94" s="515" t="s">
        <v>320</v>
      </c>
      <c r="D94" s="445"/>
      <c r="E94" s="445" t="s">
        <v>326</v>
      </c>
      <c r="F94" s="445" t="s">
        <v>327</v>
      </c>
      <c r="G94" s="445"/>
      <c r="H94" s="448" t="s">
        <v>55</v>
      </c>
      <c r="I94" s="451">
        <f>SUMIF('Wege im Detail'!$A:$A,"02985",'Wege im Detail'!$P:$P)</f>
        <v>6.5869999999999997</v>
      </c>
      <c r="J94" s="508" t="s">
        <v>328</v>
      </c>
      <c r="L94" s="209">
        <v>4</v>
      </c>
      <c r="M94" s="197">
        <v>100</v>
      </c>
      <c r="N94" s="198">
        <v>0</v>
      </c>
      <c r="O94" s="213">
        <v>0</v>
      </c>
      <c r="P94" s="350">
        <v>0</v>
      </c>
      <c r="Q94" s="226">
        <v>0</v>
      </c>
      <c r="R94" s="275">
        <v>0</v>
      </c>
      <c r="S94" s="276">
        <v>0</v>
      </c>
      <c r="T94" s="277">
        <v>2.48</v>
      </c>
      <c r="U94" s="276">
        <v>3.51</v>
      </c>
      <c r="V94" s="277">
        <v>0.38100000000000001</v>
      </c>
      <c r="W94" s="276">
        <v>0</v>
      </c>
      <c r="X94" s="277">
        <v>0.218</v>
      </c>
      <c r="Y94" s="264">
        <f t="shared" si="8"/>
        <v>6.5890000000000004</v>
      </c>
      <c r="Z94" s="279"/>
      <c r="AA94" s="280">
        <v>0</v>
      </c>
      <c r="AB94" s="281">
        <v>1.94</v>
      </c>
      <c r="AC94" s="280">
        <v>2.76</v>
      </c>
      <c r="AD94" s="294">
        <v>1.23</v>
      </c>
      <c r="AE94" s="281">
        <v>0.42899999999999999</v>
      </c>
      <c r="AF94" s="288">
        <v>0</v>
      </c>
      <c r="AG94" s="303">
        <v>0</v>
      </c>
      <c r="AH94" s="356">
        <v>0.218</v>
      </c>
      <c r="AI94" s="301">
        <f t="shared" si="7"/>
        <v>2.0000000000006679E-3</v>
      </c>
      <c r="AK94" s="435" t="s">
        <v>50</v>
      </c>
    </row>
    <row r="95" spans="1:248" ht="45" customHeight="1" thickBot="1" x14ac:dyDescent="0.3">
      <c r="A95" s="444">
        <v>2987</v>
      </c>
      <c r="B95" s="445" t="s">
        <v>84</v>
      </c>
      <c r="C95" s="515" t="s">
        <v>320</v>
      </c>
      <c r="D95" s="479"/>
      <c r="E95" s="445" t="s">
        <v>329</v>
      </c>
      <c r="F95" s="445" t="s">
        <v>330</v>
      </c>
      <c r="G95" s="445"/>
      <c r="H95" s="448" t="s">
        <v>55</v>
      </c>
      <c r="I95" s="451">
        <f>SUMIF('Wege im Detail'!$A:$A,"02987",'Wege im Detail'!$P:$P)</f>
        <v>4.4640000000000004</v>
      </c>
      <c r="J95" s="508" t="s">
        <v>331</v>
      </c>
      <c r="L95" s="209">
        <v>57</v>
      </c>
      <c r="M95" s="197">
        <v>76</v>
      </c>
      <c r="N95" s="198">
        <v>0</v>
      </c>
      <c r="O95" s="213">
        <v>24</v>
      </c>
      <c r="P95" s="350">
        <v>0</v>
      </c>
      <c r="R95" s="275">
        <v>0.34300000000000003</v>
      </c>
      <c r="S95" s="276">
        <v>0</v>
      </c>
      <c r="T95" s="277">
        <v>1.75</v>
      </c>
      <c r="U95" s="276">
        <v>0</v>
      </c>
      <c r="V95" s="277">
        <v>1.24</v>
      </c>
      <c r="W95" s="276">
        <v>0.97399999999999998</v>
      </c>
      <c r="X95" s="277">
        <v>0.246</v>
      </c>
      <c r="Y95" s="264">
        <f t="shared" si="8"/>
        <v>4.5530000000000008</v>
      </c>
      <c r="Z95" s="279"/>
      <c r="AA95" s="280">
        <v>0.40400000000000003</v>
      </c>
      <c r="AB95" s="281">
        <v>1.1299999999999999</v>
      </c>
      <c r="AC95" s="280">
        <v>0.155</v>
      </c>
      <c r="AD95" s="294">
        <v>0.48099999999999998</v>
      </c>
      <c r="AE95" s="281">
        <v>0.58099999999999996</v>
      </c>
      <c r="AF95" s="288">
        <v>1.8</v>
      </c>
      <c r="AG95" s="303">
        <v>0</v>
      </c>
      <c r="AH95" s="356">
        <v>0</v>
      </c>
      <c r="AI95" s="301">
        <f t="shared" si="7"/>
        <v>8.9000000000000412E-2</v>
      </c>
      <c r="AK95" s="435" t="s">
        <v>50</v>
      </c>
    </row>
    <row r="96" spans="1:248" ht="45" customHeight="1" thickBot="1" x14ac:dyDescent="0.3">
      <c r="A96" s="444">
        <v>2988</v>
      </c>
      <c r="B96" s="445" t="s">
        <v>84</v>
      </c>
      <c r="C96" s="455" t="s">
        <v>85</v>
      </c>
      <c r="D96" s="445"/>
      <c r="E96" s="445" t="s">
        <v>333</v>
      </c>
      <c r="F96" s="445" t="s">
        <v>88</v>
      </c>
      <c r="G96" s="445"/>
      <c r="H96" s="448" t="s">
        <v>55</v>
      </c>
      <c r="I96" s="451">
        <f>SUMIF('Wege im Detail'!$A:$A,"02988",'Wege im Detail'!$P:$P)</f>
        <v>4.8390000000000004</v>
      </c>
      <c r="J96" s="508" t="s">
        <v>334</v>
      </c>
      <c r="L96" s="209">
        <v>49</v>
      </c>
      <c r="M96" s="197">
        <v>78</v>
      </c>
      <c r="N96" s="198">
        <v>0</v>
      </c>
      <c r="O96" s="213">
        <v>22</v>
      </c>
      <c r="P96" s="350">
        <v>0</v>
      </c>
      <c r="R96" s="275">
        <v>0</v>
      </c>
      <c r="S96" s="276">
        <v>0</v>
      </c>
      <c r="T96" s="277">
        <v>2.31</v>
      </c>
      <c r="U96" s="276">
        <v>0.14000000000000001</v>
      </c>
      <c r="V96" s="277">
        <v>1.1819999999999999</v>
      </c>
      <c r="W96" s="276">
        <v>1.36</v>
      </c>
      <c r="X96" s="277">
        <v>0.189</v>
      </c>
      <c r="Y96" s="264">
        <f t="shared" si="8"/>
        <v>5.181</v>
      </c>
      <c r="Z96" s="279"/>
      <c r="AA96" s="280">
        <v>0.26500000000000001</v>
      </c>
      <c r="AB96" s="281">
        <v>2.109</v>
      </c>
      <c r="AC96" s="280">
        <v>0.14199999999999999</v>
      </c>
      <c r="AD96" s="294">
        <v>0.161</v>
      </c>
      <c r="AE96" s="281">
        <v>0.79300000000000004</v>
      </c>
      <c r="AF96" s="288">
        <v>1.6639999999999999</v>
      </c>
      <c r="AG96" s="303">
        <v>0</v>
      </c>
      <c r="AH96" s="356">
        <v>0.55549999999999999</v>
      </c>
      <c r="AI96" s="301">
        <f t="shared" si="7"/>
        <v>0.34199999999999964</v>
      </c>
      <c r="AK96" s="435" t="s">
        <v>50</v>
      </c>
    </row>
    <row r="97" spans="1:248" ht="45" customHeight="1" thickBot="1" x14ac:dyDescent="0.25">
      <c r="A97" s="444">
        <v>2989</v>
      </c>
      <c r="B97" s="445" t="s">
        <v>84</v>
      </c>
      <c r="C97" s="455" t="s">
        <v>85</v>
      </c>
      <c r="D97" s="445"/>
      <c r="E97" s="445" t="s">
        <v>335</v>
      </c>
      <c r="F97" s="445" t="s">
        <v>142</v>
      </c>
      <c r="G97" s="445"/>
      <c r="H97" s="448" t="s">
        <v>55</v>
      </c>
      <c r="I97" s="451">
        <f>SUMIF('Wege im Detail'!$A:$A,"02989",'Wege im Detail'!$P:$P)</f>
        <v>5.0359999999999996</v>
      </c>
      <c r="J97" s="508" t="s">
        <v>336</v>
      </c>
      <c r="L97" s="209">
        <v>53</v>
      </c>
      <c r="M97" s="197">
        <v>98</v>
      </c>
      <c r="N97" s="198">
        <v>0</v>
      </c>
      <c r="O97" s="213">
        <v>2</v>
      </c>
      <c r="P97" s="350">
        <v>0</v>
      </c>
      <c r="R97" s="275">
        <v>0</v>
      </c>
      <c r="S97" s="276">
        <v>0</v>
      </c>
      <c r="T97" s="277">
        <v>2.39</v>
      </c>
      <c r="U97" s="276">
        <v>0</v>
      </c>
      <c r="V97" s="277">
        <v>2.54</v>
      </c>
      <c r="W97" s="276">
        <v>0.123</v>
      </c>
      <c r="X97" s="277">
        <v>0</v>
      </c>
      <c r="Y97" s="264">
        <f t="shared" si="8"/>
        <v>5.0529999999999999</v>
      </c>
      <c r="Z97" s="282"/>
      <c r="AA97" s="280">
        <v>0.65100000000000002</v>
      </c>
      <c r="AB97" s="281">
        <v>0.92500000000000004</v>
      </c>
      <c r="AC97" s="280">
        <v>0.52</v>
      </c>
      <c r="AD97" s="294">
        <v>0.29899999999999999</v>
      </c>
      <c r="AE97" s="281">
        <v>2.54</v>
      </c>
      <c r="AF97" s="288">
        <v>0.123</v>
      </c>
      <c r="AG97" s="303">
        <v>0</v>
      </c>
      <c r="AH97" s="356">
        <v>0</v>
      </c>
      <c r="AI97" s="301">
        <f t="shared" si="7"/>
        <v>1.7000000000000348E-2</v>
      </c>
      <c r="AJ97" s="187"/>
      <c r="AK97" s="435" t="s">
        <v>50</v>
      </c>
      <c r="AL97" s="427"/>
      <c r="AM97" s="428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</row>
    <row r="98" spans="1:248" ht="45" customHeight="1" thickBot="1" x14ac:dyDescent="0.3">
      <c r="A98" s="444">
        <v>2990</v>
      </c>
      <c r="B98" s="445" t="s">
        <v>84</v>
      </c>
      <c r="C98" s="455" t="s">
        <v>85</v>
      </c>
      <c r="D98" s="445"/>
      <c r="E98" s="445" t="s">
        <v>337</v>
      </c>
      <c r="F98" s="445" t="s">
        <v>147</v>
      </c>
      <c r="G98" s="445"/>
      <c r="H98" s="448" t="s">
        <v>55</v>
      </c>
      <c r="I98" s="451">
        <f>SUMIF('Wege im Detail'!$A:$A,"02990",'Wege im Detail'!$P:$P)</f>
        <v>9.077</v>
      </c>
      <c r="J98" s="508" t="s">
        <v>338</v>
      </c>
      <c r="L98" s="209">
        <v>30</v>
      </c>
      <c r="M98" s="197">
        <v>92</v>
      </c>
      <c r="N98" s="198">
        <v>0</v>
      </c>
      <c r="O98" s="213">
        <v>8</v>
      </c>
      <c r="P98" s="350">
        <v>0</v>
      </c>
      <c r="R98" s="275">
        <v>0</v>
      </c>
      <c r="S98" s="276">
        <v>0</v>
      </c>
      <c r="T98" s="277">
        <v>6.38</v>
      </c>
      <c r="U98" s="276">
        <v>0</v>
      </c>
      <c r="V98" s="277">
        <v>1.24</v>
      </c>
      <c r="W98" s="276">
        <v>0.72299999999999998</v>
      </c>
      <c r="X98" s="277">
        <v>0.66200000000000003</v>
      </c>
      <c r="Y98" s="264">
        <f t="shared" si="8"/>
        <v>9.0050000000000008</v>
      </c>
      <c r="Z98" s="279"/>
      <c r="AA98" s="280">
        <v>0</v>
      </c>
      <c r="AB98" s="281">
        <v>1.99</v>
      </c>
      <c r="AC98" s="280">
        <v>3.27</v>
      </c>
      <c r="AD98" s="294">
        <v>1.1200000000000001</v>
      </c>
      <c r="AE98" s="281">
        <v>1.9</v>
      </c>
      <c r="AF98" s="288">
        <v>0.72299999999999998</v>
      </c>
      <c r="AG98" s="303">
        <v>0</v>
      </c>
      <c r="AH98" s="356">
        <v>0</v>
      </c>
      <c r="AI98" s="301">
        <f t="shared" si="7"/>
        <v>-7.1999999999999176E-2</v>
      </c>
      <c r="AK98" s="435" t="s">
        <v>50</v>
      </c>
    </row>
    <row r="99" spans="1:248" ht="45" customHeight="1" thickBot="1" x14ac:dyDescent="0.3">
      <c r="A99" s="444">
        <v>2991</v>
      </c>
      <c r="B99" s="445" t="s">
        <v>84</v>
      </c>
      <c r="C99" s="455" t="s">
        <v>85</v>
      </c>
      <c r="D99" s="445"/>
      <c r="E99" s="445" t="s">
        <v>339</v>
      </c>
      <c r="F99" s="445" t="s">
        <v>133</v>
      </c>
      <c r="G99" s="445"/>
      <c r="H99" s="448" t="s">
        <v>55</v>
      </c>
      <c r="I99" s="451">
        <f>SUMIF('Wege im Detail'!$A:$A,"02991",'Wege im Detail'!$P:$P)</f>
        <v>5.992</v>
      </c>
      <c r="J99" s="508" t="s">
        <v>340</v>
      </c>
      <c r="L99" s="209">
        <v>12</v>
      </c>
      <c r="M99" s="197">
        <v>92</v>
      </c>
      <c r="N99" s="198">
        <v>0</v>
      </c>
      <c r="O99" s="213">
        <v>8</v>
      </c>
      <c r="P99" s="350">
        <v>0</v>
      </c>
      <c r="R99" s="275">
        <v>0</v>
      </c>
      <c r="S99" s="276">
        <v>0</v>
      </c>
      <c r="T99" s="277">
        <v>5.01</v>
      </c>
      <c r="U99" s="276">
        <v>0</v>
      </c>
      <c r="V99" s="277">
        <v>0.51900000000000002</v>
      </c>
      <c r="W99" s="276">
        <v>0.51</v>
      </c>
      <c r="X99" s="277">
        <v>0</v>
      </c>
      <c r="Y99" s="264">
        <f t="shared" si="8"/>
        <v>6.0389999999999997</v>
      </c>
      <c r="Z99" s="279"/>
      <c r="AA99" s="280">
        <v>1.06</v>
      </c>
      <c r="AB99" s="281">
        <v>2.27</v>
      </c>
      <c r="AC99" s="280">
        <v>1.39</v>
      </c>
      <c r="AD99" s="294">
        <v>0.28599999999999998</v>
      </c>
      <c r="AE99" s="281">
        <v>0.51900000000000002</v>
      </c>
      <c r="AF99" s="288">
        <v>0.51</v>
      </c>
      <c r="AG99" s="303">
        <v>0</v>
      </c>
      <c r="AH99" s="356">
        <v>0</v>
      </c>
      <c r="AI99" s="301">
        <f t="shared" si="7"/>
        <v>4.6999999999999709E-2</v>
      </c>
      <c r="AK99" s="435" t="s">
        <v>50</v>
      </c>
    </row>
    <row r="100" spans="1:248" ht="45" customHeight="1" thickBot="1" x14ac:dyDescent="0.25">
      <c r="A100" s="444">
        <v>2992</v>
      </c>
      <c r="B100" s="445" t="s">
        <v>84</v>
      </c>
      <c r="C100" s="455" t="s">
        <v>85</v>
      </c>
      <c r="D100" s="445"/>
      <c r="E100" s="445" t="s">
        <v>341</v>
      </c>
      <c r="F100" s="445" t="s">
        <v>138</v>
      </c>
      <c r="G100" s="445"/>
      <c r="H100" s="448" t="s">
        <v>55</v>
      </c>
      <c r="I100" s="451">
        <f>SUMIF('Wege im Detail'!$A:$A,"02992",'Wege im Detail'!$P:$P)</f>
        <v>4.6920000000000002</v>
      </c>
      <c r="J100" s="508" t="s">
        <v>342</v>
      </c>
      <c r="L100" s="209">
        <v>10</v>
      </c>
      <c r="M100" s="197">
        <v>100</v>
      </c>
      <c r="N100" s="198">
        <v>0</v>
      </c>
      <c r="O100" s="213">
        <v>0</v>
      </c>
      <c r="P100" s="350">
        <v>0</v>
      </c>
      <c r="R100" s="275">
        <v>0</v>
      </c>
      <c r="S100" s="276">
        <v>0</v>
      </c>
      <c r="T100" s="277">
        <v>4.22</v>
      </c>
      <c r="U100" s="276">
        <v>0</v>
      </c>
      <c r="V100" s="277">
        <v>0.32400000000000001</v>
      </c>
      <c r="W100" s="276">
        <v>0</v>
      </c>
      <c r="X100" s="277">
        <v>0.29899999999999999</v>
      </c>
      <c r="Y100" s="264">
        <f t="shared" si="8"/>
        <v>4.843</v>
      </c>
      <c r="Z100" s="282"/>
      <c r="AA100" s="280">
        <v>1.67</v>
      </c>
      <c r="AB100" s="281">
        <v>0.66800000000000004</v>
      </c>
      <c r="AC100" s="280">
        <v>1.56</v>
      </c>
      <c r="AD100" s="294">
        <v>0.32700000000000001</v>
      </c>
      <c r="AE100" s="281">
        <v>0.32400000000000001</v>
      </c>
      <c r="AF100" s="288">
        <v>0</v>
      </c>
      <c r="AG100" s="303">
        <v>0</v>
      </c>
      <c r="AH100" s="356">
        <v>0.28799999999999998</v>
      </c>
      <c r="AI100" s="301">
        <f t="shared" si="7"/>
        <v>0.1509999999999998</v>
      </c>
      <c r="AJ100" s="187"/>
      <c r="AK100" s="435" t="s">
        <v>50</v>
      </c>
      <c r="AL100" s="427"/>
      <c r="AM100" s="428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</row>
    <row r="101" spans="1:248" ht="45" customHeight="1" thickBot="1" x14ac:dyDescent="0.3">
      <c r="A101" s="444">
        <v>3033</v>
      </c>
      <c r="B101" s="445" t="s">
        <v>84</v>
      </c>
      <c r="C101" s="455" t="s">
        <v>85</v>
      </c>
      <c r="D101" s="482" t="s">
        <v>281</v>
      </c>
      <c r="E101" s="445" t="s">
        <v>343</v>
      </c>
      <c r="F101" s="445" t="s">
        <v>142</v>
      </c>
      <c r="G101" s="445"/>
      <c r="H101" s="448" t="s">
        <v>55</v>
      </c>
      <c r="I101" s="451">
        <f>SUMIF('Wege im Detail'!$A:$A,"003033",'Wege im Detail'!$P:$P)</f>
        <v>4.2519999999999998</v>
      </c>
      <c r="J101" s="508" t="s">
        <v>344</v>
      </c>
      <c r="L101" s="209">
        <v>5</v>
      </c>
      <c r="M101" s="197">
        <v>100</v>
      </c>
      <c r="N101" s="198">
        <v>0</v>
      </c>
      <c r="O101" s="213">
        <v>0</v>
      </c>
      <c r="P101" s="350">
        <v>0</v>
      </c>
      <c r="R101" s="275">
        <v>1.57</v>
      </c>
      <c r="S101" s="276">
        <v>0</v>
      </c>
      <c r="T101" s="277">
        <v>2.48</v>
      </c>
      <c r="U101" s="276">
        <v>0</v>
      </c>
      <c r="V101" s="277">
        <v>0.193</v>
      </c>
      <c r="W101" s="276">
        <v>0</v>
      </c>
      <c r="X101" s="277">
        <v>0</v>
      </c>
      <c r="Y101" s="264">
        <f t="shared" si="8"/>
        <v>4.2429999999999994</v>
      </c>
      <c r="Z101" s="279"/>
      <c r="AA101" s="280">
        <v>2.91</v>
      </c>
      <c r="AB101" s="281">
        <v>0.495</v>
      </c>
      <c r="AC101" s="280">
        <v>0.64100000000000001</v>
      </c>
      <c r="AD101" s="294">
        <v>0.127</v>
      </c>
      <c r="AE101" s="281">
        <v>0</v>
      </c>
      <c r="AF101" s="288">
        <v>0.55549999999999999</v>
      </c>
      <c r="AG101" s="303">
        <v>0</v>
      </c>
      <c r="AH101" s="356">
        <v>0</v>
      </c>
      <c r="AI101" s="301">
        <f t="shared" ref="AI101:AI132" si="9">Y101-I101</f>
        <v>-9.0000000000003411E-3</v>
      </c>
      <c r="AK101" s="435" t="s">
        <v>50</v>
      </c>
    </row>
    <row r="102" spans="1:248" ht="45" customHeight="1" thickBot="1" x14ac:dyDescent="0.3">
      <c r="A102" s="444">
        <v>3034</v>
      </c>
      <c r="B102" s="445" t="s">
        <v>84</v>
      </c>
      <c r="C102" s="455" t="s">
        <v>85</v>
      </c>
      <c r="D102" s="482" t="s">
        <v>281</v>
      </c>
      <c r="E102" s="445" t="s">
        <v>345</v>
      </c>
      <c r="F102" s="445" t="s">
        <v>147</v>
      </c>
      <c r="G102" s="445"/>
      <c r="H102" s="448" t="s">
        <v>55</v>
      </c>
      <c r="I102" s="451">
        <f>SUMIF('Wege im Detail'!$A:$A,"003034",'Wege im Detail'!$P:$P)</f>
        <v>4.9139999999999997</v>
      </c>
      <c r="J102" s="508" t="s">
        <v>346</v>
      </c>
      <c r="L102" s="209">
        <v>23</v>
      </c>
      <c r="M102" s="197">
        <v>88</v>
      </c>
      <c r="N102" s="198">
        <v>12</v>
      </c>
      <c r="O102" s="213">
        <v>0</v>
      </c>
      <c r="P102" s="350">
        <v>0</v>
      </c>
      <c r="R102" s="275">
        <v>0</v>
      </c>
      <c r="S102" s="276">
        <v>0</v>
      </c>
      <c r="T102" s="277">
        <v>3.54</v>
      </c>
      <c r="U102" s="276">
        <v>0.19700000000000001</v>
      </c>
      <c r="V102" s="277">
        <v>0.68799999999999994</v>
      </c>
      <c r="W102" s="276">
        <v>0.442</v>
      </c>
      <c r="X102" s="277">
        <v>0.1</v>
      </c>
      <c r="Y102" s="278">
        <f t="shared" si="8"/>
        <v>4.9669999999999996</v>
      </c>
      <c r="Z102" s="279"/>
      <c r="AA102" s="280">
        <v>2.16</v>
      </c>
      <c r="AB102" s="281">
        <v>2.65</v>
      </c>
      <c r="AC102" s="280">
        <v>0</v>
      </c>
      <c r="AD102" s="294">
        <v>0</v>
      </c>
      <c r="AE102" s="281">
        <v>4.9000000000000002E-2</v>
      </c>
      <c r="AF102" s="288">
        <v>9.8000000000000004E-2</v>
      </c>
      <c r="AG102" s="303">
        <v>0</v>
      </c>
      <c r="AH102" s="356">
        <v>0</v>
      </c>
      <c r="AI102" s="301">
        <f t="shared" si="9"/>
        <v>5.2999999999999936E-2</v>
      </c>
      <c r="AK102" s="435" t="s">
        <v>50</v>
      </c>
    </row>
    <row r="103" spans="1:248" ht="45" customHeight="1" thickBot="1" x14ac:dyDescent="0.3">
      <c r="A103" s="444">
        <v>3035</v>
      </c>
      <c r="B103" s="445" t="s">
        <v>84</v>
      </c>
      <c r="C103" s="455" t="s">
        <v>85</v>
      </c>
      <c r="D103" s="482" t="s">
        <v>281</v>
      </c>
      <c r="E103" s="445" t="s">
        <v>347</v>
      </c>
      <c r="F103" s="445" t="s">
        <v>133</v>
      </c>
      <c r="G103" s="445"/>
      <c r="H103" s="448" t="s">
        <v>55</v>
      </c>
      <c r="I103" s="451">
        <f>SUMIF('Wege im Detail'!$A:$A,"03035",'Wege im Detail'!$P:$P)</f>
        <v>6.9989999999999997</v>
      </c>
      <c r="J103" s="508" t="s">
        <v>348</v>
      </c>
      <c r="L103" s="209">
        <v>46</v>
      </c>
      <c r="M103" s="197">
        <v>89</v>
      </c>
      <c r="N103" s="198">
        <v>11</v>
      </c>
      <c r="O103" s="213">
        <v>0</v>
      </c>
      <c r="P103" s="350">
        <v>0</v>
      </c>
      <c r="R103" s="275">
        <v>0</v>
      </c>
      <c r="S103" s="276">
        <v>0</v>
      </c>
      <c r="T103" s="277">
        <v>3.56</v>
      </c>
      <c r="U103" s="276">
        <v>0.29599999999999999</v>
      </c>
      <c r="V103" s="277">
        <v>0.66700000000000004</v>
      </c>
      <c r="W103" s="276">
        <v>2.89</v>
      </c>
      <c r="X103" s="277">
        <v>0</v>
      </c>
      <c r="Y103" s="278">
        <f t="shared" si="8"/>
        <v>7.4130000000000003</v>
      </c>
      <c r="Z103" s="279"/>
      <c r="AA103" s="280">
        <v>1.78</v>
      </c>
      <c r="AB103" s="281">
        <v>2.37</v>
      </c>
      <c r="AC103" s="280">
        <v>1.78</v>
      </c>
      <c r="AD103" s="294">
        <v>0</v>
      </c>
      <c r="AE103" s="281">
        <v>0.37</v>
      </c>
      <c r="AF103" s="288">
        <v>1.1100000000000001</v>
      </c>
      <c r="AG103" s="303">
        <v>0</v>
      </c>
      <c r="AH103" s="356">
        <v>0</v>
      </c>
      <c r="AI103" s="301">
        <f t="shared" si="9"/>
        <v>0.41400000000000059</v>
      </c>
      <c r="AK103" s="435" t="s">
        <v>50</v>
      </c>
    </row>
    <row r="104" spans="1:248" ht="45" customHeight="1" thickBot="1" x14ac:dyDescent="0.3">
      <c r="A104" s="444">
        <v>3140</v>
      </c>
      <c r="B104" s="445" t="s">
        <v>84</v>
      </c>
      <c r="C104" s="455" t="s">
        <v>85</v>
      </c>
      <c r="D104" s="445"/>
      <c r="E104" s="445" t="s">
        <v>350</v>
      </c>
      <c r="F104" s="445" t="s">
        <v>142</v>
      </c>
      <c r="G104" s="445"/>
      <c r="H104" s="448" t="s">
        <v>55</v>
      </c>
      <c r="I104" s="451">
        <f>SUMIF('Wege im Detail'!$A:$A,"03140",'Wege im Detail'!$P:$P)</f>
        <v>8.6059999999999999</v>
      </c>
      <c r="J104" s="508" t="s">
        <v>352</v>
      </c>
      <c r="L104" s="209">
        <v>63</v>
      </c>
      <c r="M104" s="197">
        <v>92</v>
      </c>
      <c r="N104" s="198">
        <v>2</v>
      </c>
      <c r="O104" s="213">
        <v>7</v>
      </c>
      <c r="P104" s="350">
        <v>0</v>
      </c>
      <c r="R104" s="275">
        <v>0</v>
      </c>
      <c r="S104" s="276">
        <v>0.65600000000000003</v>
      </c>
      <c r="T104" s="277">
        <v>1.51</v>
      </c>
      <c r="U104" s="276">
        <v>0.36399999999999999</v>
      </c>
      <c r="V104" s="277">
        <v>4.99</v>
      </c>
      <c r="W104" s="276">
        <v>1.0900000000000001</v>
      </c>
      <c r="X104" s="277">
        <v>0</v>
      </c>
      <c r="Y104" s="264">
        <f t="shared" si="8"/>
        <v>8.61</v>
      </c>
      <c r="Z104" s="279"/>
      <c r="AA104" s="280">
        <v>0.45</v>
      </c>
      <c r="AB104" s="281">
        <v>1.69</v>
      </c>
      <c r="AC104" s="280">
        <v>0.46400000000000002</v>
      </c>
      <c r="AD104" s="294">
        <v>1.1100000000000001</v>
      </c>
      <c r="AE104" s="281">
        <v>1.49</v>
      </c>
      <c r="AF104" s="288">
        <v>3.41</v>
      </c>
      <c r="AG104" s="303">
        <v>0</v>
      </c>
      <c r="AH104" s="356">
        <v>0</v>
      </c>
      <c r="AI104" s="301">
        <f t="shared" si="9"/>
        <v>3.9999999999995595E-3</v>
      </c>
      <c r="AK104" s="435" t="s">
        <v>50</v>
      </c>
    </row>
    <row r="105" spans="1:248" ht="45" customHeight="1" thickBot="1" x14ac:dyDescent="0.3">
      <c r="A105" s="444">
        <v>3141</v>
      </c>
      <c r="B105" s="445" t="s">
        <v>84</v>
      </c>
      <c r="C105" s="455" t="s">
        <v>85</v>
      </c>
      <c r="D105" s="445"/>
      <c r="E105" s="445" t="s">
        <v>354</v>
      </c>
      <c r="F105" s="445" t="s">
        <v>147</v>
      </c>
      <c r="G105" s="445"/>
      <c r="H105" s="448" t="s">
        <v>55</v>
      </c>
      <c r="I105" s="451">
        <f>SUMIF('Wege im Detail'!$A:$A,"03141",'Wege im Detail'!$P:$P)</f>
        <v>6.9210000000000003</v>
      </c>
      <c r="J105" s="508" t="s">
        <v>355</v>
      </c>
      <c r="L105" s="209">
        <v>73</v>
      </c>
      <c r="M105" s="197">
        <v>91</v>
      </c>
      <c r="N105" s="198">
        <v>9</v>
      </c>
      <c r="O105" s="213">
        <v>1</v>
      </c>
      <c r="P105" s="350">
        <v>0</v>
      </c>
      <c r="R105" s="275">
        <v>0</v>
      </c>
      <c r="S105" s="276">
        <v>0</v>
      </c>
      <c r="T105" s="277">
        <v>1.29</v>
      </c>
      <c r="U105" s="276">
        <v>0.437</v>
      </c>
      <c r="V105" s="277">
        <v>5.0190000000000001</v>
      </c>
      <c r="W105" s="276">
        <v>0</v>
      </c>
      <c r="X105" s="277">
        <v>0.13400000000000001</v>
      </c>
      <c r="Y105" s="264">
        <f t="shared" si="8"/>
        <v>6.8800000000000008</v>
      </c>
      <c r="Z105" s="279">
        <v>0</v>
      </c>
      <c r="AA105" s="280">
        <v>0</v>
      </c>
      <c r="AB105" s="281">
        <v>1.28</v>
      </c>
      <c r="AC105" s="280">
        <v>0.58499999999999996</v>
      </c>
      <c r="AD105" s="294">
        <v>0.25</v>
      </c>
      <c r="AE105" s="281">
        <v>2.3180000000000001</v>
      </c>
      <c r="AF105" s="288">
        <v>2.5</v>
      </c>
      <c r="AG105" s="303">
        <v>0</v>
      </c>
      <c r="AH105" s="356">
        <v>0</v>
      </c>
      <c r="AI105" s="301">
        <f t="shared" si="9"/>
        <v>-4.0999999999999481E-2</v>
      </c>
      <c r="AK105" s="435" t="s">
        <v>50</v>
      </c>
    </row>
    <row r="106" spans="1:248" ht="45" customHeight="1" thickBot="1" x14ac:dyDescent="0.25">
      <c r="A106" s="444">
        <v>3143</v>
      </c>
      <c r="B106" s="445" t="s">
        <v>84</v>
      </c>
      <c r="C106" s="455" t="s">
        <v>85</v>
      </c>
      <c r="D106" s="445"/>
      <c r="E106" s="445" t="s">
        <v>357</v>
      </c>
      <c r="F106" s="445" t="s">
        <v>138</v>
      </c>
      <c r="G106" s="445"/>
      <c r="H106" s="448" t="s">
        <v>55</v>
      </c>
      <c r="I106" s="451">
        <f>SUMIF('Wege im Detail'!$A:$A,"03143",'Wege im Detail'!$P:$P)</f>
        <v>10.923</v>
      </c>
      <c r="J106" s="508" t="s">
        <v>358</v>
      </c>
      <c r="L106" s="209">
        <v>75</v>
      </c>
      <c r="M106" s="197">
        <v>88</v>
      </c>
      <c r="N106" s="198">
        <v>3</v>
      </c>
      <c r="O106" s="213">
        <v>9</v>
      </c>
      <c r="P106" s="350">
        <v>0</v>
      </c>
      <c r="R106" s="275">
        <v>0</v>
      </c>
      <c r="S106" s="276">
        <v>0</v>
      </c>
      <c r="T106" s="277">
        <v>3.59</v>
      </c>
      <c r="U106" s="276">
        <v>0</v>
      </c>
      <c r="V106" s="277">
        <v>6.36</v>
      </c>
      <c r="W106" s="276">
        <v>0.95899999999999996</v>
      </c>
      <c r="X106" s="277">
        <v>0.55549999999999999</v>
      </c>
      <c r="Y106" s="264">
        <f t="shared" si="8"/>
        <v>11.464499999999999</v>
      </c>
      <c r="Z106" s="282"/>
      <c r="AA106" s="280">
        <v>1.1299999999999999</v>
      </c>
      <c r="AB106" s="281">
        <v>0.20100000000000001</v>
      </c>
      <c r="AC106" s="280">
        <v>3.86</v>
      </c>
      <c r="AD106" s="294">
        <v>0.14099999999999999</v>
      </c>
      <c r="AE106" s="281">
        <v>1.8</v>
      </c>
      <c r="AF106" s="288">
        <v>3.8</v>
      </c>
      <c r="AG106" s="303">
        <v>0</v>
      </c>
      <c r="AH106" s="356">
        <v>0</v>
      </c>
      <c r="AI106" s="301">
        <f t="shared" si="9"/>
        <v>0.5414999999999992</v>
      </c>
      <c r="AJ106" s="187"/>
      <c r="AK106" s="435" t="s">
        <v>50</v>
      </c>
      <c r="AL106" s="427"/>
      <c r="AM106" s="428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</row>
    <row r="107" spans="1:248" ht="45" customHeight="1" thickBot="1" x14ac:dyDescent="0.3">
      <c r="A107" s="444">
        <v>3144</v>
      </c>
      <c r="B107" s="445" t="s">
        <v>84</v>
      </c>
      <c r="C107" s="455" t="s">
        <v>85</v>
      </c>
      <c r="D107" s="445"/>
      <c r="E107" s="445" t="s">
        <v>360</v>
      </c>
      <c r="F107" s="445" t="s">
        <v>133</v>
      </c>
      <c r="G107" s="445"/>
      <c r="H107" s="448" t="s">
        <v>55</v>
      </c>
      <c r="I107" s="451">
        <f>SUMIF('Wege im Detail'!$A:$A,"03144",'Wege im Detail'!$P:$P)</f>
        <v>10.566000000000001</v>
      </c>
      <c r="J107" s="508" t="s">
        <v>361</v>
      </c>
      <c r="L107" s="209">
        <v>46</v>
      </c>
      <c r="M107" s="197">
        <v>100</v>
      </c>
      <c r="N107" s="198">
        <v>0</v>
      </c>
      <c r="O107" s="213">
        <v>0</v>
      </c>
      <c r="P107" s="350">
        <v>0</v>
      </c>
      <c r="R107" s="275">
        <v>0</v>
      </c>
      <c r="S107" s="276">
        <v>0</v>
      </c>
      <c r="T107" s="277">
        <v>5.66</v>
      </c>
      <c r="U107" s="276">
        <v>0</v>
      </c>
      <c r="V107" s="277">
        <v>4.9210000000000003</v>
      </c>
      <c r="W107" s="276">
        <v>0</v>
      </c>
      <c r="X107" s="277">
        <v>0</v>
      </c>
      <c r="Y107" s="264">
        <f t="shared" si="8"/>
        <v>10.581</v>
      </c>
      <c r="Z107" s="279"/>
      <c r="AA107" s="280">
        <v>1.504</v>
      </c>
      <c r="AB107" s="281">
        <v>1.2130000000000001</v>
      </c>
      <c r="AC107" s="280">
        <v>3.0419999999999998</v>
      </c>
      <c r="AD107" s="294">
        <v>0.55549999999999999</v>
      </c>
      <c r="AE107" s="281">
        <v>1.9910000000000001</v>
      </c>
      <c r="AF107" s="288">
        <v>2.722</v>
      </c>
      <c r="AG107" s="303">
        <v>0</v>
      </c>
      <c r="AH107" s="356">
        <v>0</v>
      </c>
      <c r="AI107" s="301">
        <f t="shared" si="9"/>
        <v>1.4999999999998792E-2</v>
      </c>
      <c r="AK107" s="435" t="s">
        <v>50</v>
      </c>
    </row>
    <row r="108" spans="1:248" ht="45" customHeight="1" thickBot="1" x14ac:dyDescent="0.3">
      <c r="A108" s="444">
        <v>3147</v>
      </c>
      <c r="B108" s="445" t="s">
        <v>84</v>
      </c>
      <c r="C108" s="455" t="s">
        <v>85</v>
      </c>
      <c r="D108" s="479"/>
      <c r="E108" s="445" t="s">
        <v>363</v>
      </c>
      <c r="F108" s="448" t="s">
        <v>364</v>
      </c>
      <c r="G108" s="448"/>
      <c r="H108" s="448" t="s">
        <v>55</v>
      </c>
      <c r="I108" s="451">
        <f>SUMIF('Wege im Detail'!$A:$A,"03147",'Wege im Detail'!$P:$P)</f>
        <v>10.789</v>
      </c>
      <c r="J108" s="508" t="s">
        <v>365</v>
      </c>
      <c r="L108" s="209">
        <v>11</v>
      </c>
      <c r="M108" s="197">
        <v>98</v>
      </c>
      <c r="N108" s="198">
        <v>0</v>
      </c>
      <c r="O108" s="213">
        <v>1</v>
      </c>
      <c r="P108" s="350">
        <v>1</v>
      </c>
      <c r="R108" s="275">
        <v>0</v>
      </c>
      <c r="S108" s="276">
        <v>2.0699999999999998</v>
      </c>
      <c r="T108" s="277">
        <v>3.27</v>
      </c>
      <c r="U108" s="276">
        <v>3.75</v>
      </c>
      <c r="V108" s="277">
        <v>1.03</v>
      </c>
      <c r="W108" s="276">
        <v>0.185</v>
      </c>
      <c r="X108" s="277">
        <v>0.39600000000000002</v>
      </c>
      <c r="Y108" s="264">
        <f t="shared" si="8"/>
        <v>10.701000000000001</v>
      </c>
      <c r="Z108" s="279"/>
      <c r="AA108" s="280">
        <v>0.55549999999999999</v>
      </c>
      <c r="AB108" s="281">
        <v>8.9600000000000009</v>
      </c>
      <c r="AC108" s="280">
        <v>0.25700000000000001</v>
      </c>
      <c r="AD108" s="294">
        <v>0.26</v>
      </c>
      <c r="AE108" s="281">
        <v>0.90200000000000002</v>
      </c>
      <c r="AF108" s="288">
        <v>0.25700000000000001</v>
      </c>
      <c r="AG108" s="303">
        <v>0</v>
      </c>
      <c r="AH108" s="356">
        <v>0</v>
      </c>
      <c r="AI108" s="301">
        <f t="shared" si="9"/>
        <v>-8.799999999999919E-2</v>
      </c>
      <c r="AK108" s="435" t="s">
        <v>50</v>
      </c>
    </row>
    <row r="109" spans="1:248" ht="45" customHeight="1" thickBot="1" x14ac:dyDescent="0.25">
      <c r="A109" s="444">
        <v>3148</v>
      </c>
      <c r="B109" s="445" t="s">
        <v>84</v>
      </c>
      <c r="C109" s="515" t="s">
        <v>366</v>
      </c>
      <c r="D109" s="479"/>
      <c r="E109" s="445" t="s">
        <v>368</v>
      </c>
      <c r="F109" s="448" t="s">
        <v>369</v>
      </c>
      <c r="G109" s="448"/>
      <c r="H109" s="448" t="s">
        <v>55</v>
      </c>
      <c r="I109" s="451">
        <f>SUMIF('Wege im Detail'!$A:$A,"03148",'Wege im Detail'!$P:$P)</f>
        <v>3.7440000000000002</v>
      </c>
      <c r="J109" s="508" t="s">
        <v>370</v>
      </c>
      <c r="L109" s="209">
        <v>25</v>
      </c>
      <c r="M109" s="197">
        <v>93</v>
      </c>
      <c r="N109" s="198">
        <v>0</v>
      </c>
      <c r="O109" s="213">
        <v>7</v>
      </c>
      <c r="P109" s="350">
        <v>0</v>
      </c>
      <c r="R109" s="275">
        <v>0</v>
      </c>
      <c r="S109" s="276">
        <v>0.38100000000000001</v>
      </c>
      <c r="T109" s="277">
        <v>1.34</v>
      </c>
      <c r="U109" s="276">
        <v>1.0900000000000001</v>
      </c>
      <c r="V109" s="277">
        <v>0.71699999999999997</v>
      </c>
      <c r="W109" s="276">
        <v>0.23200000000000001</v>
      </c>
      <c r="X109" s="277">
        <v>0</v>
      </c>
      <c r="Y109" s="264">
        <f t="shared" si="8"/>
        <v>3.7600000000000002</v>
      </c>
      <c r="Z109" s="282"/>
      <c r="AA109" s="280">
        <v>0</v>
      </c>
      <c r="AB109" s="281">
        <v>2.74</v>
      </c>
      <c r="AC109" s="280">
        <v>0</v>
      </c>
      <c r="AD109" s="294">
        <v>0.19500000000000001</v>
      </c>
      <c r="AE109" s="281">
        <v>0</v>
      </c>
      <c r="AF109" s="288">
        <v>0.82399999999999995</v>
      </c>
      <c r="AG109" s="303">
        <v>0</v>
      </c>
      <c r="AH109" s="356">
        <v>0</v>
      </c>
      <c r="AI109" s="301">
        <f t="shared" si="9"/>
        <v>1.6000000000000014E-2</v>
      </c>
      <c r="AJ109" s="187"/>
      <c r="AK109" s="435" t="s">
        <v>50</v>
      </c>
      <c r="AL109" s="427"/>
      <c r="AM109" s="428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</row>
    <row r="110" spans="1:248" ht="45" customHeight="1" thickBot="1" x14ac:dyDescent="0.3">
      <c r="A110" s="444">
        <v>3150</v>
      </c>
      <c r="B110" s="445" t="s">
        <v>84</v>
      </c>
      <c r="C110" s="455" t="s">
        <v>85</v>
      </c>
      <c r="D110" s="479"/>
      <c r="E110" s="445" t="s">
        <v>372</v>
      </c>
      <c r="F110" s="448" t="s">
        <v>373</v>
      </c>
      <c r="G110" s="448"/>
      <c r="H110" s="448" t="s">
        <v>55</v>
      </c>
      <c r="I110" s="451">
        <f>SUMIF('Wege im Detail'!$A:$A,"03150",'Wege im Detail'!$P:$P)</f>
        <v>4.492</v>
      </c>
      <c r="J110" s="508" t="s">
        <v>374</v>
      </c>
      <c r="L110" s="209">
        <v>5</v>
      </c>
      <c r="M110" s="197">
        <v>100</v>
      </c>
      <c r="N110" s="198">
        <v>0</v>
      </c>
      <c r="O110" s="213">
        <v>0</v>
      </c>
      <c r="P110" s="350">
        <v>0</v>
      </c>
      <c r="R110" s="275">
        <v>0</v>
      </c>
      <c r="S110" s="276">
        <v>0</v>
      </c>
      <c r="T110" s="277">
        <v>2.25</v>
      </c>
      <c r="U110" s="276">
        <v>2.23</v>
      </c>
      <c r="V110" s="277">
        <v>0.55549999999999999</v>
      </c>
      <c r="W110" s="276">
        <v>0</v>
      </c>
      <c r="X110" s="277">
        <v>0</v>
      </c>
      <c r="Y110" s="264">
        <f t="shared" si="8"/>
        <v>5.0355000000000008</v>
      </c>
      <c r="Z110" s="279"/>
      <c r="AA110" s="280">
        <v>0</v>
      </c>
      <c r="AB110" s="281">
        <v>0.47899999999999998</v>
      </c>
      <c r="AC110" s="280">
        <v>3.56</v>
      </c>
      <c r="AD110" s="294">
        <v>0.44</v>
      </c>
      <c r="AE110" s="281">
        <v>0.55549999999999999</v>
      </c>
      <c r="AF110" s="288">
        <v>0</v>
      </c>
      <c r="AG110" s="303">
        <v>0</v>
      </c>
      <c r="AH110" s="356">
        <v>0</v>
      </c>
      <c r="AI110" s="301">
        <f t="shared" si="9"/>
        <v>0.54350000000000076</v>
      </c>
      <c r="AK110" s="435" t="s">
        <v>50</v>
      </c>
    </row>
    <row r="111" spans="1:248" ht="45" customHeight="1" thickBot="1" x14ac:dyDescent="0.25">
      <c r="A111" s="444">
        <v>3151</v>
      </c>
      <c r="B111" s="445" t="s">
        <v>84</v>
      </c>
      <c r="C111" s="455" t="s">
        <v>85</v>
      </c>
      <c r="D111" s="445"/>
      <c r="E111" s="445" t="s">
        <v>375</v>
      </c>
      <c r="F111" s="445" t="s">
        <v>142</v>
      </c>
      <c r="G111" s="445"/>
      <c r="H111" s="448" t="s">
        <v>55</v>
      </c>
      <c r="I111" s="451">
        <f>SUMIF('Wege im Detail'!$A:$A,"03151",'Wege im Detail'!$P:$P)</f>
        <v>4.7409999999999997</v>
      </c>
      <c r="J111" s="508" t="s">
        <v>376</v>
      </c>
      <c r="L111" s="209">
        <v>3</v>
      </c>
      <c r="M111" s="197">
        <v>99</v>
      </c>
      <c r="N111" s="198">
        <v>0</v>
      </c>
      <c r="O111" s="213">
        <v>1</v>
      </c>
      <c r="P111" s="350">
        <v>0</v>
      </c>
      <c r="R111" s="275">
        <v>0</v>
      </c>
      <c r="S111" s="276">
        <v>0</v>
      </c>
      <c r="T111" s="277">
        <v>4.49</v>
      </c>
      <c r="U111" s="276">
        <v>0.55549999999999999</v>
      </c>
      <c r="V111" s="277">
        <v>0</v>
      </c>
      <c r="W111" s="276">
        <v>0.55549999999999999</v>
      </c>
      <c r="X111" s="277">
        <v>0.16900000000000001</v>
      </c>
      <c r="Y111" s="264">
        <f t="shared" si="8"/>
        <v>5.7700000000000005</v>
      </c>
      <c r="Z111" s="282"/>
      <c r="AA111" s="280">
        <v>1.46</v>
      </c>
      <c r="AB111" s="281">
        <v>2.08</v>
      </c>
      <c r="AC111" s="280">
        <v>0.34100000000000003</v>
      </c>
      <c r="AD111" s="294">
        <v>0.66800000000000004</v>
      </c>
      <c r="AE111" s="281">
        <v>0.16900000000000001</v>
      </c>
      <c r="AF111" s="288">
        <v>0.55549999999999999</v>
      </c>
      <c r="AG111" s="303">
        <v>0</v>
      </c>
      <c r="AH111" s="356">
        <v>0</v>
      </c>
      <c r="AI111" s="301">
        <f t="shared" si="9"/>
        <v>1.0290000000000008</v>
      </c>
      <c r="AJ111" s="187"/>
      <c r="AK111" s="435" t="s">
        <v>50</v>
      </c>
      <c r="AL111" s="427"/>
      <c r="AM111" s="428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</row>
    <row r="112" spans="1:248" s="167" customFormat="1" ht="45" customHeight="1" thickBot="1" x14ac:dyDescent="0.3">
      <c r="A112" s="444">
        <v>3152</v>
      </c>
      <c r="B112" s="445" t="s">
        <v>84</v>
      </c>
      <c r="C112" s="455" t="s">
        <v>85</v>
      </c>
      <c r="D112" s="445">
        <v>0</v>
      </c>
      <c r="E112" s="445" t="s">
        <v>377</v>
      </c>
      <c r="F112" s="445" t="s">
        <v>147</v>
      </c>
      <c r="G112" s="445"/>
      <c r="H112" s="448" t="s">
        <v>55</v>
      </c>
      <c r="I112" s="451">
        <f>SUMIF('Wege im Detail'!$A:$A,"03152",'Wege im Detail'!$P:$P)</f>
        <v>6.3579999999999997</v>
      </c>
      <c r="J112" s="508" t="s">
        <v>378</v>
      </c>
      <c r="K112" s="237"/>
      <c r="L112" s="209">
        <v>7</v>
      </c>
      <c r="M112" s="197">
        <v>100</v>
      </c>
      <c r="N112" s="198">
        <v>0</v>
      </c>
      <c r="O112" s="213">
        <v>0</v>
      </c>
      <c r="P112" s="350">
        <v>0</v>
      </c>
      <c r="Q112" s="226"/>
      <c r="R112" s="275">
        <v>0</v>
      </c>
      <c r="S112" s="276">
        <v>0.35099999999999998</v>
      </c>
      <c r="T112" s="277">
        <v>5.24</v>
      </c>
      <c r="U112" s="276">
        <v>0.627</v>
      </c>
      <c r="V112" s="277">
        <v>0.22500000000000001</v>
      </c>
      <c r="W112" s="276">
        <v>0</v>
      </c>
      <c r="X112" s="277">
        <v>0</v>
      </c>
      <c r="Y112" s="264">
        <f t="shared" si="8"/>
        <v>6.4429999999999996</v>
      </c>
      <c r="Z112" s="279"/>
      <c r="AA112" s="280">
        <v>1.1299999999999999</v>
      </c>
      <c r="AB112" s="281">
        <v>1.93</v>
      </c>
      <c r="AC112" s="280">
        <v>1.99</v>
      </c>
      <c r="AD112" s="294">
        <v>1.17</v>
      </c>
      <c r="AE112" s="281">
        <v>0.22500000000000001</v>
      </c>
      <c r="AF112" s="288">
        <v>0</v>
      </c>
      <c r="AG112" s="303">
        <v>0</v>
      </c>
      <c r="AH112" s="356">
        <v>0</v>
      </c>
      <c r="AI112" s="301">
        <f t="shared" si="9"/>
        <v>8.4999999999999964E-2</v>
      </c>
      <c r="AJ112" s="401"/>
      <c r="AK112" s="435" t="s">
        <v>50</v>
      </c>
      <c r="AL112" s="425"/>
      <c r="AM112" s="426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</row>
    <row r="113" spans="1:248" s="167" customFormat="1" ht="45" customHeight="1" thickBot="1" x14ac:dyDescent="0.3">
      <c r="A113" s="444">
        <v>3153</v>
      </c>
      <c r="B113" s="445" t="s">
        <v>84</v>
      </c>
      <c r="C113" s="455" t="s">
        <v>85</v>
      </c>
      <c r="D113" s="445"/>
      <c r="E113" s="445" t="s">
        <v>379</v>
      </c>
      <c r="F113" s="445" t="s">
        <v>133</v>
      </c>
      <c r="G113" s="445"/>
      <c r="H113" s="448" t="s">
        <v>55</v>
      </c>
      <c r="I113" s="451">
        <f>SUMIF('Wege im Detail'!$A:$A,"03153",'Wege im Detail'!$P:$P)</f>
        <v>6.8959999999999999</v>
      </c>
      <c r="J113" s="508" t="s">
        <v>380</v>
      </c>
      <c r="K113" s="237"/>
      <c r="L113" s="209">
        <v>7</v>
      </c>
      <c r="M113" s="197">
        <v>100</v>
      </c>
      <c r="N113" s="198">
        <v>0</v>
      </c>
      <c r="O113" s="213">
        <v>0</v>
      </c>
      <c r="P113" s="350">
        <v>0</v>
      </c>
      <c r="Q113" s="226"/>
      <c r="R113" s="275">
        <v>0</v>
      </c>
      <c r="S113" s="276">
        <v>0.35299999999999998</v>
      </c>
      <c r="T113" s="277">
        <v>5.74</v>
      </c>
      <c r="U113" s="276">
        <v>0.627</v>
      </c>
      <c r="V113" s="277">
        <v>0.22500000000000001</v>
      </c>
      <c r="W113" s="276">
        <v>0</v>
      </c>
      <c r="X113" s="277">
        <v>0</v>
      </c>
      <c r="Y113" s="264">
        <f t="shared" si="8"/>
        <v>6.9449999999999994</v>
      </c>
      <c r="Z113" s="279"/>
      <c r="AA113" s="280">
        <v>0.621</v>
      </c>
      <c r="AB113" s="281">
        <v>2.35</v>
      </c>
      <c r="AC113" s="280">
        <v>2.58</v>
      </c>
      <c r="AD113" s="294">
        <v>1.17</v>
      </c>
      <c r="AE113" s="281">
        <v>0.22500000000000001</v>
      </c>
      <c r="AF113" s="288">
        <v>0</v>
      </c>
      <c r="AG113" s="303">
        <v>0</v>
      </c>
      <c r="AH113" s="356">
        <v>0</v>
      </c>
      <c r="AI113" s="301">
        <f t="shared" si="9"/>
        <v>4.8999999999999488E-2</v>
      </c>
      <c r="AJ113" s="401"/>
      <c r="AK113" s="435" t="s">
        <v>50</v>
      </c>
      <c r="AL113" s="425"/>
      <c r="AM113" s="426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</row>
    <row r="114" spans="1:248" ht="45" customHeight="1" thickBot="1" x14ac:dyDescent="0.25">
      <c r="A114" s="444">
        <v>3157</v>
      </c>
      <c r="B114" s="445" t="s">
        <v>84</v>
      </c>
      <c r="C114" s="455" t="s">
        <v>85</v>
      </c>
      <c r="D114" s="445"/>
      <c r="E114" s="445" t="s">
        <v>382</v>
      </c>
      <c r="F114" s="445" t="s">
        <v>88</v>
      </c>
      <c r="G114" s="445"/>
      <c r="H114" s="448" t="s">
        <v>55</v>
      </c>
      <c r="I114" s="451">
        <f>SUMIF('Wege im Detail'!$A:$A,"03157",'Wege im Detail'!$P:$P)</f>
        <v>8.3420000000000005</v>
      </c>
      <c r="J114" s="508" t="s">
        <v>383</v>
      </c>
      <c r="L114" s="209">
        <v>62</v>
      </c>
      <c r="M114" s="197">
        <v>86</v>
      </c>
      <c r="N114" s="198">
        <v>14</v>
      </c>
      <c r="O114" s="213">
        <v>0</v>
      </c>
      <c r="P114" s="350">
        <v>0</v>
      </c>
      <c r="R114" s="275">
        <v>0</v>
      </c>
      <c r="S114" s="276">
        <v>0.23599999999999999</v>
      </c>
      <c r="T114" s="277">
        <v>1.83</v>
      </c>
      <c r="U114" s="276">
        <v>2.0299999999999998</v>
      </c>
      <c r="V114" s="277">
        <v>3.85</v>
      </c>
      <c r="W114" s="276">
        <v>0</v>
      </c>
      <c r="X114" s="277">
        <v>0.42699999999999999</v>
      </c>
      <c r="Y114" s="264">
        <f t="shared" si="8"/>
        <v>8.3729999999999993</v>
      </c>
      <c r="Z114" s="282"/>
      <c r="AA114" s="280">
        <v>0.69299999999999995</v>
      </c>
      <c r="AB114" s="281">
        <v>0.26600000000000001</v>
      </c>
      <c r="AC114" s="280">
        <v>2.96</v>
      </c>
      <c r="AD114" s="294">
        <v>1.63</v>
      </c>
      <c r="AE114" s="281">
        <v>1.91</v>
      </c>
      <c r="AF114" s="288">
        <v>0.90900000000000003</v>
      </c>
      <c r="AG114" s="303">
        <v>0</v>
      </c>
      <c r="AH114" s="356">
        <v>0</v>
      </c>
      <c r="AI114" s="301">
        <f t="shared" si="9"/>
        <v>3.0999999999998806E-2</v>
      </c>
      <c r="AJ114" s="187"/>
      <c r="AK114" s="435" t="s">
        <v>50</v>
      </c>
      <c r="AL114" s="427"/>
      <c r="AM114" s="428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</row>
    <row r="115" spans="1:248" ht="45" customHeight="1" thickBot="1" x14ac:dyDescent="0.25">
      <c r="A115" s="444">
        <v>3206</v>
      </c>
      <c r="B115" s="445" t="s">
        <v>51</v>
      </c>
      <c r="C115" s="445" t="s">
        <v>91</v>
      </c>
      <c r="D115" s="445"/>
      <c r="E115" s="445">
        <v>28</v>
      </c>
      <c r="F115" s="445"/>
      <c r="G115" s="445"/>
      <c r="H115" s="448" t="s">
        <v>55</v>
      </c>
      <c r="I115" s="451">
        <f>SUMIF('Wege im Detail'!$A:$A,"03206",'Wege im Detail'!$P:$P)</f>
        <v>8.6349999999999998</v>
      </c>
      <c r="J115" s="508" t="s">
        <v>385</v>
      </c>
      <c r="L115" s="209">
        <v>2</v>
      </c>
      <c r="M115" s="197">
        <v>98</v>
      </c>
      <c r="N115" s="198">
        <v>0</v>
      </c>
      <c r="O115" s="213">
        <v>2</v>
      </c>
      <c r="P115" s="350">
        <v>0</v>
      </c>
      <c r="R115" s="275">
        <v>0</v>
      </c>
      <c r="S115" s="276">
        <v>0.316</v>
      </c>
      <c r="T115" s="277">
        <v>5.41</v>
      </c>
      <c r="U115" s="276">
        <v>2.4</v>
      </c>
      <c r="V115" s="277">
        <v>0.34399999999999997</v>
      </c>
      <c r="W115" s="276">
        <v>0.13</v>
      </c>
      <c r="X115" s="277">
        <v>0</v>
      </c>
      <c r="Y115" s="264">
        <f t="shared" si="8"/>
        <v>8.6</v>
      </c>
      <c r="Z115" s="282"/>
      <c r="AA115" s="280">
        <v>0.55549999999999999</v>
      </c>
      <c r="AB115" s="281">
        <v>1.56</v>
      </c>
      <c r="AC115" s="280">
        <v>1.71</v>
      </c>
      <c r="AD115" s="294">
        <v>4.92</v>
      </c>
      <c r="AE115" s="281">
        <v>0</v>
      </c>
      <c r="AF115" s="288">
        <v>0.32100000000000001</v>
      </c>
      <c r="AG115" s="303">
        <v>0</v>
      </c>
      <c r="AH115" s="356">
        <v>0</v>
      </c>
      <c r="AI115" s="301">
        <f t="shared" si="9"/>
        <v>-3.5000000000000142E-2</v>
      </c>
      <c r="AJ115" s="187"/>
      <c r="AK115" s="435" t="s">
        <v>50</v>
      </c>
      <c r="AL115" s="427"/>
      <c r="AM115" s="428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</row>
    <row r="116" spans="1:248" ht="45" customHeight="1" thickBot="1" x14ac:dyDescent="0.3">
      <c r="A116" s="444">
        <v>3207</v>
      </c>
      <c r="B116" s="445" t="s">
        <v>51</v>
      </c>
      <c r="C116" s="445" t="s">
        <v>91</v>
      </c>
      <c r="D116" s="445"/>
      <c r="E116" s="445">
        <v>20</v>
      </c>
      <c r="F116" s="445"/>
      <c r="G116" s="445"/>
      <c r="H116" s="448" t="s">
        <v>55</v>
      </c>
      <c r="I116" s="451">
        <f>SUMIF('Wege im Detail'!$A:$A,"03207",'Wege im Detail'!$P:$P)</f>
        <v>8.8439999999999994</v>
      </c>
      <c r="J116" s="508" t="s">
        <v>386</v>
      </c>
      <c r="L116" s="209">
        <v>15</v>
      </c>
      <c r="M116" s="197">
        <v>93</v>
      </c>
      <c r="N116" s="198">
        <v>7</v>
      </c>
      <c r="O116" s="213">
        <v>0</v>
      </c>
      <c r="P116" s="350">
        <v>0</v>
      </c>
      <c r="R116" s="275">
        <v>0</v>
      </c>
      <c r="S116" s="276">
        <v>1.84</v>
      </c>
      <c r="T116" s="277">
        <v>5.47</v>
      </c>
      <c r="U116" s="276">
        <v>0.13300000000000001</v>
      </c>
      <c r="V116" s="277">
        <v>0.53900000000000003</v>
      </c>
      <c r="W116" s="276">
        <v>0.73499999999999999</v>
      </c>
      <c r="X116" s="277">
        <v>0.121</v>
      </c>
      <c r="Y116" s="264">
        <f t="shared" si="8"/>
        <v>8.8379999999999992</v>
      </c>
      <c r="Z116" s="279"/>
      <c r="AA116" s="280">
        <v>2.35</v>
      </c>
      <c r="AB116" s="281">
        <v>2.58</v>
      </c>
      <c r="AC116" s="280">
        <v>2.48</v>
      </c>
      <c r="AD116" s="294">
        <v>0.126</v>
      </c>
      <c r="AE116" s="281">
        <v>0.56000000000000005</v>
      </c>
      <c r="AF116" s="288">
        <v>0.70699999999999996</v>
      </c>
      <c r="AG116" s="303">
        <v>0.55549999999999999</v>
      </c>
      <c r="AH116" s="356">
        <v>0</v>
      </c>
      <c r="AI116" s="301">
        <f t="shared" si="9"/>
        <v>-6.0000000000002274E-3</v>
      </c>
      <c r="AK116" s="435" t="s">
        <v>50</v>
      </c>
    </row>
    <row r="117" spans="1:248" ht="45" customHeight="1" thickBot="1" x14ac:dyDescent="0.25">
      <c r="A117" s="444">
        <v>3287</v>
      </c>
      <c r="B117" s="445" t="s">
        <v>51</v>
      </c>
      <c r="C117" s="445" t="s">
        <v>91</v>
      </c>
      <c r="D117" s="445"/>
      <c r="E117" s="445">
        <v>27</v>
      </c>
      <c r="F117" s="445"/>
      <c r="G117" s="445"/>
      <c r="H117" s="448" t="s">
        <v>55</v>
      </c>
      <c r="I117" s="451">
        <f>SUMIF('Wege im Detail'!$A:$A,"03287",'Wege im Detail'!$P:$P)</f>
        <v>6.3159999999999998</v>
      </c>
      <c r="J117" s="508" t="s">
        <v>387</v>
      </c>
      <c r="L117" s="209">
        <v>21</v>
      </c>
      <c r="M117" s="197">
        <v>100</v>
      </c>
      <c r="N117" s="198">
        <v>0</v>
      </c>
      <c r="O117" s="213">
        <v>0</v>
      </c>
      <c r="P117" s="350">
        <v>0</v>
      </c>
      <c r="R117" s="275">
        <v>0</v>
      </c>
      <c r="S117" s="276">
        <v>0.66800000000000004</v>
      </c>
      <c r="T117" s="277">
        <v>4.53</v>
      </c>
      <c r="U117" s="276">
        <v>0</v>
      </c>
      <c r="V117" s="277">
        <v>1.1299999999999999</v>
      </c>
      <c r="W117" s="276">
        <v>0.55549999999999999</v>
      </c>
      <c r="X117" s="277">
        <v>0</v>
      </c>
      <c r="Y117" s="264">
        <f t="shared" si="8"/>
        <v>6.8835000000000006</v>
      </c>
      <c r="Z117" s="282"/>
      <c r="AA117" s="280">
        <v>4.1500000000000004</v>
      </c>
      <c r="AB117" s="281">
        <v>0.80800000000000005</v>
      </c>
      <c r="AC117" s="280">
        <v>0.1</v>
      </c>
      <c r="AD117" s="294">
        <v>0.14299999999999999</v>
      </c>
      <c r="AE117" s="281">
        <v>1.1200000000000001</v>
      </c>
      <c r="AF117" s="288">
        <v>0.55549999999999999</v>
      </c>
      <c r="AG117" s="303">
        <v>0</v>
      </c>
      <c r="AH117" s="356">
        <v>0</v>
      </c>
      <c r="AI117" s="301">
        <f t="shared" si="9"/>
        <v>0.56750000000000078</v>
      </c>
      <c r="AJ117" s="187"/>
      <c r="AK117" s="435" t="s">
        <v>50</v>
      </c>
      <c r="AL117" s="427"/>
      <c r="AM117" s="428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</row>
    <row r="118" spans="1:248" ht="45" customHeight="1" thickBot="1" x14ac:dyDescent="0.3">
      <c r="A118" s="444">
        <v>3288</v>
      </c>
      <c r="B118" s="445" t="s">
        <v>51</v>
      </c>
      <c r="C118" s="445" t="s">
        <v>91</v>
      </c>
      <c r="D118" s="445"/>
      <c r="E118" s="445">
        <v>25</v>
      </c>
      <c r="F118" s="445"/>
      <c r="G118" s="445"/>
      <c r="H118" s="448" t="s">
        <v>55</v>
      </c>
      <c r="I118" s="451">
        <f>SUMIF('Wege im Detail'!$A:$A,"03288",'Wege im Detail'!$P:$P)</f>
        <v>5.1760000000000002</v>
      </c>
      <c r="J118" s="508" t="s">
        <v>388</v>
      </c>
      <c r="L118" s="209">
        <v>23</v>
      </c>
      <c r="M118" s="197">
        <v>100</v>
      </c>
      <c r="N118" s="198">
        <v>0</v>
      </c>
      <c r="O118" s="213">
        <v>0</v>
      </c>
      <c r="P118" s="350">
        <v>0</v>
      </c>
      <c r="R118" s="275">
        <v>0</v>
      </c>
      <c r="S118" s="276">
        <v>0.64900000000000002</v>
      </c>
      <c r="T118" s="277">
        <v>2.15</v>
      </c>
      <c r="U118" s="276">
        <v>1.18</v>
      </c>
      <c r="V118" s="277">
        <v>1.17</v>
      </c>
      <c r="W118" s="276">
        <v>0</v>
      </c>
      <c r="X118" s="277">
        <v>0</v>
      </c>
      <c r="Y118" s="264">
        <f t="shared" si="8"/>
        <v>5.149</v>
      </c>
      <c r="Z118" s="279"/>
      <c r="AA118" s="280">
        <v>0.80300000000000005</v>
      </c>
      <c r="AB118" s="281">
        <v>0.92500000000000004</v>
      </c>
      <c r="AC118" s="280">
        <v>2.25</v>
      </c>
      <c r="AD118" s="294">
        <v>0</v>
      </c>
      <c r="AE118" s="281">
        <v>1.17</v>
      </c>
      <c r="AF118" s="288">
        <v>0</v>
      </c>
      <c r="AG118" s="303">
        <v>0</v>
      </c>
      <c r="AH118" s="356">
        <v>0</v>
      </c>
      <c r="AI118" s="301">
        <f t="shared" si="9"/>
        <v>-2.7000000000000135E-2</v>
      </c>
      <c r="AK118" s="435" t="s">
        <v>50</v>
      </c>
    </row>
    <row r="119" spans="1:248" ht="45" customHeight="1" thickBot="1" x14ac:dyDescent="0.3">
      <c r="A119" s="444">
        <v>3290</v>
      </c>
      <c r="B119" s="445" t="s">
        <v>51</v>
      </c>
      <c r="C119" s="445" t="s">
        <v>91</v>
      </c>
      <c r="D119" s="445"/>
      <c r="E119" s="445">
        <v>24</v>
      </c>
      <c r="F119" s="445"/>
      <c r="G119" s="445"/>
      <c r="H119" s="448" t="s">
        <v>55</v>
      </c>
      <c r="I119" s="451">
        <f>SUMIF('Wege im Detail'!$A:$A,"03290",'Wege im Detail'!$P:$P)</f>
        <v>16.553999999999998</v>
      </c>
      <c r="J119" s="508" t="s">
        <v>390</v>
      </c>
      <c r="L119" s="209">
        <v>16</v>
      </c>
      <c r="M119" s="197">
        <v>97</v>
      </c>
      <c r="N119" s="198">
        <v>3</v>
      </c>
      <c r="O119" s="213">
        <v>0</v>
      </c>
      <c r="P119" s="350">
        <v>0</v>
      </c>
      <c r="R119" s="275">
        <v>0</v>
      </c>
      <c r="S119" s="276">
        <v>3.78</v>
      </c>
      <c r="T119" s="277">
        <v>10.5</v>
      </c>
      <c r="U119" s="276">
        <v>0</v>
      </c>
      <c r="V119" s="277">
        <v>1.81</v>
      </c>
      <c r="W119" s="276">
        <v>0.35699999999999998</v>
      </c>
      <c r="X119" s="277">
        <v>0.249</v>
      </c>
      <c r="Y119" s="264">
        <f t="shared" si="8"/>
        <v>16.695999999999998</v>
      </c>
      <c r="Z119" s="279"/>
      <c r="AA119" s="280">
        <v>5.33</v>
      </c>
      <c r="AB119" s="281">
        <v>5.0599999999999996</v>
      </c>
      <c r="AC119" s="280">
        <v>4.99</v>
      </c>
      <c r="AD119" s="294">
        <v>0</v>
      </c>
      <c r="AE119" s="281">
        <v>0.93400000000000005</v>
      </c>
      <c r="AF119" s="288">
        <v>0.35699999999999998</v>
      </c>
      <c r="AG119" s="303">
        <v>0</v>
      </c>
      <c r="AH119" s="356">
        <v>0</v>
      </c>
      <c r="AI119" s="301">
        <f t="shared" si="9"/>
        <v>0.14199999999999946</v>
      </c>
      <c r="AK119" s="435" t="s">
        <v>50</v>
      </c>
    </row>
    <row r="120" spans="1:248" s="35" customFormat="1" ht="45" customHeight="1" thickBot="1" x14ac:dyDescent="0.3">
      <c r="A120" s="444">
        <v>3291</v>
      </c>
      <c r="B120" s="445" t="s">
        <v>51</v>
      </c>
      <c r="C120" s="445" t="s">
        <v>91</v>
      </c>
      <c r="D120" s="445"/>
      <c r="E120" s="445">
        <v>33</v>
      </c>
      <c r="F120" s="445"/>
      <c r="G120" s="445"/>
      <c r="H120" s="448" t="s">
        <v>55</v>
      </c>
      <c r="I120" s="451">
        <f>SUMIF('Wege im Detail'!$A:$A,"03291",'Wege im Detail'!$P:$P)</f>
        <v>8.1370000000000005</v>
      </c>
      <c r="J120" s="508" t="s">
        <v>391</v>
      </c>
      <c r="K120" s="237"/>
      <c r="L120" s="209">
        <v>52</v>
      </c>
      <c r="M120" s="197">
        <v>79</v>
      </c>
      <c r="N120" s="198">
        <v>21</v>
      </c>
      <c r="O120" s="213">
        <v>0</v>
      </c>
      <c r="P120" s="350">
        <v>0</v>
      </c>
      <c r="Q120" s="226"/>
      <c r="R120" s="275">
        <v>0</v>
      </c>
      <c r="S120" s="276">
        <v>0.74399999999999999</v>
      </c>
      <c r="T120" s="277">
        <v>3.14</v>
      </c>
      <c r="U120" s="276">
        <v>3.1</v>
      </c>
      <c r="V120" s="277">
        <v>0</v>
      </c>
      <c r="W120" s="276">
        <v>1.1100000000000001</v>
      </c>
      <c r="X120" s="277">
        <v>0.121</v>
      </c>
      <c r="Y120" s="264">
        <f t="shared" si="8"/>
        <v>8.2149999999999999</v>
      </c>
      <c r="Z120" s="279"/>
      <c r="AA120" s="280">
        <v>2.52</v>
      </c>
      <c r="AB120" s="281">
        <v>0.74399999999999999</v>
      </c>
      <c r="AC120" s="280">
        <v>1.79</v>
      </c>
      <c r="AD120" s="294">
        <v>0</v>
      </c>
      <c r="AE120" s="281">
        <v>2.21</v>
      </c>
      <c r="AF120" s="288">
        <v>0.94</v>
      </c>
      <c r="AG120" s="303">
        <v>0</v>
      </c>
      <c r="AH120" s="356">
        <v>0</v>
      </c>
      <c r="AI120" s="301">
        <f t="shared" si="9"/>
        <v>7.7999999999999403E-2</v>
      </c>
      <c r="AJ120" s="401"/>
      <c r="AK120" s="435" t="s">
        <v>50</v>
      </c>
      <c r="AL120" s="425"/>
      <c r="AM120" s="426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</row>
    <row r="121" spans="1:248" s="35" customFormat="1" ht="45" customHeight="1" thickBot="1" x14ac:dyDescent="0.25">
      <c r="A121" s="444">
        <v>3292</v>
      </c>
      <c r="B121" s="445" t="s">
        <v>51</v>
      </c>
      <c r="C121" s="445" t="s">
        <v>91</v>
      </c>
      <c r="D121" s="445"/>
      <c r="E121" s="445">
        <v>94</v>
      </c>
      <c r="F121" s="445"/>
      <c r="G121" s="445"/>
      <c r="H121" s="448" t="s">
        <v>55</v>
      </c>
      <c r="I121" s="451">
        <f>SUMIF('Wege im Detail'!$A:$A,"03292",'Wege im Detail'!$P:$P)</f>
        <v>12.748999999999999</v>
      </c>
      <c r="J121" s="508" t="s">
        <v>392</v>
      </c>
      <c r="K121" s="237"/>
      <c r="L121" s="209">
        <v>31</v>
      </c>
      <c r="M121" s="197">
        <v>80</v>
      </c>
      <c r="N121" s="198">
        <v>16</v>
      </c>
      <c r="O121" s="213">
        <v>4</v>
      </c>
      <c r="P121" s="350">
        <v>0</v>
      </c>
      <c r="Q121" s="226"/>
      <c r="R121" s="275">
        <v>0</v>
      </c>
      <c r="S121" s="276">
        <v>0</v>
      </c>
      <c r="T121" s="277">
        <v>8.31</v>
      </c>
      <c r="U121" s="276">
        <v>0.38100000000000001</v>
      </c>
      <c r="V121" s="277">
        <v>2.63</v>
      </c>
      <c r="W121" s="276">
        <v>1.44</v>
      </c>
      <c r="X121" s="277">
        <v>0.55549999999999999</v>
      </c>
      <c r="Y121" s="264">
        <f t="shared" si="8"/>
        <v>13.316500000000001</v>
      </c>
      <c r="Z121" s="282"/>
      <c r="AA121" s="280">
        <v>3.38</v>
      </c>
      <c r="AB121" s="281">
        <v>2.17</v>
      </c>
      <c r="AC121" s="280">
        <v>2.76</v>
      </c>
      <c r="AD121" s="294">
        <v>0.38100000000000001</v>
      </c>
      <c r="AE121" s="281">
        <v>0.873</v>
      </c>
      <c r="AF121" s="288">
        <v>3.22</v>
      </c>
      <c r="AG121" s="303">
        <v>0</v>
      </c>
      <c r="AH121" s="356">
        <v>0</v>
      </c>
      <c r="AI121" s="301">
        <f t="shared" si="9"/>
        <v>0.56750000000000256</v>
      </c>
      <c r="AJ121" s="187"/>
      <c r="AK121" s="435" t="s">
        <v>50</v>
      </c>
      <c r="AL121" s="427"/>
      <c r="AM121" s="428"/>
    </row>
    <row r="122" spans="1:248" s="35" customFormat="1" ht="45" customHeight="1" thickBot="1" x14ac:dyDescent="0.3">
      <c r="A122" s="444">
        <v>3304</v>
      </c>
      <c r="B122" s="445" t="s">
        <v>51</v>
      </c>
      <c r="C122" s="445" t="s">
        <v>52</v>
      </c>
      <c r="D122" s="445"/>
      <c r="E122" s="445">
        <v>6</v>
      </c>
      <c r="F122" s="445" t="s">
        <v>394</v>
      </c>
      <c r="G122" s="445"/>
      <c r="H122" s="448" t="s">
        <v>55</v>
      </c>
      <c r="I122" s="451">
        <f>SUMIF('Wege im Detail'!$A:$A,"03304",'Wege im Detail'!$P:$P)</f>
        <v>55.11</v>
      </c>
      <c r="J122" s="514" t="s">
        <v>395</v>
      </c>
      <c r="K122" s="237"/>
      <c r="L122" s="209">
        <v>33</v>
      </c>
      <c r="M122" s="197">
        <v>94</v>
      </c>
      <c r="N122" s="198">
        <v>3</v>
      </c>
      <c r="O122" s="213">
        <v>3</v>
      </c>
      <c r="P122" s="350">
        <v>0</v>
      </c>
      <c r="Q122" s="226"/>
      <c r="R122" s="275">
        <v>0</v>
      </c>
      <c r="S122" s="276">
        <v>2.19</v>
      </c>
      <c r="T122" s="277">
        <v>28.4</v>
      </c>
      <c r="U122" s="276">
        <v>5.04</v>
      </c>
      <c r="V122" s="277">
        <v>15.1</v>
      </c>
      <c r="W122" s="276">
        <v>3.67</v>
      </c>
      <c r="X122" s="277">
        <v>0.63100000000000001</v>
      </c>
      <c r="Y122" s="278">
        <f t="shared" si="8"/>
        <v>55.031000000000006</v>
      </c>
      <c r="Z122" s="279"/>
      <c r="AA122" s="280">
        <v>8</v>
      </c>
      <c r="AB122" s="281">
        <v>5.62</v>
      </c>
      <c r="AC122" s="280">
        <v>0.82799999999999996</v>
      </c>
      <c r="AD122" s="294">
        <v>24.6</v>
      </c>
      <c r="AE122" s="281">
        <v>4.59</v>
      </c>
      <c r="AF122" s="288">
        <v>11.3</v>
      </c>
      <c r="AG122" s="303">
        <v>0.55549999999999999</v>
      </c>
      <c r="AH122" s="356">
        <v>0.55549999999999999</v>
      </c>
      <c r="AI122" s="301">
        <f t="shared" si="9"/>
        <v>-7.899999999999352E-2</v>
      </c>
      <c r="AJ122" s="401"/>
      <c r="AK122" s="435" t="s">
        <v>50</v>
      </c>
      <c r="AL122" s="431"/>
      <c r="AM122" s="426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</row>
    <row r="123" spans="1:248" ht="45" customHeight="1" thickBot="1" x14ac:dyDescent="0.3">
      <c r="A123" s="444">
        <v>3309</v>
      </c>
      <c r="B123" s="445" t="s">
        <v>84</v>
      </c>
      <c r="C123" s="455" t="s">
        <v>85</v>
      </c>
      <c r="D123" s="445"/>
      <c r="E123" s="445" t="s">
        <v>397</v>
      </c>
      <c r="F123" s="445" t="s">
        <v>138</v>
      </c>
      <c r="G123" s="445"/>
      <c r="H123" s="448" t="s">
        <v>55</v>
      </c>
      <c r="I123" s="451">
        <f>SUMIF('Wege im Detail'!$A:$A,"03309",'Wege im Detail'!$P:$P)</f>
        <v>4.4930000000000003</v>
      </c>
      <c r="J123" s="508" t="s">
        <v>398</v>
      </c>
      <c r="L123" s="209">
        <v>0</v>
      </c>
      <c r="M123" s="197">
        <v>100</v>
      </c>
      <c r="N123" s="198">
        <v>0</v>
      </c>
      <c r="O123" s="213">
        <v>0</v>
      </c>
      <c r="P123" s="350">
        <v>0</v>
      </c>
      <c r="R123" s="275">
        <v>0</v>
      </c>
      <c r="S123" s="276">
        <v>1.84</v>
      </c>
      <c r="T123" s="277">
        <v>0.747</v>
      </c>
      <c r="U123" s="276">
        <v>0</v>
      </c>
      <c r="V123" s="277">
        <v>1.89</v>
      </c>
      <c r="W123" s="276">
        <v>0</v>
      </c>
      <c r="X123" s="277">
        <v>0</v>
      </c>
      <c r="Y123" s="264">
        <f t="shared" si="8"/>
        <v>4.4770000000000003</v>
      </c>
      <c r="Z123" s="279"/>
      <c r="AA123" s="280">
        <v>0</v>
      </c>
      <c r="AB123" s="281">
        <v>1.9</v>
      </c>
      <c r="AC123" s="280">
        <v>0.55549999999999999</v>
      </c>
      <c r="AD123" s="294">
        <v>0</v>
      </c>
      <c r="AE123" s="281">
        <v>1.89</v>
      </c>
      <c r="AF123" s="288">
        <v>0.65500000000000003</v>
      </c>
      <c r="AG123" s="303">
        <v>0</v>
      </c>
      <c r="AH123" s="356">
        <v>0</v>
      </c>
      <c r="AI123" s="301">
        <f t="shared" si="9"/>
        <v>-1.6000000000000014E-2</v>
      </c>
      <c r="AK123" s="435" t="s">
        <v>50</v>
      </c>
    </row>
    <row r="124" spans="1:248" ht="45" customHeight="1" thickBot="1" x14ac:dyDescent="0.3">
      <c r="A124" s="444">
        <v>3311</v>
      </c>
      <c r="B124" s="445" t="s">
        <v>84</v>
      </c>
      <c r="C124" s="455" t="s">
        <v>85</v>
      </c>
      <c r="D124" s="445"/>
      <c r="E124" s="445" t="s">
        <v>400</v>
      </c>
      <c r="F124" s="445" t="s">
        <v>88</v>
      </c>
      <c r="G124" s="445"/>
      <c r="H124" s="448" t="s">
        <v>55</v>
      </c>
      <c r="I124" s="451">
        <f>SUMIF('Wege im Detail'!$A:$A,"03311",'Wege im Detail'!$P:$P)</f>
        <v>6.91</v>
      </c>
      <c r="J124" s="508" t="s">
        <v>401</v>
      </c>
      <c r="L124" s="209">
        <v>0</v>
      </c>
      <c r="M124" s="197">
        <v>100</v>
      </c>
      <c r="N124" s="198">
        <v>0</v>
      </c>
      <c r="O124" s="213">
        <v>0</v>
      </c>
      <c r="P124" s="350">
        <v>0</v>
      </c>
      <c r="R124" s="275">
        <v>0</v>
      </c>
      <c r="S124" s="276">
        <v>0</v>
      </c>
      <c r="T124" s="277">
        <v>3.39</v>
      </c>
      <c r="U124" s="276">
        <v>1.877</v>
      </c>
      <c r="V124" s="277">
        <v>1.64</v>
      </c>
      <c r="W124" s="276">
        <v>0</v>
      </c>
      <c r="X124" s="277">
        <v>0</v>
      </c>
      <c r="Y124" s="264">
        <f t="shared" si="8"/>
        <v>6.907</v>
      </c>
      <c r="Z124" s="279"/>
      <c r="AA124" s="280">
        <v>0.26500000000000001</v>
      </c>
      <c r="AB124" s="281">
        <v>0.67400000000000004</v>
      </c>
      <c r="AC124" s="280">
        <v>1.98</v>
      </c>
      <c r="AD124" s="294">
        <v>2.15</v>
      </c>
      <c r="AE124" s="281">
        <v>1.64</v>
      </c>
      <c r="AF124" s="288">
        <v>0</v>
      </c>
      <c r="AG124" s="303">
        <v>0</v>
      </c>
      <c r="AH124" s="356">
        <v>0</v>
      </c>
      <c r="AI124" s="301">
        <f t="shared" si="9"/>
        <v>-3.0000000000001137E-3</v>
      </c>
      <c r="AK124" s="435" t="s">
        <v>50</v>
      </c>
    </row>
    <row r="125" spans="1:248" ht="45" customHeight="1" thickBot="1" x14ac:dyDescent="0.25">
      <c r="A125" s="444">
        <v>3312</v>
      </c>
      <c r="B125" s="445" t="s">
        <v>84</v>
      </c>
      <c r="C125" s="455" t="s">
        <v>85</v>
      </c>
      <c r="D125" s="445"/>
      <c r="E125" s="445" t="s">
        <v>403</v>
      </c>
      <c r="F125" s="445" t="s">
        <v>163</v>
      </c>
      <c r="G125" s="445"/>
      <c r="H125" s="448" t="s">
        <v>55</v>
      </c>
      <c r="I125" s="451">
        <f>SUMIF('Wege im Detail'!$A:$A,"03312",'Wege im Detail'!$P:$P)</f>
        <v>3.8279999999999998</v>
      </c>
      <c r="J125" s="508" t="s">
        <v>404</v>
      </c>
      <c r="L125" s="209" t="s">
        <v>289</v>
      </c>
      <c r="M125" s="197">
        <v>82</v>
      </c>
      <c r="N125" s="198">
        <v>18</v>
      </c>
      <c r="O125" s="213">
        <v>0</v>
      </c>
      <c r="P125" s="350">
        <v>0</v>
      </c>
      <c r="R125" s="275">
        <v>0</v>
      </c>
      <c r="S125" s="276">
        <v>0.80700000000000005</v>
      </c>
      <c r="T125" s="277">
        <v>1.8740000000000001</v>
      </c>
      <c r="U125" s="276">
        <v>0</v>
      </c>
      <c r="V125" s="277">
        <v>0.48299999999999998</v>
      </c>
      <c r="W125" s="276">
        <v>0.60699999999999998</v>
      </c>
      <c r="X125" s="277">
        <v>0</v>
      </c>
      <c r="Y125" s="264">
        <f t="shared" si="8"/>
        <v>3.7709999999999999</v>
      </c>
      <c r="Z125" s="282"/>
      <c r="AA125" s="280">
        <v>0</v>
      </c>
      <c r="AB125" s="281">
        <v>0.88800000000000001</v>
      </c>
      <c r="AC125" s="280">
        <v>1.099</v>
      </c>
      <c r="AD125" s="294">
        <v>0.65700000000000003</v>
      </c>
      <c r="AE125" s="281">
        <v>0.14899999999999999</v>
      </c>
      <c r="AF125" s="288">
        <v>0.94099999999999995</v>
      </c>
      <c r="AG125" s="303">
        <v>0</v>
      </c>
      <c r="AH125" s="356">
        <v>0</v>
      </c>
      <c r="AI125" s="301">
        <f t="shared" si="9"/>
        <v>-5.699999999999994E-2</v>
      </c>
      <c r="AJ125" s="187"/>
      <c r="AK125" s="435" t="s">
        <v>50</v>
      </c>
      <c r="AL125" s="427"/>
      <c r="AM125" s="428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</row>
    <row r="126" spans="1:248" ht="45" customHeight="1" thickBot="1" x14ac:dyDescent="0.3">
      <c r="A126" s="438">
        <v>3313</v>
      </c>
      <c r="B126" s="445" t="s">
        <v>84</v>
      </c>
      <c r="C126" s="455" t="s">
        <v>85</v>
      </c>
      <c r="D126" s="445"/>
      <c r="E126" s="445" t="s">
        <v>406</v>
      </c>
      <c r="F126" s="445" t="s">
        <v>142</v>
      </c>
      <c r="G126" s="445"/>
      <c r="H126" s="448" t="s">
        <v>55</v>
      </c>
      <c r="I126" s="451">
        <f>SUMIF('Wege im Detail'!$A:$A,"03313",'Wege im Detail'!$P:$P)</f>
        <v>9.2840000000000007</v>
      </c>
      <c r="J126" s="508" t="s">
        <v>407</v>
      </c>
      <c r="L126" s="209">
        <v>42</v>
      </c>
      <c r="M126" s="197">
        <v>93</v>
      </c>
      <c r="N126" s="198">
        <v>7</v>
      </c>
      <c r="O126" s="213">
        <v>0</v>
      </c>
      <c r="P126" s="350">
        <v>0</v>
      </c>
      <c r="R126" s="275">
        <v>0</v>
      </c>
      <c r="S126" s="276">
        <v>0</v>
      </c>
      <c r="T126" s="277">
        <v>4.93</v>
      </c>
      <c r="U126" s="276">
        <v>0</v>
      </c>
      <c r="V126" s="277">
        <v>3.74</v>
      </c>
      <c r="W126" s="276">
        <v>0.28499999999999998</v>
      </c>
      <c r="X126" s="277">
        <v>0.34499999999999997</v>
      </c>
      <c r="Y126" s="264">
        <f t="shared" si="8"/>
        <v>9.3000000000000007</v>
      </c>
      <c r="Z126" s="279"/>
      <c r="AA126" s="280">
        <v>3.35</v>
      </c>
      <c r="AB126" s="281">
        <v>1.0900000000000001</v>
      </c>
      <c r="AC126" s="280">
        <v>0.76</v>
      </c>
      <c r="AD126" s="294">
        <v>0</v>
      </c>
      <c r="AE126" s="281">
        <v>0.38400000000000001</v>
      </c>
      <c r="AF126" s="288">
        <v>3.43</v>
      </c>
      <c r="AG126" s="303">
        <v>0</v>
      </c>
      <c r="AH126" s="356">
        <v>0.29699999999999999</v>
      </c>
      <c r="AI126" s="301">
        <f t="shared" si="9"/>
        <v>1.6000000000000014E-2</v>
      </c>
      <c r="AK126" s="435" t="s">
        <v>50</v>
      </c>
    </row>
    <row r="127" spans="1:248" ht="45" customHeight="1" thickBot="1" x14ac:dyDescent="0.3">
      <c r="A127" s="444">
        <v>3314</v>
      </c>
      <c r="B127" s="445" t="s">
        <v>84</v>
      </c>
      <c r="C127" s="455" t="s">
        <v>85</v>
      </c>
      <c r="D127" s="445"/>
      <c r="E127" s="445" t="s">
        <v>408</v>
      </c>
      <c r="F127" s="445" t="s">
        <v>88</v>
      </c>
      <c r="G127" s="445"/>
      <c r="H127" s="448" t="s">
        <v>55</v>
      </c>
      <c r="I127" s="451">
        <f>SUMIF('Wege im Detail'!$A:$A,"03314",'Wege im Detail'!$P:$P)</f>
        <v>10.3</v>
      </c>
      <c r="J127" s="508" t="s">
        <v>409</v>
      </c>
      <c r="L127" s="209">
        <v>43</v>
      </c>
      <c r="M127" s="197">
        <v>86</v>
      </c>
      <c r="N127" s="198">
        <v>14</v>
      </c>
      <c r="O127" s="213">
        <v>0</v>
      </c>
      <c r="P127" s="350">
        <v>0</v>
      </c>
      <c r="R127" s="275">
        <v>0</v>
      </c>
      <c r="S127" s="276">
        <v>0.318</v>
      </c>
      <c r="T127" s="277">
        <v>5.72</v>
      </c>
      <c r="U127" s="276">
        <v>0</v>
      </c>
      <c r="V127" s="277">
        <v>3.1</v>
      </c>
      <c r="W127" s="276">
        <v>0.92500000000000004</v>
      </c>
      <c r="X127" s="277">
        <v>0.23799999999999999</v>
      </c>
      <c r="Y127" s="264">
        <f t="shared" si="8"/>
        <v>10.301</v>
      </c>
      <c r="Z127" s="279"/>
      <c r="AA127" s="280">
        <v>3.17</v>
      </c>
      <c r="AB127" s="281">
        <v>1.91</v>
      </c>
      <c r="AC127" s="280">
        <v>1.32</v>
      </c>
      <c r="AD127" s="294">
        <v>0</v>
      </c>
      <c r="AE127" s="281">
        <v>1.57</v>
      </c>
      <c r="AF127" s="288">
        <v>2.33</v>
      </c>
      <c r="AG127" s="303">
        <v>0</v>
      </c>
      <c r="AH127" s="356">
        <v>0</v>
      </c>
      <c r="AI127" s="301">
        <f t="shared" si="9"/>
        <v>9.9999999999944578E-4</v>
      </c>
      <c r="AK127" s="435" t="s">
        <v>50</v>
      </c>
    </row>
    <row r="128" spans="1:248" ht="45" customHeight="1" thickBot="1" x14ac:dyDescent="0.3">
      <c r="A128" s="444">
        <v>3347</v>
      </c>
      <c r="B128" s="445" t="s">
        <v>51</v>
      </c>
      <c r="C128" s="445" t="s">
        <v>91</v>
      </c>
      <c r="D128" s="445"/>
      <c r="E128" s="445">
        <v>32</v>
      </c>
      <c r="F128" s="445"/>
      <c r="G128" s="445"/>
      <c r="H128" s="445" t="s">
        <v>55</v>
      </c>
      <c r="I128" s="451">
        <f>SUMIF('Wege im Detail'!$A:$A,"03347",'Wege im Detail'!$P:$P)</f>
        <v>7.3079999999999998</v>
      </c>
      <c r="J128" s="514" t="s">
        <v>411</v>
      </c>
      <c r="L128" s="209">
        <v>45</v>
      </c>
      <c r="M128" s="197">
        <v>84</v>
      </c>
      <c r="N128" s="198">
        <v>16</v>
      </c>
      <c r="O128" s="213">
        <v>0</v>
      </c>
      <c r="P128" s="350">
        <v>0</v>
      </c>
      <c r="R128" s="275">
        <v>0</v>
      </c>
      <c r="S128" s="276">
        <v>1.04</v>
      </c>
      <c r="T128" s="277">
        <v>2.96</v>
      </c>
      <c r="U128" s="276">
        <v>0</v>
      </c>
      <c r="V128" s="277">
        <v>3.03</v>
      </c>
      <c r="W128" s="276">
        <v>0.28899999999999998</v>
      </c>
      <c r="X128" s="277">
        <v>0</v>
      </c>
      <c r="Y128" s="264">
        <f t="shared" si="8"/>
        <v>7.3189999999999991</v>
      </c>
      <c r="Z128" s="279"/>
      <c r="AA128" s="280">
        <v>0</v>
      </c>
      <c r="AB128" s="281">
        <v>1.04</v>
      </c>
      <c r="AC128" s="280">
        <v>3.98</v>
      </c>
      <c r="AD128" s="294">
        <v>0</v>
      </c>
      <c r="AE128" s="281">
        <v>1.1299999999999999</v>
      </c>
      <c r="AF128" s="288">
        <v>1.1599999999999999</v>
      </c>
      <c r="AG128" s="303">
        <v>0</v>
      </c>
      <c r="AH128" s="356">
        <v>0</v>
      </c>
      <c r="AI128" s="301">
        <f t="shared" si="9"/>
        <v>1.0999999999999233E-2</v>
      </c>
      <c r="AK128" s="435" t="s">
        <v>50</v>
      </c>
    </row>
    <row r="129" spans="1:248" ht="45" customHeight="1" thickBot="1" x14ac:dyDescent="0.3">
      <c r="A129" s="444">
        <v>3348</v>
      </c>
      <c r="B129" s="445" t="s">
        <v>51</v>
      </c>
      <c r="C129" s="445" t="s">
        <v>91</v>
      </c>
      <c r="D129" s="445"/>
      <c r="E129" s="445">
        <v>30</v>
      </c>
      <c r="F129" s="445"/>
      <c r="G129" s="445"/>
      <c r="H129" s="448" t="s">
        <v>55</v>
      </c>
      <c r="I129" s="451">
        <f>SUMIF('Wege im Detail'!$A:$A,"03348",'Wege im Detail'!$P:$P)</f>
        <v>8.661999999999999</v>
      </c>
      <c r="J129" s="508" t="s">
        <v>412</v>
      </c>
      <c r="L129" s="209">
        <v>69</v>
      </c>
      <c r="M129" s="197">
        <v>85</v>
      </c>
      <c r="N129" s="198">
        <v>15</v>
      </c>
      <c r="O129" s="213">
        <v>0</v>
      </c>
      <c r="P129" s="350">
        <v>0</v>
      </c>
      <c r="R129" s="275">
        <v>0</v>
      </c>
      <c r="S129" s="276">
        <v>0.255</v>
      </c>
      <c r="T129" s="277">
        <v>2.54</v>
      </c>
      <c r="U129" s="276">
        <v>0</v>
      </c>
      <c r="V129" s="277">
        <v>4.34</v>
      </c>
      <c r="W129" s="276">
        <v>1.47</v>
      </c>
      <c r="X129" s="277">
        <v>0</v>
      </c>
      <c r="Y129" s="264">
        <f t="shared" si="8"/>
        <v>8.6050000000000004</v>
      </c>
      <c r="Z129" s="279">
        <v>1.39</v>
      </c>
      <c r="AA129" s="280">
        <v>1.39</v>
      </c>
      <c r="AB129" s="281">
        <v>0.315</v>
      </c>
      <c r="AC129" s="280">
        <v>2.15</v>
      </c>
      <c r="AD129" s="294">
        <v>0</v>
      </c>
      <c r="AE129" s="281">
        <v>1.71</v>
      </c>
      <c r="AF129" s="288">
        <v>3.04</v>
      </c>
      <c r="AG129" s="303">
        <v>0</v>
      </c>
      <c r="AH129" s="356">
        <v>0</v>
      </c>
      <c r="AI129" s="301">
        <f t="shared" si="9"/>
        <v>-5.6999999999998607E-2</v>
      </c>
      <c r="AK129" s="435" t="s">
        <v>50</v>
      </c>
    </row>
    <row r="130" spans="1:248" s="35" customFormat="1" ht="45" customHeight="1" thickBot="1" x14ac:dyDescent="0.25">
      <c r="A130" s="444">
        <v>3350</v>
      </c>
      <c r="B130" s="445" t="s">
        <v>51</v>
      </c>
      <c r="C130" s="445" t="s">
        <v>91</v>
      </c>
      <c r="D130" s="479"/>
      <c r="E130" s="445">
        <v>26</v>
      </c>
      <c r="F130" s="445"/>
      <c r="G130" s="445"/>
      <c r="H130" s="448" t="s">
        <v>55</v>
      </c>
      <c r="I130" s="451">
        <f>SUMIF('Wege im Detail'!$A:$A,"03350",'Wege im Detail'!$P:$P)</f>
        <v>9.2880000000000003</v>
      </c>
      <c r="J130" s="508" t="s">
        <v>413</v>
      </c>
      <c r="K130" s="237"/>
      <c r="L130" s="209">
        <v>19</v>
      </c>
      <c r="M130" s="197">
        <v>97</v>
      </c>
      <c r="N130" s="198">
        <v>3</v>
      </c>
      <c r="O130" s="213">
        <v>0</v>
      </c>
      <c r="P130" s="350">
        <v>0</v>
      </c>
      <c r="Q130" s="226"/>
      <c r="R130" s="275">
        <v>0</v>
      </c>
      <c r="S130" s="276">
        <v>1.04</v>
      </c>
      <c r="T130" s="277">
        <v>6.34</v>
      </c>
      <c r="U130" s="276">
        <v>0.187</v>
      </c>
      <c r="V130" s="277">
        <v>1.48</v>
      </c>
      <c r="W130" s="276">
        <v>0.16500000000000001</v>
      </c>
      <c r="X130" s="277">
        <v>0</v>
      </c>
      <c r="Y130" s="264">
        <f t="shared" si="8"/>
        <v>9.2119999999999997</v>
      </c>
      <c r="Z130" s="282"/>
      <c r="AA130" s="280">
        <v>3.13</v>
      </c>
      <c r="AB130" s="281">
        <v>1.8</v>
      </c>
      <c r="AC130" s="280" t="s">
        <v>414</v>
      </c>
      <c r="AD130" s="294">
        <v>0.34799999999999998</v>
      </c>
      <c r="AE130" s="281">
        <v>1.26</v>
      </c>
      <c r="AF130" s="288">
        <v>0.68100000000000005</v>
      </c>
      <c r="AG130" s="303">
        <v>0</v>
      </c>
      <c r="AH130" s="356">
        <v>0</v>
      </c>
      <c r="AI130" s="301">
        <f t="shared" si="9"/>
        <v>-7.6000000000000512E-2</v>
      </c>
      <c r="AJ130" s="187"/>
      <c r="AK130" s="435" t="s">
        <v>50</v>
      </c>
      <c r="AL130" s="427"/>
      <c r="AM130" s="428"/>
    </row>
    <row r="131" spans="1:248" s="35" customFormat="1" ht="45" customHeight="1" thickBot="1" x14ac:dyDescent="0.25">
      <c r="A131" s="444">
        <v>3351</v>
      </c>
      <c r="B131" s="445" t="s">
        <v>51</v>
      </c>
      <c r="C131" s="445" t="s">
        <v>91</v>
      </c>
      <c r="D131" s="445"/>
      <c r="E131" s="445">
        <v>30</v>
      </c>
      <c r="F131" s="445"/>
      <c r="G131" s="445"/>
      <c r="H131" s="448" t="s">
        <v>55</v>
      </c>
      <c r="I131" s="451">
        <f>SUMIF('Wege im Detail'!$A:$A,"03351",'Wege im Detail'!$P:$P)</f>
        <v>16.824999999999999</v>
      </c>
      <c r="J131" s="508" t="s">
        <v>416</v>
      </c>
      <c r="K131" s="237"/>
      <c r="L131" s="209">
        <v>50</v>
      </c>
      <c r="M131" s="197">
        <v>100</v>
      </c>
      <c r="N131" s="198">
        <v>0</v>
      </c>
      <c r="O131" s="213">
        <v>0</v>
      </c>
      <c r="P131" s="350">
        <v>0</v>
      </c>
      <c r="Q131" s="226"/>
      <c r="R131" s="275">
        <v>0</v>
      </c>
      <c r="S131" s="276">
        <v>1.3</v>
      </c>
      <c r="T131" s="277">
        <v>5.9</v>
      </c>
      <c r="U131" s="276">
        <v>0.88</v>
      </c>
      <c r="V131" s="277">
        <v>6.87</v>
      </c>
      <c r="W131" s="276">
        <v>1.36</v>
      </c>
      <c r="X131" s="277">
        <v>0.36499999999999999</v>
      </c>
      <c r="Y131" s="264">
        <f t="shared" si="8"/>
        <v>16.674999999999997</v>
      </c>
      <c r="Z131" s="282"/>
      <c r="AA131" s="280">
        <v>4.09</v>
      </c>
      <c r="AB131" s="281">
        <v>2.9</v>
      </c>
      <c r="AC131" s="280">
        <v>3.57</v>
      </c>
      <c r="AD131" s="294">
        <v>0.55549999999999999</v>
      </c>
      <c r="AE131" s="281">
        <v>2.96</v>
      </c>
      <c r="AF131" s="288">
        <v>3.11</v>
      </c>
      <c r="AG131" s="303">
        <v>0.55549999999999999</v>
      </c>
      <c r="AH131" s="356">
        <v>0</v>
      </c>
      <c r="AI131" s="301">
        <f t="shared" si="9"/>
        <v>-0.15000000000000213</v>
      </c>
      <c r="AJ131" s="187"/>
      <c r="AK131" s="435" t="s">
        <v>50</v>
      </c>
      <c r="AL131" s="427"/>
      <c r="AM131" s="428"/>
    </row>
    <row r="132" spans="1:248" s="35" customFormat="1" ht="45" customHeight="1" thickBot="1" x14ac:dyDescent="0.3">
      <c r="A132" s="444">
        <v>3352</v>
      </c>
      <c r="B132" s="445" t="s">
        <v>51</v>
      </c>
      <c r="C132" s="445" t="s">
        <v>91</v>
      </c>
      <c r="D132" s="445"/>
      <c r="E132" s="445">
        <v>30</v>
      </c>
      <c r="F132" s="445"/>
      <c r="G132" s="445"/>
      <c r="H132" s="448" t="s">
        <v>55</v>
      </c>
      <c r="I132" s="451">
        <f>SUMIF('Wege im Detail'!$A:$A,"03352",'Wege im Detail'!$P:$P)</f>
        <v>2.194</v>
      </c>
      <c r="J132" s="508" t="s">
        <v>418</v>
      </c>
      <c r="K132" s="237"/>
      <c r="L132" s="209">
        <v>0</v>
      </c>
      <c r="M132" s="197">
        <v>100</v>
      </c>
      <c r="N132" s="198">
        <v>0</v>
      </c>
      <c r="O132" s="213">
        <v>0</v>
      </c>
      <c r="P132" s="350">
        <v>0</v>
      </c>
      <c r="Q132" s="226"/>
      <c r="R132" s="275">
        <v>0</v>
      </c>
      <c r="S132" s="276">
        <v>0</v>
      </c>
      <c r="T132" s="277">
        <v>2.2000000000000002</v>
      </c>
      <c r="U132" s="276">
        <v>0</v>
      </c>
      <c r="V132" s="277">
        <v>0.55549999999999999</v>
      </c>
      <c r="W132" s="276">
        <v>0</v>
      </c>
      <c r="X132" s="277">
        <v>0</v>
      </c>
      <c r="Y132" s="264">
        <f t="shared" si="8"/>
        <v>2.7555000000000001</v>
      </c>
      <c r="Z132" s="279"/>
      <c r="AA132" s="280">
        <v>0</v>
      </c>
      <c r="AB132" s="281">
        <v>0.63</v>
      </c>
      <c r="AC132" s="280">
        <v>0.56899999999999995</v>
      </c>
      <c r="AD132" s="294">
        <v>0.997</v>
      </c>
      <c r="AE132" s="281">
        <v>0.55549999999999999</v>
      </c>
      <c r="AF132" s="288">
        <v>0</v>
      </c>
      <c r="AG132" s="303">
        <v>0</v>
      </c>
      <c r="AH132" s="356">
        <v>0</v>
      </c>
      <c r="AI132" s="301">
        <f t="shared" si="9"/>
        <v>0.56150000000000011</v>
      </c>
      <c r="AJ132" s="401"/>
      <c r="AK132" s="435" t="s">
        <v>50</v>
      </c>
      <c r="AL132" s="425"/>
      <c r="AM132" s="426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</row>
    <row r="133" spans="1:248" s="35" customFormat="1" ht="45" customHeight="1" thickBot="1" x14ac:dyDescent="0.3">
      <c r="A133" s="444">
        <v>3353</v>
      </c>
      <c r="B133" s="445" t="s">
        <v>51</v>
      </c>
      <c r="C133" s="445" t="s">
        <v>91</v>
      </c>
      <c r="D133" s="445"/>
      <c r="E133" s="445">
        <v>78</v>
      </c>
      <c r="F133" s="445"/>
      <c r="G133" s="445"/>
      <c r="H133" s="448" t="s">
        <v>55</v>
      </c>
      <c r="I133" s="451">
        <f>SUMIF('Wege im Detail'!$A:$A,"03353",'Wege im Detail'!$P:$P)</f>
        <v>34.166999999999994</v>
      </c>
      <c r="J133" s="508" t="s">
        <v>420</v>
      </c>
      <c r="K133" s="237"/>
      <c r="L133" s="209">
        <v>60</v>
      </c>
      <c r="M133" s="197">
        <v>89</v>
      </c>
      <c r="N133" s="198">
        <v>3</v>
      </c>
      <c r="O133" s="213">
        <v>8</v>
      </c>
      <c r="P133" s="350">
        <v>0</v>
      </c>
      <c r="Q133" s="226"/>
      <c r="R133" s="275">
        <v>0</v>
      </c>
      <c r="S133" s="276">
        <v>0.42299999999999999</v>
      </c>
      <c r="T133" s="277">
        <v>11.3</v>
      </c>
      <c r="U133" s="276">
        <v>3.15</v>
      </c>
      <c r="V133" s="277">
        <v>13.6</v>
      </c>
      <c r="W133" s="276">
        <v>3.49</v>
      </c>
      <c r="X133" s="277">
        <v>2.36</v>
      </c>
      <c r="Y133" s="264">
        <f t="shared" si="8"/>
        <v>34.323</v>
      </c>
      <c r="Z133" s="279"/>
      <c r="AA133" s="280">
        <v>0</v>
      </c>
      <c r="AB133" s="281">
        <v>1.32</v>
      </c>
      <c r="AC133" s="280">
        <v>17.7</v>
      </c>
      <c r="AD133" s="294">
        <v>1.67</v>
      </c>
      <c r="AE133" s="281">
        <v>2.99</v>
      </c>
      <c r="AF133" s="288">
        <v>8.98</v>
      </c>
      <c r="AG133" s="303">
        <v>0</v>
      </c>
      <c r="AH133" s="356">
        <v>1.7</v>
      </c>
      <c r="AI133" s="301">
        <f t="shared" ref="AI133:AI169" si="10">Y133-I133</f>
        <v>0.15600000000000591</v>
      </c>
      <c r="AJ133" s="402"/>
      <c r="AK133" s="435" t="s">
        <v>50</v>
      </c>
      <c r="AL133" s="425"/>
      <c r="AM133" s="426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</row>
    <row r="134" spans="1:248" ht="45" customHeight="1" thickBot="1" x14ac:dyDescent="0.3">
      <c r="A134" s="444">
        <v>3354</v>
      </c>
      <c r="B134" s="445" t="s">
        <v>51</v>
      </c>
      <c r="C134" s="445" t="s">
        <v>91</v>
      </c>
      <c r="D134" s="445"/>
      <c r="E134" s="445">
        <v>88</v>
      </c>
      <c r="F134" s="445"/>
      <c r="G134" s="445"/>
      <c r="H134" s="448" t="s">
        <v>55</v>
      </c>
      <c r="I134" s="451">
        <f>SUMIF('Wege im Detail'!$A:$A,"03354",'Wege im Detail'!$P:$P)</f>
        <v>9.5820000000000007</v>
      </c>
      <c r="J134" s="508" t="s">
        <v>421</v>
      </c>
      <c r="L134" s="209">
        <v>36</v>
      </c>
      <c r="M134" s="197">
        <v>94</v>
      </c>
      <c r="N134" s="198">
        <v>3</v>
      </c>
      <c r="O134" s="213">
        <v>3</v>
      </c>
      <c r="P134" s="350">
        <v>0</v>
      </c>
      <c r="R134" s="275">
        <v>0</v>
      </c>
      <c r="S134" s="276">
        <v>0.20300000000000001</v>
      </c>
      <c r="T134" s="277">
        <v>3.53</v>
      </c>
      <c r="U134" s="276">
        <v>1.32</v>
      </c>
      <c r="V134" s="277">
        <v>2.79</v>
      </c>
      <c r="W134" s="276">
        <v>1.45</v>
      </c>
      <c r="X134" s="277">
        <v>0.24399999999999999</v>
      </c>
      <c r="Y134" s="264">
        <f t="shared" si="8"/>
        <v>9.536999999999999</v>
      </c>
      <c r="Z134" s="279"/>
      <c r="AA134" s="280">
        <v>0.14899999999999999</v>
      </c>
      <c r="AB134" s="281">
        <v>0.28399999999999997</v>
      </c>
      <c r="AC134" s="280">
        <v>5.95</v>
      </c>
      <c r="AD134" s="294">
        <v>0</v>
      </c>
      <c r="AE134" s="281">
        <v>1.31</v>
      </c>
      <c r="AF134" s="288">
        <v>1.84</v>
      </c>
      <c r="AG134" s="303">
        <v>0</v>
      </c>
      <c r="AH134" s="356">
        <v>0</v>
      </c>
      <c r="AI134" s="301">
        <f t="shared" si="10"/>
        <v>-4.5000000000001705E-2</v>
      </c>
      <c r="AK134" s="437" t="s">
        <v>50</v>
      </c>
    </row>
    <row r="135" spans="1:248" ht="45" customHeight="1" thickBot="1" x14ac:dyDescent="0.3">
      <c r="A135" s="444">
        <v>3357</v>
      </c>
      <c r="B135" s="445" t="s">
        <v>51</v>
      </c>
      <c r="C135" s="445" t="s">
        <v>91</v>
      </c>
      <c r="D135" s="445"/>
      <c r="E135" s="445">
        <v>79</v>
      </c>
      <c r="F135" s="445"/>
      <c r="G135" s="445"/>
      <c r="H135" s="448" t="s">
        <v>55</v>
      </c>
      <c r="I135" s="451">
        <f>SUMIF('Wege im Detail'!$A:$A,"03357",'Wege im Detail'!$P:$P)</f>
        <v>4.2149999999999999</v>
      </c>
      <c r="J135" s="508" t="s">
        <v>422</v>
      </c>
      <c r="L135" s="209">
        <v>0</v>
      </c>
      <c r="M135" s="197">
        <v>100</v>
      </c>
      <c r="N135" s="198">
        <v>0</v>
      </c>
      <c r="O135" s="213">
        <v>0</v>
      </c>
      <c r="P135" s="350">
        <v>0</v>
      </c>
      <c r="R135" s="275">
        <v>0</v>
      </c>
      <c r="S135" s="276">
        <v>0</v>
      </c>
      <c r="T135" s="277">
        <v>4.2</v>
      </c>
      <c r="U135" s="276">
        <v>0</v>
      </c>
      <c r="V135" s="277">
        <v>0</v>
      </c>
      <c r="W135" s="276">
        <v>0</v>
      </c>
      <c r="X135" s="277">
        <v>0</v>
      </c>
      <c r="Y135" s="264">
        <f t="shared" si="8"/>
        <v>4.2</v>
      </c>
      <c r="Z135" s="279"/>
      <c r="AA135" s="280">
        <v>0</v>
      </c>
      <c r="AB135" s="281">
        <v>0</v>
      </c>
      <c r="AC135" s="280">
        <v>4.2</v>
      </c>
      <c r="AD135" s="294">
        <v>0</v>
      </c>
      <c r="AE135" s="281">
        <v>0</v>
      </c>
      <c r="AF135" s="288">
        <v>0</v>
      </c>
      <c r="AG135" s="303">
        <v>0</v>
      </c>
      <c r="AH135" s="356">
        <v>0</v>
      </c>
      <c r="AI135" s="301">
        <f t="shared" si="10"/>
        <v>-1.499999999999968E-2</v>
      </c>
      <c r="AK135" s="437" t="s">
        <v>50</v>
      </c>
    </row>
    <row r="136" spans="1:248" ht="45" customHeight="1" thickBot="1" x14ac:dyDescent="0.25">
      <c r="A136" s="444">
        <v>3358</v>
      </c>
      <c r="B136" s="445" t="s">
        <v>51</v>
      </c>
      <c r="C136" s="445" t="s">
        <v>91</v>
      </c>
      <c r="D136" s="445"/>
      <c r="E136" s="445">
        <v>89</v>
      </c>
      <c r="F136" s="445"/>
      <c r="G136" s="445"/>
      <c r="H136" s="448" t="s">
        <v>55</v>
      </c>
      <c r="I136" s="451">
        <f>SUMIF('Wege im Detail'!$A:$A,"03358",'Wege im Detail'!$P:$P)</f>
        <v>3.169</v>
      </c>
      <c r="J136" s="508" t="s">
        <v>424</v>
      </c>
      <c r="L136" s="209">
        <v>0</v>
      </c>
      <c r="M136" s="197">
        <v>100</v>
      </c>
      <c r="N136" s="198">
        <v>0</v>
      </c>
      <c r="O136" s="213">
        <v>0</v>
      </c>
      <c r="P136" s="350">
        <v>0</v>
      </c>
      <c r="R136" s="275">
        <v>0</v>
      </c>
      <c r="S136" s="276">
        <v>0</v>
      </c>
      <c r="T136" s="277">
        <v>3.18</v>
      </c>
      <c r="U136" s="276">
        <v>0</v>
      </c>
      <c r="V136" s="277">
        <v>0</v>
      </c>
      <c r="W136" s="276">
        <v>0</v>
      </c>
      <c r="X136" s="277">
        <v>0</v>
      </c>
      <c r="Y136" s="264">
        <f t="shared" si="8"/>
        <v>3.18</v>
      </c>
      <c r="Z136" s="282"/>
      <c r="AA136" s="280">
        <v>0</v>
      </c>
      <c r="AB136" s="281">
        <v>0</v>
      </c>
      <c r="AC136" s="280">
        <v>3.18</v>
      </c>
      <c r="AD136" s="294">
        <v>0</v>
      </c>
      <c r="AE136" s="281">
        <v>0</v>
      </c>
      <c r="AF136" s="288">
        <v>0</v>
      </c>
      <c r="AG136" s="303">
        <v>0</v>
      </c>
      <c r="AH136" s="356">
        <v>0</v>
      </c>
      <c r="AI136" s="301">
        <f t="shared" si="10"/>
        <v>1.1000000000000121E-2</v>
      </c>
      <c r="AJ136" s="187"/>
      <c r="AK136" s="437" t="s">
        <v>50</v>
      </c>
      <c r="AL136" s="427"/>
      <c r="AM136" s="428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</row>
    <row r="137" spans="1:248" ht="45" customHeight="1" thickBot="1" x14ac:dyDescent="0.3">
      <c r="A137" s="444">
        <v>3359</v>
      </c>
      <c r="B137" s="445" t="s">
        <v>51</v>
      </c>
      <c r="C137" s="445" t="s">
        <v>91</v>
      </c>
      <c r="D137" s="445"/>
      <c r="E137" s="445">
        <v>81</v>
      </c>
      <c r="F137" s="445"/>
      <c r="G137" s="445"/>
      <c r="H137" s="448" t="s">
        <v>55</v>
      </c>
      <c r="I137" s="451">
        <f>SUMIF('Wege im Detail'!$A:$A,"03359",'Wege im Detail'!$P:$P)</f>
        <v>11.063000000000001</v>
      </c>
      <c r="J137" s="508" t="s">
        <v>426</v>
      </c>
      <c r="L137" s="209">
        <v>38</v>
      </c>
      <c r="M137" s="197">
        <v>92</v>
      </c>
      <c r="N137" s="198">
        <v>8</v>
      </c>
      <c r="O137" s="213">
        <v>0</v>
      </c>
      <c r="P137" s="350">
        <v>0</v>
      </c>
      <c r="R137" s="275">
        <v>0</v>
      </c>
      <c r="S137" s="276">
        <v>1.69</v>
      </c>
      <c r="T137" s="277">
        <v>5.03</v>
      </c>
      <c r="U137" s="276">
        <v>0.32300000000000001</v>
      </c>
      <c r="V137" s="277">
        <v>1.91</v>
      </c>
      <c r="W137" s="276">
        <v>2.17</v>
      </c>
      <c r="X137" s="277" t="s">
        <v>427</v>
      </c>
      <c r="Y137" s="264">
        <f t="shared" si="8"/>
        <v>11.123000000000001</v>
      </c>
      <c r="Z137" s="279"/>
      <c r="AA137" s="280">
        <v>0</v>
      </c>
      <c r="AB137" s="281">
        <v>1.04</v>
      </c>
      <c r="AC137" s="280">
        <v>6.14</v>
      </c>
      <c r="AD137" s="294">
        <v>0.55549999999999999</v>
      </c>
      <c r="AE137" s="281">
        <v>1.48</v>
      </c>
      <c r="AF137" s="288">
        <v>2.4500000000000002</v>
      </c>
      <c r="AG137" s="303">
        <v>0</v>
      </c>
      <c r="AH137" s="356">
        <v>0</v>
      </c>
      <c r="AI137" s="301">
        <f t="shared" si="10"/>
        <v>6.0000000000000497E-2</v>
      </c>
      <c r="AK137" s="437" t="s">
        <v>50</v>
      </c>
    </row>
    <row r="138" spans="1:248" ht="45" customHeight="1" thickBot="1" x14ac:dyDescent="0.3">
      <c r="A138" s="444">
        <v>3360</v>
      </c>
      <c r="B138" s="445" t="s">
        <v>51</v>
      </c>
      <c r="C138" s="445" t="s">
        <v>91</v>
      </c>
      <c r="D138" s="445"/>
      <c r="E138" s="445">
        <v>90</v>
      </c>
      <c r="F138" s="445"/>
      <c r="G138" s="445"/>
      <c r="H138" s="448" t="s">
        <v>55</v>
      </c>
      <c r="I138" s="451">
        <f>SUMIF('Wege im Detail'!$A:$A,"03360",'Wege im Detail'!$P:$P)</f>
        <v>7.4210000000000003</v>
      </c>
      <c r="J138" s="508" t="s">
        <v>428</v>
      </c>
      <c r="L138" s="209">
        <v>16</v>
      </c>
      <c r="M138" s="197">
        <v>100</v>
      </c>
      <c r="N138" s="198">
        <v>0</v>
      </c>
      <c r="O138" s="213">
        <v>0</v>
      </c>
      <c r="P138" s="350">
        <v>0</v>
      </c>
      <c r="R138" s="275">
        <v>0</v>
      </c>
      <c r="S138" s="276">
        <v>0.35799999999999998</v>
      </c>
      <c r="T138" s="277">
        <v>5.85</v>
      </c>
      <c r="U138" s="276">
        <v>0.55549999999999999</v>
      </c>
      <c r="V138" s="277">
        <v>1.1499999999999999</v>
      </c>
      <c r="W138" s="276">
        <v>0.55549999999999999</v>
      </c>
      <c r="X138" s="277">
        <v>0</v>
      </c>
      <c r="Y138" s="264">
        <f t="shared" si="8"/>
        <v>8.4689999999999994</v>
      </c>
      <c r="Z138" s="279"/>
      <c r="AA138" s="280">
        <v>0</v>
      </c>
      <c r="AB138" s="281">
        <v>0.49</v>
      </c>
      <c r="AC138" s="280">
        <v>5.72</v>
      </c>
      <c r="AD138" s="294">
        <v>0</v>
      </c>
      <c r="AE138" s="281">
        <v>1.18</v>
      </c>
      <c r="AF138" s="288">
        <v>0</v>
      </c>
      <c r="AG138" s="303">
        <v>0</v>
      </c>
      <c r="AH138" s="356">
        <v>0</v>
      </c>
      <c r="AI138" s="301">
        <f t="shared" si="10"/>
        <v>1.0479999999999992</v>
      </c>
      <c r="AK138" s="437" t="s">
        <v>50</v>
      </c>
    </row>
    <row r="139" spans="1:248" ht="45" customHeight="1" thickBot="1" x14ac:dyDescent="0.3">
      <c r="A139" s="444">
        <v>3364</v>
      </c>
      <c r="B139" s="445" t="s">
        <v>51</v>
      </c>
      <c r="C139" s="445" t="s">
        <v>91</v>
      </c>
      <c r="D139" s="445"/>
      <c r="E139" s="445">
        <v>95</v>
      </c>
      <c r="F139" s="445"/>
      <c r="G139" s="445"/>
      <c r="H139" s="448" t="s">
        <v>55</v>
      </c>
      <c r="I139" s="451">
        <f>SUMIF('Wege im Detail'!$A:$A,"03364",'Wege im Detail'!$P:$P)</f>
        <v>11.898</v>
      </c>
      <c r="J139" s="508" t="s">
        <v>429</v>
      </c>
      <c r="L139" s="209">
        <v>39</v>
      </c>
      <c r="M139" s="197">
        <v>96</v>
      </c>
      <c r="N139" s="198">
        <v>4</v>
      </c>
      <c r="O139" s="213">
        <v>0</v>
      </c>
      <c r="P139" s="350">
        <v>0</v>
      </c>
      <c r="R139" s="275">
        <v>0</v>
      </c>
      <c r="S139" s="276">
        <v>1.59</v>
      </c>
      <c r="T139" s="277">
        <v>4.8</v>
      </c>
      <c r="U139" s="276">
        <v>0.91600000000000004</v>
      </c>
      <c r="V139" s="277">
        <v>4.18</v>
      </c>
      <c r="W139" s="276">
        <v>0.17</v>
      </c>
      <c r="X139" s="277">
        <v>0.16600000000000001</v>
      </c>
      <c r="Y139" s="264">
        <f t="shared" si="8"/>
        <v>11.822000000000001</v>
      </c>
      <c r="Z139" s="279"/>
      <c r="AA139" s="280">
        <v>0</v>
      </c>
      <c r="AB139" s="281">
        <v>0</v>
      </c>
      <c r="AC139" s="280">
        <v>8.64</v>
      </c>
      <c r="AD139" s="294">
        <v>0.55549999999999999</v>
      </c>
      <c r="AE139" s="281">
        <v>0.16600000000000001</v>
      </c>
      <c r="AF139" s="288">
        <v>3.02</v>
      </c>
      <c r="AG139" s="303">
        <v>0</v>
      </c>
      <c r="AH139" s="356">
        <v>0</v>
      </c>
      <c r="AI139" s="301">
        <f t="shared" si="10"/>
        <v>-7.5999999999998735E-2</v>
      </c>
      <c r="AK139" s="437" t="s">
        <v>50</v>
      </c>
    </row>
    <row r="140" spans="1:248" ht="45" customHeight="1" thickBot="1" x14ac:dyDescent="0.3">
      <c r="A140" s="444">
        <v>3369</v>
      </c>
      <c r="B140" s="445" t="s">
        <v>51</v>
      </c>
      <c r="C140" s="445" t="s">
        <v>91</v>
      </c>
      <c r="D140" s="445"/>
      <c r="E140" s="445">
        <v>74</v>
      </c>
      <c r="F140" s="445"/>
      <c r="G140" s="445"/>
      <c r="H140" s="448" t="s">
        <v>55</v>
      </c>
      <c r="I140" s="451">
        <f>SUMIF('Wege im Detail'!$A:$A,"03369",'Wege im Detail'!$P:$P)</f>
        <v>5.4830000000000005</v>
      </c>
      <c r="J140" s="508" t="s">
        <v>430</v>
      </c>
      <c r="L140" s="209">
        <v>17</v>
      </c>
      <c r="M140" s="197">
        <v>89</v>
      </c>
      <c r="N140" s="198">
        <v>11</v>
      </c>
      <c r="O140" s="213">
        <v>0</v>
      </c>
      <c r="P140" s="350">
        <v>0</v>
      </c>
      <c r="R140" s="275">
        <v>0</v>
      </c>
      <c r="S140" s="276">
        <v>0</v>
      </c>
      <c r="T140" s="277">
        <v>4.29</v>
      </c>
      <c r="U140" s="276">
        <v>0.28899999999999998</v>
      </c>
      <c r="V140" s="277">
        <v>0.129</v>
      </c>
      <c r="W140" s="276">
        <v>0.63600000000000001</v>
      </c>
      <c r="X140" s="277">
        <v>0.115</v>
      </c>
      <c r="Y140" s="264">
        <f t="shared" si="8"/>
        <v>5.4590000000000005</v>
      </c>
      <c r="Z140" s="279"/>
      <c r="AA140" s="280">
        <v>0</v>
      </c>
      <c r="AB140" s="281">
        <v>1.67</v>
      </c>
      <c r="AC140" s="280">
        <v>2.62</v>
      </c>
      <c r="AD140" s="294">
        <v>0</v>
      </c>
      <c r="AE140" s="281">
        <v>0.52400000000000002</v>
      </c>
      <c r="AF140" s="288">
        <v>0.64600000000000002</v>
      </c>
      <c r="AG140" s="303">
        <v>0</v>
      </c>
      <c r="AH140" s="356">
        <v>0</v>
      </c>
      <c r="AI140" s="301">
        <f t="shared" si="10"/>
        <v>-2.4000000000000021E-2</v>
      </c>
      <c r="AK140" s="437" t="s">
        <v>50</v>
      </c>
    </row>
    <row r="141" spans="1:248" ht="45" customHeight="1" thickBot="1" x14ac:dyDescent="0.3">
      <c r="A141" s="444">
        <v>3370</v>
      </c>
      <c r="B141" s="445" t="s">
        <v>51</v>
      </c>
      <c r="C141" s="445" t="s">
        <v>91</v>
      </c>
      <c r="D141" s="445"/>
      <c r="E141" s="445">
        <v>75</v>
      </c>
      <c r="F141" s="445"/>
      <c r="G141" s="445"/>
      <c r="H141" s="448" t="s">
        <v>55</v>
      </c>
      <c r="I141" s="451">
        <f>SUMIF('Wege im Detail'!$A:$A,"03370",'Wege im Detail'!$P:$P)</f>
        <v>10.223000000000001</v>
      </c>
      <c r="J141" s="508" t="s">
        <v>431</v>
      </c>
      <c r="L141" s="209">
        <v>18</v>
      </c>
      <c r="M141" s="197">
        <v>90</v>
      </c>
      <c r="N141" s="198">
        <v>8</v>
      </c>
      <c r="O141" s="213">
        <v>2</v>
      </c>
      <c r="P141" s="350">
        <v>0</v>
      </c>
      <c r="R141" s="275">
        <v>0</v>
      </c>
      <c r="S141" s="276">
        <v>2.0299999999999998</v>
      </c>
      <c r="T141" s="277">
        <v>3.22</v>
      </c>
      <c r="U141" s="276">
        <v>3.07</v>
      </c>
      <c r="V141" s="277">
        <v>1.9</v>
      </c>
      <c r="W141" s="276">
        <v>0.55549999999999999</v>
      </c>
      <c r="X141" s="277" t="s">
        <v>432</v>
      </c>
      <c r="Y141" s="264">
        <f t="shared" si="8"/>
        <v>10.775500000000001</v>
      </c>
      <c r="Z141" s="279"/>
      <c r="AA141" s="280">
        <v>0.7</v>
      </c>
      <c r="AB141" s="281">
        <v>1.73</v>
      </c>
      <c r="AC141" s="280">
        <v>5.74</v>
      </c>
      <c r="AD141" s="294">
        <v>0.81399999999999995</v>
      </c>
      <c r="AE141" s="281">
        <v>1.33</v>
      </c>
      <c r="AF141" s="288">
        <v>0.55549999999999999</v>
      </c>
      <c r="AG141" s="303">
        <v>0</v>
      </c>
      <c r="AH141" s="356">
        <v>0</v>
      </c>
      <c r="AI141" s="301">
        <f t="shared" si="10"/>
        <v>0.55250000000000021</v>
      </c>
      <c r="AK141" s="437" t="s">
        <v>50</v>
      </c>
    </row>
    <row r="142" spans="1:248" ht="45" customHeight="1" thickBot="1" x14ac:dyDescent="0.25">
      <c r="A142" s="444">
        <v>3371</v>
      </c>
      <c r="B142" s="445" t="s">
        <v>51</v>
      </c>
      <c r="C142" s="445" t="s">
        <v>91</v>
      </c>
      <c r="D142" s="445"/>
      <c r="E142" s="445">
        <v>91</v>
      </c>
      <c r="F142" s="445"/>
      <c r="G142" s="445"/>
      <c r="H142" s="448" t="s">
        <v>55</v>
      </c>
      <c r="I142" s="451">
        <f>SUMIF('Wege im Detail'!$A:$A,"03371",'Wege im Detail'!$P:$P)</f>
        <v>5.5470000000000006</v>
      </c>
      <c r="J142" s="508" t="s">
        <v>434</v>
      </c>
      <c r="L142" s="209">
        <v>62</v>
      </c>
      <c r="M142" s="197">
        <v>98</v>
      </c>
      <c r="N142" s="198">
        <v>2</v>
      </c>
      <c r="O142" s="213">
        <v>0</v>
      </c>
      <c r="P142" s="350">
        <v>0</v>
      </c>
      <c r="R142" s="275">
        <v>0</v>
      </c>
      <c r="S142" s="276">
        <v>0</v>
      </c>
      <c r="T142" s="277">
        <v>1.1499999999999999</v>
      </c>
      <c r="U142" s="276">
        <v>0.92200000000000004</v>
      </c>
      <c r="V142" s="277">
        <v>3.41</v>
      </c>
      <c r="W142" s="276">
        <v>0.55549999999999999</v>
      </c>
      <c r="X142" s="277">
        <v>0</v>
      </c>
      <c r="Y142" s="264">
        <f t="shared" si="8"/>
        <v>6.0375000000000005</v>
      </c>
      <c r="Z142" s="282"/>
      <c r="AA142" s="280">
        <v>0</v>
      </c>
      <c r="AB142" s="281">
        <v>0.82499999999999996</v>
      </c>
      <c r="AC142" s="280">
        <v>2.0299999999999998</v>
      </c>
      <c r="AD142" s="294">
        <v>0.35599999999999998</v>
      </c>
      <c r="AE142" s="281">
        <v>2.0699999999999998</v>
      </c>
      <c r="AF142" s="288">
        <v>0.27700000000000002</v>
      </c>
      <c r="AG142" s="303">
        <v>0</v>
      </c>
      <c r="AH142" s="356">
        <v>0</v>
      </c>
      <c r="AI142" s="301">
        <f t="shared" si="10"/>
        <v>0.49049999999999994</v>
      </c>
      <c r="AJ142" s="187"/>
      <c r="AK142" s="437" t="s">
        <v>50</v>
      </c>
      <c r="AL142" s="427"/>
      <c r="AM142" s="428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</row>
    <row r="143" spans="1:248" ht="45" customHeight="1" thickBot="1" x14ac:dyDescent="0.3">
      <c r="A143" s="444">
        <v>3373</v>
      </c>
      <c r="B143" s="445" t="s">
        <v>51</v>
      </c>
      <c r="C143" s="445" t="s">
        <v>91</v>
      </c>
      <c r="D143" s="445"/>
      <c r="E143" s="445">
        <v>80</v>
      </c>
      <c r="F143" s="445"/>
      <c r="G143" s="445"/>
      <c r="H143" s="448" t="s">
        <v>55</v>
      </c>
      <c r="I143" s="451">
        <f>SUMIF('Wege im Detail'!$A:$A,"03373",'Wege im Detail'!$P:$P)</f>
        <v>21.700000000000003</v>
      </c>
      <c r="J143" s="508" t="s">
        <v>435</v>
      </c>
      <c r="L143" s="209">
        <v>28</v>
      </c>
      <c r="M143" s="197">
        <v>94</v>
      </c>
      <c r="N143" s="198">
        <v>6</v>
      </c>
      <c r="O143" s="213">
        <v>0</v>
      </c>
      <c r="P143" s="350">
        <v>0</v>
      </c>
      <c r="R143" s="275">
        <v>0</v>
      </c>
      <c r="S143" s="276">
        <v>1.73</v>
      </c>
      <c r="T143" s="277">
        <v>12.08</v>
      </c>
      <c r="U143" s="276">
        <v>1.06</v>
      </c>
      <c r="V143" s="277">
        <v>3.86</v>
      </c>
      <c r="W143" s="276">
        <v>2.3199999999999998</v>
      </c>
      <c r="X143" s="277">
        <v>0.55549999999999999</v>
      </c>
      <c r="Y143" s="264">
        <f t="shared" si="8"/>
        <v>21.605499999999999</v>
      </c>
      <c r="Z143" s="279"/>
      <c r="AA143" s="280">
        <v>0</v>
      </c>
      <c r="AB143" s="281">
        <v>0.55549999999999999</v>
      </c>
      <c r="AC143" s="280">
        <v>17.600000000000001</v>
      </c>
      <c r="AD143" s="294">
        <v>0.16900000000000001</v>
      </c>
      <c r="AE143" s="281">
        <v>2.33</v>
      </c>
      <c r="AF143" s="288">
        <v>1.65</v>
      </c>
      <c r="AG143" s="303">
        <v>0</v>
      </c>
      <c r="AH143" s="356">
        <v>0</v>
      </c>
      <c r="AI143" s="301">
        <f t="shared" si="10"/>
        <v>-9.4500000000003581E-2</v>
      </c>
      <c r="AK143" s="437" t="s">
        <v>50</v>
      </c>
    </row>
    <row r="144" spans="1:248" ht="45" customHeight="1" thickBot="1" x14ac:dyDescent="0.3">
      <c r="A144" s="444">
        <v>3376</v>
      </c>
      <c r="B144" s="445" t="s">
        <v>51</v>
      </c>
      <c r="C144" s="445" t="s">
        <v>91</v>
      </c>
      <c r="D144" s="445"/>
      <c r="E144" s="445">
        <v>81</v>
      </c>
      <c r="F144" s="445"/>
      <c r="G144" s="445"/>
      <c r="H144" s="448" t="s">
        <v>55</v>
      </c>
      <c r="I144" s="451">
        <f>SUMIF('Wege im Detail'!$A:$A,"03376",'Wege im Detail'!$P:$P)</f>
        <v>11.216999999999999</v>
      </c>
      <c r="J144" s="508" t="s">
        <v>437</v>
      </c>
      <c r="L144" s="209">
        <v>32</v>
      </c>
      <c r="M144" s="197">
        <v>83</v>
      </c>
      <c r="N144" s="198">
        <v>11</v>
      </c>
      <c r="O144" s="213">
        <v>7</v>
      </c>
      <c r="P144" s="350">
        <v>0</v>
      </c>
      <c r="R144" s="275">
        <v>0</v>
      </c>
      <c r="S144" s="276">
        <v>4.12</v>
      </c>
      <c r="T144" s="277">
        <v>3.49</v>
      </c>
      <c r="U144" s="276">
        <v>0.55549999999999999</v>
      </c>
      <c r="V144" s="277">
        <v>0.60899999999999999</v>
      </c>
      <c r="W144" s="276">
        <v>2.96</v>
      </c>
      <c r="X144" s="277">
        <v>0.55549999999999999</v>
      </c>
      <c r="Y144" s="264">
        <f t="shared" si="8"/>
        <v>12.290000000000001</v>
      </c>
      <c r="Z144" s="279"/>
      <c r="AA144" s="280">
        <v>0</v>
      </c>
      <c r="AB144" s="281">
        <v>0.121</v>
      </c>
      <c r="AC144" s="280">
        <v>7.67</v>
      </c>
      <c r="AD144" s="294">
        <v>0</v>
      </c>
      <c r="AE144" s="281">
        <v>0.17299999999999999</v>
      </c>
      <c r="AF144" s="288">
        <v>3.28</v>
      </c>
      <c r="AG144" s="303">
        <v>0</v>
      </c>
      <c r="AH144" s="356">
        <v>0</v>
      </c>
      <c r="AI144" s="301">
        <f t="shared" si="10"/>
        <v>1.0730000000000022</v>
      </c>
      <c r="AK144" s="437" t="s">
        <v>50</v>
      </c>
    </row>
    <row r="145" spans="1:248" ht="45" customHeight="1" thickBot="1" x14ac:dyDescent="0.3">
      <c r="A145" s="444">
        <v>3377</v>
      </c>
      <c r="B145" s="445" t="s">
        <v>51</v>
      </c>
      <c r="C145" s="445" t="s">
        <v>91</v>
      </c>
      <c r="D145" s="445"/>
      <c r="E145" s="445">
        <v>82</v>
      </c>
      <c r="F145" s="445"/>
      <c r="G145" s="445"/>
      <c r="H145" s="448" t="s">
        <v>55</v>
      </c>
      <c r="I145" s="451">
        <f>SUMIF('Wege im Detail'!$A:$A,"03377",'Wege im Detail'!$P:$P)</f>
        <v>5.2840000000000007</v>
      </c>
      <c r="J145" s="508" t="s">
        <v>439</v>
      </c>
      <c r="L145" s="209">
        <v>37</v>
      </c>
      <c r="M145" s="197">
        <v>75</v>
      </c>
      <c r="N145" s="198">
        <v>25</v>
      </c>
      <c r="O145" s="213">
        <v>0</v>
      </c>
      <c r="P145" s="350">
        <v>0</v>
      </c>
      <c r="R145" s="275">
        <v>0</v>
      </c>
      <c r="S145" s="276">
        <v>1.9</v>
      </c>
      <c r="T145" s="277">
        <v>0.111</v>
      </c>
      <c r="U145" s="276">
        <v>1.34</v>
      </c>
      <c r="V145" s="277">
        <v>1.25</v>
      </c>
      <c r="W145" s="276">
        <v>0.68100000000000005</v>
      </c>
      <c r="X145" s="277">
        <v>0.55549999999999999</v>
      </c>
      <c r="Y145" s="264">
        <f t="shared" si="8"/>
        <v>5.8375000000000004</v>
      </c>
      <c r="Z145" s="279"/>
      <c r="AA145" s="280">
        <v>0</v>
      </c>
      <c r="AB145" s="281">
        <v>0.111</v>
      </c>
      <c r="AC145" s="280">
        <v>3.16</v>
      </c>
      <c r="AD145" s="294">
        <v>0</v>
      </c>
      <c r="AE145" s="281">
        <v>0.73599999999999999</v>
      </c>
      <c r="AF145" s="288">
        <v>1.3</v>
      </c>
      <c r="AG145" s="303">
        <v>0</v>
      </c>
      <c r="AH145" s="356">
        <v>0</v>
      </c>
      <c r="AI145" s="301">
        <f t="shared" si="10"/>
        <v>0.55349999999999966</v>
      </c>
      <c r="AK145" s="437" t="s">
        <v>50</v>
      </c>
    </row>
    <row r="146" spans="1:248" ht="45" customHeight="1" thickBot="1" x14ac:dyDescent="0.25">
      <c r="A146" s="444">
        <v>3378</v>
      </c>
      <c r="B146" s="445" t="s">
        <v>51</v>
      </c>
      <c r="C146" s="445" t="s">
        <v>91</v>
      </c>
      <c r="D146" s="445"/>
      <c r="E146" s="445">
        <v>85</v>
      </c>
      <c r="F146" s="445"/>
      <c r="G146" s="445"/>
      <c r="H146" s="448" t="s">
        <v>55</v>
      </c>
      <c r="I146" s="451">
        <f>SUMIF('Wege im Detail'!$A:$A,"03378",'Wege im Detail'!$P:$P)</f>
        <v>7.01</v>
      </c>
      <c r="J146" s="508" t="s">
        <v>440</v>
      </c>
      <c r="L146" s="209">
        <v>55</v>
      </c>
      <c r="M146" s="197">
        <v>100</v>
      </c>
      <c r="N146" s="198">
        <v>0</v>
      </c>
      <c r="O146" s="213">
        <v>0</v>
      </c>
      <c r="P146" s="350">
        <v>0</v>
      </c>
      <c r="R146" s="275">
        <v>0</v>
      </c>
      <c r="S146" s="276">
        <v>1.93</v>
      </c>
      <c r="T146" s="277">
        <v>0.64400000000000002</v>
      </c>
      <c r="U146" s="276">
        <v>0.48099999999999998</v>
      </c>
      <c r="V146" s="277">
        <v>2.0699999999999998</v>
      </c>
      <c r="W146" s="276">
        <v>1.91</v>
      </c>
      <c r="X146" s="277">
        <v>0</v>
      </c>
      <c r="Y146" s="264">
        <f t="shared" si="8"/>
        <v>7.0350000000000001</v>
      </c>
      <c r="Z146" s="282"/>
      <c r="AA146" s="280">
        <v>0</v>
      </c>
      <c r="AB146" s="281">
        <v>1.54</v>
      </c>
      <c r="AC146" s="280">
        <v>1.62</v>
      </c>
      <c r="AD146" s="294">
        <v>0</v>
      </c>
      <c r="AE146" s="281">
        <v>1.6</v>
      </c>
      <c r="AF146" s="288">
        <v>2.2799999999999998</v>
      </c>
      <c r="AG146" s="303">
        <v>0</v>
      </c>
      <c r="AH146" s="356">
        <v>0</v>
      </c>
      <c r="AI146" s="301">
        <f t="shared" si="10"/>
        <v>2.5000000000000355E-2</v>
      </c>
      <c r="AJ146" s="187"/>
      <c r="AK146" s="437" t="s">
        <v>50</v>
      </c>
      <c r="AL146" s="427"/>
      <c r="AM146" s="428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</row>
    <row r="147" spans="1:248" ht="45" customHeight="1" thickBot="1" x14ac:dyDescent="0.25">
      <c r="A147" s="444">
        <v>3386</v>
      </c>
      <c r="B147" s="445" t="s">
        <v>51</v>
      </c>
      <c r="C147" s="445" t="s">
        <v>91</v>
      </c>
      <c r="D147" s="445"/>
      <c r="E147" s="445">
        <v>83</v>
      </c>
      <c r="F147" s="445"/>
      <c r="G147" s="445"/>
      <c r="H147" s="448" t="s">
        <v>55</v>
      </c>
      <c r="I147" s="451">
        <f>SUMIF('Wege im Detail'!$A:$A,"03386",'Wege im Detail'!$P:$P)</f>
        <v>9.6859999999999999</v>
      </c>
      <c r="J147" s="508" t="s">
        <v>441</v>
      </c>
      <c r="L147" s="209">
        <v>26</v>
      </c>
      <c r="M147" s="197">
        <v>96</v>
      </c>
      <c r="N147" s="198">
        <v>1</v>
      </c>
      <c r="O147" s="213">
        <v>4</v>
      </c>
      <c r="P147" s="350">
        <v>0</v>
      </c>
      <c r="R147" s="275">
        <v>0</v>
      </c>
      <c r="S147" s="276">
        <v>1.91</v>
      </c>
      <c r="T147" s="277">
        <v>2.78</v>
      </c>
      <c r="U147" s="276">
        <v>2.44</v>
      </c>
      <c r="V147" s="277">
        <v>0.54</v>
      </c>
      <c r="W147" s="276">
        <v>1.86</v>
      </c>
      <c r="X147" s="277">
        <v>0.19700000000000001</v>
      </c>
      <c r="Y147" s="264">
        <f t="shared" si="8"/>
        <v>9.7269999999999985</v>
      </c>
      <c r="Z147" s="282"/>
      <c r="AA147" s="280">
        <v>0</v>
      </c>
      <c r="AB147" s="281">
        <v>0.59699999999999998</v>
      </c>
      <c r="AC147" s="280">
        <v>6.77</v>
      </c>
      <c r="AD147" s="294">
        <v>0.55549999999999999</v>
      </c>
      <c r="AE147" s="281">
        <v>0.46200000000000002</v>
      </c>
      <c r="AF147" s="288">
        <v>1.83</v>
      </c>
      <c r="AG147" s="303">
        <v>0</v>
      </c>
      <c r="AH147" s="356">
        <v>0</v>
      </c>
      <c r="AI147" s="301">
        <f t="shared" si="10"/>
        <v>4.0999999999998593E-2</v>
      </c>
      <c r="AJ147" s="187"/>
      <c r="AK147" s="437" t="s">
        <v>50</v>
      </c>
      <c r="AL147" s="427"/>
      <c r="AM147" s="428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</row>
    <row r="148" spans="1:248" ht="45" customHeight="1" thickBot="1" x14ac:dyDescent="0.3">
      <c r="A148" s="444">
        <v>3387</v>
      </c>
      <c r="B148" s="445" t="s">
        <v>51</v>
      </c>
      <c r="C148" s="445" t="s">
        <v>91</v>
      </c>
      <c r="D148" s="445"/>
      <c r="E148" s="445">
        <v>84</v>
      </c>
      <c r="F148" s="445"/>
      <c r="G148" s="445"/>
      <c r="H148" s="448" t="s">
        <v>55</v>
      </c>
      <c r="I148" s="451">
        <f>SUMIF('Wege im Detail'!$A:$A,"03387",'Wege im Detail'!$P:$P)</f>
        <v>6.1719999999999997</v>
      </c>
      <c r="J148" s="508" t="s">
        <v>442</v>
      </c>
      <c r="L148" s="209">
        <v>2</v>
      </c>
      <c r="M148" s="197">
        <v>100</v>
      </c>
      <c r="N148" s="198">
        <v>0</v>
      </c>
      <c r="O148" s="213">
        <v>0</v>
      </c>
      <c r="P148" s="350">
        <v>0</v>
      </c>
      <c r="R148" s="275">
        <v>0</v>
      </c>
      <c r="S148" s="276">
        <v>0.39700000000000002</v>
      </c>
      <c r="T148" s="277">
        <v>5.47</v>
      </c>
      <c r="U148" s="276">
        <v>0.15</v>
      </c>
      <c r="V148" s="277">
        <v>0.124</v>
      </c>
      <c r="W148" s="276">
        <v>0.55549999999999999</v>
      </c>
      <c r="X148" s="277">
        <v>0</v>
      </c>
      <c r="Y148" s="264">
        <f t="shared" si="8"/>
        <v>6.6965000000000003</v>
      </c>
      <c r="Z148" s="279"/>
      <c r="AA148" s="280">
        <v>0</v>
      </c>
      <c r="AB148" s="281">
        <v>1.18</v>
      </c>
      <c r="AC148" s="280">
        <v>4.75</v>
      </c>
      <c r="AD148" s="294">
        <v>0</v>
      </c>
      <c r="AE148" s="281">
        <v>0.55549999999999999</v>
      </c>
      <c r="AF148" s="288">
        <v>0.13800000000000001</v>
      </c>
      <c r="AG148" s="303">
        <v>0</v>
      </c>
      <c r="AH148" s="356">
        <v>0</v>
      </c>
      <c r="AI148" s="301">
        <f t="shared" si="10"/>
        <v>0.52450000000000063</v>
      </c>
      <c r="AK148" s="437" t="s">
        <v>50</v>
      </c>
    </row>
    <row r="149" spans="1:248" ht="45" customHeight="1" thickBot="1" x14ac:dyDescent="0.3">
      <c r="A149" s="444">
        <v>3391</v>
      </c>
      <c r="B149" s="445" t="s">
        <v>51</v>
      </c>
      <c r="C149" s="445" t="s">
        <v>91</v>
      </c>
      <c r="D149" s="445"/>
      <c r="E149" s="445">
        <v>86</v>
      </c>
      <c r="F149" s="445"/>
      <c r="G149" s="445"/>
      <c r="H149" s="448" t="s">
        <v>55</v>
      </c>
      <c r="I149" s="451">
        <f>SUMIF('Wege im Detail'!$A:$A,"03391",'Wege im Detail'!$P:$P)</f>
        <v>9</v>
      </c>
      <c r="J149" s="508" t="s">
        <v>443</v>
      </c>
      <c r="L149" s="209">
        <v>24</v>
      </c>
      <c r="M149" s="197">
        <v>100</v>
      </c>
      <c r="N149" s="198">
        <v>0</v>
      </c>
      <c r="O149" s="213">
        <v>0</v>
      </c>
      <c r="P149" s="350">
        <v>0</v>
      </c>
      <c r="R149" s="275">
        <v>0</v>
      </c>
      <c r="S149" s="276">
        <v>2.34</v>
      </c>
      <c r="T149" s="277">
        <v>2.67</v>
      </c>
      <c r="U149" s="276">
        <v>1.97</v>
      </c>
      <c r="V149" s="277">
        <v>1.56</v>
      </c>
      <c r="W149" s="276">
        <v>0.47599999999999998</v>
      </c>
      <c r="X149" s="277">
        <v>0.55549999999999999</v>
      </c>
      <c r="Y149" s="264">
        <f t="shared" si="8"/>
        <v>9.5714999999999986</v>
      </c>
      <c r="Z149" s="279"/>
      <c r="AA149" s="280">
        <v>0</v>
      </c>
      <c r="AB149" s="281">
        <v>2.36</v>
      </c>
      <c r="AC149" s="280">
        <v>4.5999999999999996</v>
      </c>
      <c r="AD149" s="294">
        <v>0.88200000000000001</v>
      </c>
      <c r="AE149" s="281">
        <v>1.17</v>
      </c>
      <c r="AF149" s="288">
        <v>0</v>
      </c>
      <c r="AG149" s="303">
        <v>0</v>
      </c>
      <c r="AH149" s="356">
        <v>0</v>
      </c>
      <c r="AI149" s="301">
        <f t="shared" si="10"/>
        <v>0.57149999999999856</v>
      </c>
      <c r="AK149" s="437" t="s">
        <v>50</v>
      </c>
    </row>
    <row r="150" spans="1:248" ht="45" customHeight="1" thickBot="1" x14ac:dyDescent="0.3">
      <c r="A150" s="444">
        <v>3393</v>
      </c>
      <c r="B150" s="445" t="s">
        <v>51</v>
      </c>
      <c r="C150" s="445" t="s">
        <v>91</v>
      </c>
      <c r="D150" s="445"/>
      <c r="E150" s="445">
        <v>87</v>
      </c>
      <c r="F150" s="445"/>
      <c r="G150" s="445"/>
      <c r="H150" s="448" t="s">
        <v>55</v>
      </c>
      <c r="I150" s="451">
        <f>SUMIF('Wege im Detail'!$A:$A,"03393",'Wege im Detail'!$P:$P)</f>
        <v>10.097</v>
      </c>
      <c r="J150" s="508" t="s">
        <v>444</v>
      </c>
      <c r="L150" s="209">
        <v>17</v>
      </c>
      <c r="M150" s="197">
        <v>92</v>
      </c>
      <c r="N150" s="198">
        <v>6</v>
      </c>
      <c r="O150" s="213">
        <v>2</v>
      </c>
      <c r="P150" s="350">
        <v>0</v>
      </c>
      <c r="R150" s="275">
        <v>0</v>
      </c>
      <c r="S150" s="276">
        <v>0</v>
      </c>
      <c r="T150" s="277">
        <v>8.1950000000000003</v>
      </c>
      <c r="U150" s="276">
        <v>0</v>
      </c>
      <c r="V150" s="277">
        <v>0.90400000000000003</v>
      </c>
      <c r="W150" s="276">
        <v>0.85599999999999998</v>
      </c>
      <c r="X150" s="277">
        <v>0.16500000000000001</v>
      </c>
      <c r="Y150" s="264">
        <f t="shared" si="8"/>
        <v>10.119999999999999</v>
      </c>
      <c r="Z150" s="279"/>
      <c r="AA150" s="280">
        <v>0</v>
      </c>
      <c r="AB150" s="281">
        <v>0.153</v>
      </c>
      <c r="AC150" s="280">
        <v>8.0419999999999998</v>
      </c>
      <c r="AD150" s="294">
        <v>0</v>
      </c>
      <c r="AE150" s="281">
        <v>0.94299999999999995</v>
      </c>
      <c r="AF150" s="288">
        <v>0.999</v>
      </c>
      <c r="AG150" s="303">
        <v>0</v>
      </c>
      <c r="AH150" s="356">
        <v>0</v>
      </c>
      <c r="AI150" s="301">
        <f t="shared" si="10"/>
        <v>2.2999999999999687E-2</v>
      </c>
      <c r="AK150" s="437" t="s">
        <v>50</v>
      </c>
    </row>
    <row r="151" spans="1:248" ht="45" customHeight="1" thickBot="1" x14ac:dyDescent="0.25">
      <c r="A151" s="444">
        <v>3395</v>
      </c>
      <c r="B151" s="445" t="s">
        <v>51</v>
      </c>
      <c r="C151" s="445" t="s">
        <v>91</v>
      </c>
      <c r="D151" s="445"/>
      <c r="E151" s="445">
        <v>120</v>
      </c>
      <c r="F151" s="445"/>
      <c r="G151" s="445"/>
      <c r="H151" s="448" t="s">
        <v>55</v>
      </c>
      <c r="I151" s="451">
        <f>SUMIF('Wege im Detail'!$A:$A,"03395",'Wege im Detail'!$P:$P)</f>
        <v>7.84</v>
      </c>
      <c r="J151" s="508" t="s">
        <v>447</v>
      </c>
      <c r="L151" s="209">
        <v>80</v>
      </c>
      <c r="M151" s="197">
        <v>68</v>
      </c>
      <c r="N151" s="198">
        <v>32</v>
      </c>
      <c r="O151" s="213">
        <v>0</v>
      </c>
      <c r="P151" s="350">
        <v>0</v>
      </c>
      <c r="R151" s="275">
        <v>0</v>
      </c>
      <c r="S151" s="276">
        <v>0</v>
      </c>
      <c r="T151" s="277">
        <v>0.57999999999999996</v>
      </c>
      <c r="U151" s="276">
        <v>1.03</v>
      </c>
      <c r="V151" s="277">
        <v>2.25</v>
      </c>
      <c r="W151" s="276">
        <v>3.87</v>
      </c>
      <c r="X151" s="277">
        <v>0.55549999999999999</v>
      </c>
      <c r="Y151" s="264">
        <f t="shared" si="8"/>
        <v>8.2855000000000008</v>
      </c>
      <c r="Z151" s="282"/>
      <c r="AA151" s="280">
        <v>0</v>
      </c>
      <c r="AB151" s="281">
        <v>0.17599999999999999</v>
      </c>
      <c r="AC151" s="280">
        <v>1.55</v>
      </c>
      <c r="AD151" s="294">
        <v>1.02</v>
      </c>
      <c r="AE151" s="281">
        <v>1.05</v>
      </c>
      <c r="AF151" s="288">
        <v>4.05</v>
      </c>
      <c r="AG151" s="303">
        <v>0</v>
      </c>
      <c r="AH151" s="356">
        <v>0</v>
      </c>
      <c r="AI151" s="301">
        <f t="shared" si="10"/>
        <v>0.4455000000000009</v>
      </c>
      <c r="AJ151" s="187"/>
      <c r="AK151" s="437" t="s">
        <v>50</v>
      </c>
      <c r="AL151" s="427"/>
      <c r="AM151" s="428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</row>
    <row r="152" spans="1:248" ht="45" customHeight="1" thickBot="1" x14ac:dyDescent="0.3">
      <c r="A152" s="444">
        <v>3407</v>
      </c>
      <c r="B152" s="445" t="s">
        <v>51</v>
      </c>
      <c r="C152" s="445" t="s">
        <v>91</v>
      </c>
      <c r="D152" s="445"/>
      <c r="E152" s="445">
        <v>73</v>
      </c>
      <c r="F152" s="445"/>
      <c r="G152" s="445"/>
      <c r="H152" s="448" t="s">
        <v>55</v>
      </c>
      <c r="I152" s="451">
        <f>SUMIF('Wege im Detail'!$A:$A,"03407",'Wege im Detail'!$P:$P)</f>
        <v>3.3689999999999998</v>
      </c>
      <c r="J152" s="508" t="s">
        <v>448</v>
      </c>
      <c r="L152" s="209">
        <v>14</v>
      </c>
      <c r="M152" s="197">
        <v>97</v>
      </c>
      <c r="N152" s="198">
        <v>3</v>
      </c>
      <c r="O152" s="213">
        <v>0</v>
      </c>
      <c r="P152" s="350">
        <v>0</v>
      </c>
      <c r="R152" s="275">
        <v>0</v>
      </c>
      <c r="S152" s="276">
        <v>0</v>
      </c>
      <c r="T152" s="277">
        <v>2.17</v>
      </c>
      <c r="U152" s="276">
        <v>0.18099999999999999</v>
      </c>
      <c r="V152" s="277">
        <v>0.97899999999999998</v>
      </c>
      <c r="W152" s="276">
        <v>0.55549999999999999</v>
      </c>
      <c r="X152" s="277">
        <v>0.55549999999999999</v>
      </c>
      <c r="Y152" s="264">
        <f t="shared" si="8"/>
        <v>4.4409999999999998</v>
      </c>
      <c r="Z152" s="279"/>
      <c r="AA152" s="280">
        <v>0</v>
      </c>
      <c r="AB152" s="281">
        <v>0.55549999999999999</v>
      </c>
      <c r="AC152" s="280">
        <v>2.23</v>
      </c>
      <c r="AD152" s="294">
        <v>0</v>
      </c>
      <c r="AE152" s="281">
        <v>1.05</v>
      </c>
      <c r="AF152" s="288">
        <v>0.55549999999999999</v>
      </c>
      <c r="AG152" s="303">
        <v>0</v>
      </c>
      <c r="AH152" s="356">
        <v>0</v>
      </c>
      <c r="AI152" s="301">
        <f t="shared" si="10"/>
        <v>1.0720000000000001</v>
      </c>
      <c r="AK152" s="437" t="s">
        <v>50</v>
      </c>
    </row>
    <row r="153" spans="1:248" ht="45" customHeight="1" thickBot="1" x14ac:dyDescent="0.25">
      <c r="A153" s="444">
        <v>3409</v>
      </c>
      <c r="B153" s="445" t="s">
        <v>51</v>
      </c>
      <c r="C153" s="445" t="s">
        <v>91</v>
      </c>
      <c r="D153" s="479"/>
      <c r="E153" s="445">
        <v>121</v>
      </c>
      <c r="F153" s="445"/>
      <c r="G153" s="445"/>
      <c r="H153" s="448" t="s">
        <v>55</v>
      </c>
      <c r="I153" s="451">
        <f>SUMIF('Wege im Detail'!$A:$A,"03409",'Wege im Detail'!$P:$P)</f>
        <v>13.399999999999999</v>
      </c>
      <c r="J153" s="508" t="s">
        <v>450</v>
      </c>
      <c r="L153" s="209">
        <v>18</v>
      </c>
      <c r="M153" s="210">
        <v>98</v>
      </c>
      <c r="N153" s="211">
        <v>2</v>
      </c>
      <c r="O153" s="216">
        <v>0</v>
      </c>
      <c r="P153" s="352">
        <v>0</v>
      </c>
      <c r="Q153" s="228"/>
      <c r="R153" s="275">
        <v>0</v>
      </c>
      <c r="S153" s="276">
        <v>3.81</v>
      </c>
      <c r="T153" s="277">
        <v>5.5</v>
      </c>
      <c r="U153" s="276">
        <v>4.04</v>
      </c>
      <c r="V153" s="277">
        <v>1.07</v>
      </c>
      <c r="W153" s="276">
        <v>2.42</v>
      </c>
      <c r="X153" s="277">
        <v>0.65200000000000002</v>
      </c>
      <c r="Y153" s="264">
        <f t="shared" si="8"/>
        <v>17.492000000000004</v>
      </c>
      <c r="Z153" s="282"/>
      <c r="AA153" s="280">
        <v>0.69699999999999995</v>
      </c>
      <c r="AB153" s="281">
        <v>2.35</v>
      </c>
      <c r="AC153" s="280">
        <v>10.029999999999999</v>
      </c>
      <c r="AD153" s="294">
        <v>1.41</v>
      </c>
      <c r="AE153" s="281">
        <v>1.96</v>
      </c>
      <c r="AF153" s="288">
        <v>0.76400000000000001</v>
      </c>
      <c r="AG153" s="303">
        <v>0</v>
      </c>
      <c r="AH153" s="356">
        <v>0</v>
      </c>
      <c r="AI153" s="301">
        <f t="shared" si="10"/>
        <v>4.0920000000000059</v>
      </c>
      <c r="AJ153" s="403" t="s">
        <v>451</v>
      </c>
      <c r="AK153" s="435" t="s">
        <v>50</v>
      </c>
      <c r="AL153" s="427"/>
      <c r="AM153" s="428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  <c r="HP153" s="179"/>
      <c r="HQ153" s="179"/>
      <c r="HR153" s="179"/>
      <c r="HS153" s="179"/>
      <c r="HT153" s="179"/>
      <c r="HU153" s="179"/>
      <c r="HV153" s="179"/>
      <c r="HW153" s="179"/>
      <c r="HX153" s="179"/>
      <c r="HY153" s="179"/>
      <c r="HZ153" s="179"/>
      <c r="IA153" s="179"/>
      <c r="IB153" s="179"/>
      <c r="IC153" s="179"/>
      <c r="ID153" s="179"/>
      <c r="IE153" s="179"/>
      <c r="IF153" s="179"/>
      <c r="IG153" s="179"/>
      <c r="IH153" s="179"/>
      <c r="II153" s="179"/>
      <c r="IJ153" s="179"/>
      <c r="IK153" s="179"/>
      <c r="IL153" s="179"/>
      <c r="IM153" s="179"/>
      <c r="IN153" s="179"/>
    </row>
    <row r="154" spans="1:248" ht="45" customHeight="1" thickBot="1" x14ac:dyDescent="0.3">
      <c r="A154" s="444">
        <v>3417</v>
      </c>
      <c r="B154" s="445" t="s">
        <v>51</v>
      </c>
      <c r="C154" s="445" t="s">
        <v>91</v>
      </c>
      <c r="D154" s="445"/>
      <c r="E154" s="445">
        <v>123</v>
      </c>
      <c r="F154" s="445"/>
      <c r="G154" s="445"/>
      <c r="H154" s="448" t="s">
        <v>55</v>
      </c>
      <c r="I154" s="451">
        <f>SUMIF('Wege im Detail'!$A:$A,"03417",'Wege im Detail'!$P:$P)</f>
        <v>8.0069999999999997</v>
      </c>
      <c r="J154" s="508" t="s">
        <v>452</v>
      </c>
      <c r="L154" s="209">
        <v>21</v>
      </c>
      <c r="M154" s="210">
        <v>95</v>
      </c>
      <c r="N154" s="211">
        <v>5</v>
      </c>
      <c r="O154" s="216">
        <v>0</v>
      </c>
      <c r="P154" s="352">
        <v>0</v>
      </c>
      <c r="Q154" s="228"/>
      <c r="R154" s="275">
        <v>0</v>
      </c>
      <c r="S154" s="276">
        <v>0</v>
      </c>
      <c r="T154" s="277">
        <v>0</v>
      </c>
      <c r="U154" s="276">
        <v>6.36</v>
      </c>
      <c r="V154" s="277">
        <v>1.67</v>
      </c>
      <c r="W154" s="276">
        <v>0</v>
      </c>
      <c r="X154" s="277">
        <v>0</v>
      </c>
      <c r="Y154" s="264">
        <f t="shared" si="8"/>
        <v>8.0300000000000011</v>
      </c>
      <c r="Z154" s="279"/>
      <c r="AA154" s="280">
        <v>0</v>
      </c>
      <c r="AB154" s="281">
        <v>0</v>
      </c>
      <c r="AC154" s="280">
        <v>6.37</v>
      </c>
      <c r="AD154" s="294">
        <v>0</v>
      </c>
      <c r="AE154" s="281">
        <v>0.60499999999999998</v>
      </c>
      <c r="AF154" s="288">
        <v>1.05</v>
      </c>
      <c r="AG154" s="303">
        <v>0</v>
      </c>
      <c r="AH154" s="356">
        <v>0</v>
      </c>
      <c r="AI154" s="301">
        <f t="shared" si="10"/>
        <v>2.3000000000001464E-2</v>
      </c>
      <c r="AK154" s="435" t="s">
        <v>50</v>
      </c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  <c r="DZ154" s="180"/>
      <c r="EA154" s="180"/>
      <c r="EB154" s="180"/>
      <c r="EC154" s="180"/>
      <c r="ED154" s="180"/>
      <c r="EE154" s="180"/>
      <c r="EF154" s="180"/>
      <c r="EG154" s="180"/>
      <c r="EH154" s="180"/>
      <c r="EI154" s="180"/>
      <c r="EJ154" s="180"/>
      <c r="EK154" s="180"/>
      <c r="EL154" s="180"/>
      <c r="EM154" s="180"/>
      <c r="EN154" s="180"/>
      <c r="EO154" s="180"/>
      <c r="EP154" s="180"/>
      <c r="EQ154" s="180"/>
      <c r="ER154" s="180"/>
      <c r="ES154" s="180"/>
      <c r="ET154" s="180"/>
      <c r="EU154" s="180"/>
      <c r="EV154" s="180"/>
      <c r="EW154" s="180"/>
      <c r="EX154" s="180"/>
      <c r="EY154" s="180"/>
      <c r="EZ154" s="180"/>
      <c r="FA154" s="180"/>
      <c r="FB154" s="180"/>
      <c r="FC154" s="180"/>
      <c r="FD154" s="180"/>
      <c r="FE154" s="180"/>
      <c r="FF154" s="180"/>
      <c r="FG154" s="180"/>
      <c r="FH154" s="180"/>
      <c r="FI154" s="180"/>
      <c r="FJ154" s="180"/>
      <c r="FK154" s="180"/>
      <c r="FL154" s="180"/>
      <c r="FM154" s="180"/>
      <c r="FN154" s="180"/>
      <c r="FO154" s="180"/>
      <c r="FP154" s="180"/>
      <c r="FQ154" s="180"/>
      <c r="FR154" s="180"/>
      <c r="FS154" s="180"/>
      <c r="FT154" s="180"/>
      <c r="FU154" s="180"/>
      <c r="FV154" s="180"/>
      <c r="FW154" s="180"/>
      <c r="FX154" s="180"/>
      <c r="FY154" s="180"/>
      <c r="FZ154" s="180"/>
      <c r="GA154" s="180"/>
      <c r="GB154" s="180"/>
      <c r="GC154" s="180"/>
      <c r="GD154" s="180"/>
      <c r="GE154" s="180"/>
      <c r="GF154" s="180"/>
      <c r="GG154" s="180"/>
      <c r="GH154" s="180"/>
      <c r="GI154" s="180"/>
      <c r="GJ154" s="180"/>
      <c r="GK154" s="180"/>
      <c r="GL154" s="180"/>
      <c r="GM154" s="180"/>
      <c r="GN154" s="180"/>
      <c r="GO154" s="180"/>
      <c r="GP154" s="180"/>
      <c r="GQ154" s="180"/>
      <c r="GR154" s="180"/>
      <c r="GS154" s="180"/>
      <c r="GT154" s="180"/>
      <c r="GU154" s="180"/>
      <c r="GV154" s="180"/>
      <c r="GW154" s="180"/>
      <c r="GX154" s="180"/>
      <c r="GY154" s="180"/>
      <c r="GZ154" s="180"/>
      <c r="HA154" s="180"/>
      <c r="HB154" s="180"/>
      <c r="HC154" s="180"/>
      <c r="HD154" s="180"/>
      <c r="HE154" s="180"/>
      <c r="HF154" s="180"/>
      <c r="HG154" s="180"/>
      <c r="HH154" s="180"/>
      <c r="HI154" s="180"/>
      <c r="HJ154" s="180"/>
      <c r="HK154" s="180"/>
      <c r="HL154" s="180"/>
      <c r="HM154" s="180"/>
      <c r="HN154" s="180"/>
      <c r="HO154" s="180"/>
      <c r="HP154" s="180"/>
      <c r="HQ154" s="180"/>
      <c r="HR154" s="180"/>
      <c r="HS154" s="180"/>
      <c r="HT154" s="180"/>
      <c r="HU154" s="180"/>
      <c r="HV154" s="180"/>
      <c r="HW154" s="180"/>
      <c r="HX154" s="180"/>
      <c r="HY154" s="180"/>
      <c r="HZ154" s="180"/>
      <c r="IA154" s="180"/>
      <c r="IB154" s="180"/>
      <c r="IC154" s="180"/>
      <c r="ID154" s="180"/>
      <c r="IE154" s="180"/>
      <c r="IF154" s="180"/>
      <c r="IG154" s="180"/>
      <c r="IH154" s="180"/>
      <c r="II154" s="180"/>
      <c r="IJ154" s="180"/>
      <c r="IK154" s="180"/>
      <c r="IL154" s="180"/>
      <c r="IM154" s="180"/>
      <c r="IN154" s="180"/>
    </row>
    <row r="155" spans="1:248" s="180" customFormat="1" ht="45" customHeight="1" thickBot="1" x14ac:dyDescent="0.25">
      <c r="A155" s="444">
        <v>3418</v>
      </c>
      <c r="B155" s="445" t="s">
        <v>51</v>
      </c>
      <c r="C155" s="445" t="s">
        <v>91</v>
      </c>
      <c r="D155" s="479"/>
      <c r="E155" s="445">
        <v>122</v>
      </c>
      <c r="F155" s="445"/>
      <c r="G155" s="445"/>
      <c r="H155" s="448" t="s">
        <v>55</v>
      </c>
      <c r="I155" s="451">
        <f>SUMIF('Wege im Detail'!$A:$A,"03418",'Wege im Detail'!$P:$P)</f>
        <v>6.6669999999999998</v>
      </c>
      <c r="J155" s="508" t="s">
        <v>453</v>
      </c>
      <c r="K155" s="237"/>
      <c r="L155" s="209">
        <v>80</v>
      </c>
      <c r="M155" s="197">
        <v>98</v>
      </c>
      <c r="N155" s="198">
        <v>2</v>
      </c>
      <c r="O155" s="213">
        <v>0</v>
      </c>
      <c r="P155" s="350">
        <v>0</v>
      </c>
      <c r="Q155" s="226"/>
      <c r="R155" s="275">
        <v>0</v>
      </c>
      <c r="S155" s="276">
        <v>0</v>
      </c>
      <c r="T155" s="277">
        <v>1.42</v>
      </c>
      <c r="U155" s="276">
        <v>3.93</v>
      </c>
      <c r="V155" s="277">
        <v>1.04</v>
      </c>
      <c r="W155" s="276">
        <v>0</v>
      </c>
      <c r="X155" s="277">
        <v>0.28499999999999998</v>
      </c>
      <c r="Y155" s="278">
        <f t="shared" si="8"/>
        <v>6.6749999999999998</v>
      </c>
      <c r="Z155" s="282"/>
      <c r="AA155" s="280">
        <v>0</v>
      </c>
      <c r="AB155" s="281">
        <v>0.53300000000000003</v>
      </c>
      <c r="AC155" s="280">
        <v>4.9400000000000004</v>
      </c>
      <c r="AD155" s="294">
        <v>0</v>
      </c>
      <c r="AE155" s="281">
        <v>0.56200000000000006</v>
      </c>
      <c r="AF155" s="288">
        <v>0.63900000000000001</v>
      </c>
      <c r="AG155" s="303">
        <v>0</v>
      </c>
      <c r="AH155" s="356">
        <v>0</v>
      </c>
      <c r="AI155" s="301">
        <f t="shared" si="10"/>
        <v>8.0000000000000071E-3</v>
      </c>
      <c r="AJ155" s="187"/>
      <c r="AK155" s="437" t="s">
        <v>50</v>
      </c>
      <c r="AL155" s="427"/>
      <c r="AM155" s="428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</row>
    <row r="156" spans="1:248" s="180" customFormat="1" ht="45" customHeight="1" thickBot="1" x14ac:dyDescent="0.3">
      <c r="A156" s="444">
        <v>3442</v>
      </c>
      <c r="B156" s="445" t="s">
        <v>51</v>
      </c>
      <c r="C156" s="445" t="s">
        <v>91</v>
      </c>
      <c r="D156" s="479"/>
      <c r="E156" s="445">
        <v>68</v>
      </c>
      <c r="F156" s="448"/>
      <c r="G156" s="448"/>
      <c r="H156" s="448" t="s">
        <v>55</v>
      </c>
      <c r="I156" s="451">
        <f>SUMIF('Wege im Detail'!$A:$A,"03442",'Wege im Detail'!$P:$P)</f>
        <v>22.896000000000001</v>
      </c>
      <c r="J156" s="508" t="s">
        <v>455</v>
      </c>
      <c r="K156" s="237"/>
      <c r="L156" s="209">
        <v>39</v>
      </c>
      <c r="M156" s="197">
        <v>90</v>
      </c>
      <c r="N156" s="198">
        <v>10</v>
      </c>
      <c r="O156" s="213">
        <v>0</v>
      </c>
      <c r="P156" s="350">
        <v>0</v>
      </c>
      <c r="Q156" s="226"/>
      <c r="R156" s="275">
        <v>0</v>
      </c>
      <c r="S156" s="276">
        <v>1.69</v>
      </c>
      <c r="T156" s="277">
        <v>11.3</v>
      </c>
      <c r="U156" s="276">
        <v>0</v>
      </c>
      <c r="V156" s="277">
        <v>3.85</v>
      </c>
      <c r="W156" s="276">
        <v>3.12</v>
      </c>
      <c r="X156" s="277">
        <v>2.92</v>
      </c>
      <c r="Y156" s="278">
        <f t="shared" si="8"/>
        <v>22.880000000000003</v>
      </c>
      <c r="Z156" s="279"/>
      <c r="AA156" s="280">
        <v>0.81799999999999995</v>
      </c>
      <c r="AB156" s="281">
        <v>3.91</v>
      </c>
      <c r="AC156" s="280">
        <v>9.3699999999999992</v>
      </c>
      <c r="AD156" s="294">
        <v>0.69899999999999995</v>
      </c>
      <c r="AE156" s="281">
        <v>5.75</v>
      </c>
      <c r="AF156" s="288">
        <v>2.11</v>
      </c>
      <c r="AG156" s="303">
        <v>0</v>
      </c>
      <c r="AH156" s="356">
        <v>0.21</v>
      </c>
      <c r="AI156" s="301">
        <f t="shared" si="10"/>
        <v>-1.5999999999998238E-2</v>
      </c>
      <c r="AJ156" s="401"/>
      <c r="AK156" s="437" t="s">
        <v>50</v>
      </c>
      <c r="AL156" s="425"/>
      <c r="AM156" s="426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</row>
    <row r="157" spans="1:248" ht="45" customHeight="1" thickBot="1" x14ac:dyDescent="0.25">
      <c r="A157" s="444">
        <v>3443</v>
      </c>
      <c r="B157" s="445" t="s">
        <v>51</v>
      </c>
      <c r="C157" s="445" t="s">
        <v>91</v>
      </c>
      <c r="D157" s="445"/>
      <c r="E157" s="445">
        <v>70</v>
      </c>
      <c r="F157" s="445"/>
      <c r="G157" s="445"/>
      <c r="H157" s="448" t="s">
        <v>55</v>
      </c>
      <c r="I157" s="451">
        <f>SUMIF('Wege im Detail'!$A:$A,"03443",'Wege im Detail'!$P:$P)</f>
        <v>4.8209999999999997</v>
      </c>
      <c r="J157" s="508" t="s">
        <v>459</v>
      </c>
      <c r="L157" s="406">
        <v>48</v>
      </c>
      <c r="M157" s="407">
        <v>75</v>
      </c>
      <c r="N157" s="408">
        <v>6</v>
      </c>
      <c r="O157" s="409">
        <v>18</v>
      </c>
      <c r="P157" s="352">
        <v>0</v>
      </c>
      <c r="Q157" s="228"/>
      <c r="R157" s="275">
        <v>0</v>
      </c>
      <c r="S157" s="276">
        <v>0</v>
      </c>
      <c r="T157" s="277">
        <v>2.5</v>
      </c>
      <c r="U157" s="276">
        <v>0</v>
      </c>
      <c r="V157" s="277">
        <v>1.2</v>
      </c>
      <c r="W157" s="276">
        <v>0.86599999999999999</v>
      </c>
      <c r="X157" s="277">
        <v>0.24</v>
      </c>
      <c r="Y157" s="278">
        <f t="shared" ref="Y157:Y220" si="11">SUM(R157:X157)</f>
        <v>4.806</v>
      </c>
      <c r="Z157" s="282"/>
      <c r="AA157" s="280">
        <v>0</v>
      </c>
      <c r="AB157" s="281">
        <v>4.2300000000000004</v>
      </c>
      <c r="AC157" s="280">
        <v>0</v>
      </c>
      <c r="AD157" s="294">
        <v>0</v>
      </c>
      <c r="AE157" s="281">
        <v>0.57699999999999996</v>
      </c>
      <c r="AF157" s="288">
        <v>0</v>
      </c>
      <c r="AG157" s="303">
        <v>0</v>
      </c>
      <c r="AH157" s="356">
        <v>0</v>
      </c>
      <c r="AI157" s="301">
        <f t="shared" si="10"/>
        <v>-1.499999999999968E-2</v>
      </c>
      <c r="AK157" s="435" t="s">
        <v>50</v>
      </c>
    </row>
    <row r="158" spans="1:248" ht="45" customHeight="1" thickBot="1" x14ac:dyDescent="0.3">
      <c r="A158" s="444">
        <v>3444</v>
      </c>
      <c r="B158" s="445" t="s">
        <v>51</v>
      </c>
      <c r="C158" s="445" t="s">
        <v>91</v>
      </c>
      <c r="D158" s="445"/>
      <c r="E158" s="445">
        <v>70</v>
      </c>
      <c r="F158" s="445"/>
      <c r="G158" s="445"/>
      <c r="H158" s="448" t="s">
        <v>55</v>
      </c>
      <c r="I158" s="451">
        <f>SUMIF('Wege im Detail'!$A:$A,"03444",'Wege im Detail'!$P:$P)</f>
        <v>4.7240000000000002</v>
      </c>
      <c r="J158" s="508" t="s">
        <v>460</v>
      </c>
      <c r="L158" s="406">
        <v>46</v>
      </c>
      <c r="M158" s="407">
        <v>81</v>
      </c>
      <c r="N158" s="408">
        <v>4</v>
      </c>
      <c r="O158" s="409">
        <v>15</v>
      </c>
      <c r="P158" s="352">
        <v>0</v>
      </c>
      <c r="Q158" s="228"/>
      <c r="R158" s="275">
        <v>0</v>
      </c>
      <c r="S158" s="276">
        <v>0</v>
      </c>
      <c r="T158" s="277">
        <v>2.2799999999999998</v>
      </c>
      <c r="U158" s="276">
        <v>0.14199999999999999</v>
      </c>
      <c r="V158" s="277">
        <v>0.80600000000000005</v>
      </c>
      <c r="W158" s="276">
        <v>0.85399999999999998</v>
      </c>
      <c r="X158" s="277">
        <v>0.66400000000000003</v>
      </c>
      <c r="Y158" s="278">
        <f t="shared" si="11"/>
        <v>4.7459999999999996</v>
      </c>
      <c r="Z158" s="279"/>
      <c r="AA158" s="280">
        <v>0.90100000000000002</v>
      </c>
      <c r="AB158" s="281">
        <v>3.84</v>
      </c>
      <c r="AC158" s="280">
        <v>0</v>
      </c>
      <c r="AD158" s="294">
        <v>0</v>
      </c>
      <c r="AE158" s="281">
        <v>0</v>
      </c>
      <c r="AF158" s="288">
        <v>0</v>
      </c>
      <c r="AG158" s="303">
        <v>0</v>
      </c>
      <c r="AH158" s="356">
        <v>0</v>
      </c>
      <c r="AI158" s="301">
        <f t="shared" si="10"/>
        <v>2.1999999999999353E-2</v>
      </c>
      <c r="AK158" s="435" t="s">
        <v>50</v>
      </c>
    </row>
    <row r="159" spans="1:248" ht="45" customHeight="1" thickBot="1" x14ac:dyDescent="0.3">
      <c r="A159" s="444">
        <v>3447</v>
      </c>
      <c r="B159" s="445" t="s">
        <v>51</v>
      </c>
      <c r="C159" s="445" t="s">
        <v>91</v>
      </c>
      <c r="D159" s="445"/>
      <c r="E159" s="445">
        <v>96</v>
      </c>
      <c r="F159" s="445"/>
      <c r="G159" s="445"/>
      <c r="H159" s="448" t="s">
        <v>55</v>
      </c>
      <c r="I159" s="451">
        <f>SUMIF('Wege im Detail'!$A:$A,"03447",'Wege im Detail'!$P:$P)</f>
        <v>6.8189999999999991</v>
      </c>
      <c r="J159" s="508" t="s">
        <v>462</v>
      </c>
      <c r="L159" s="209">
        <v>62</v>
      </c>
      <c r="M159" s="197">
        <v>83</v>
      </c>
      <c r="N159" s="198">
        <v>15</v>
      </c>
      <c r="O159" s="213">
        <v>1</v>
      </c>
      <c r="P159" s="350">
        <v>0</v>
      </c>
      <c r="R159" s="275">
        <v>0</v>
      </c>
      <c r="S159" s="276">
        <v>0.18099999999999999</v>
      </c>
      <c r="T159" s="277">
        <v>2.59</v>
      </c>
      <c r="U159" s="276">
        <v>0</v>
      </c>
      <c r="V159" s="277">
        <v>0.74099999999999999</v>
      </c>
      <c r="W159" s="276">
        <v>3.01</v>
      </c>
      <c r="X159" s="277">
        <v>0.316</v>
      </c>
      <c r="Y159" s="278">
        <f t="shared" si="11"/>
        <v>6.8380000000000001</v>
      </c>
      <c r="Z159" s="279"/>
      <c r="AA159" s="280">
        <v>0</v>
      </c>
      <c r="AB159" s="281">
        <v>0.55549999999999999</v>
      </c>
      <c r="AC159" s="280">
        <v>2.84</v>
      </c>
      <c r="AD159" s="294">
        <v>1.2</v>
      </c>
      <c r="AE159" s="281">
        <v>1.54</v>
      </c>
      <c r="AF159" s="288" t="s">
        <v>463</v>
      </c>
      <c r="AG159" s="303">
        <v>0</v>
      </c>
      <c r="AH159" s="356">
        <v>0.26900000000000002</v>
      </c>
      <c r="AI159" s="301">
        <f t="shared" si="10"/>
        <v>1.9000000000001016E-2</v>
      </c>
      <c r="AK159" s="437" t="s">
        <v>50</v>
      </c>
    </row>
    <row r="160" spans="1:248" s="8" customFormat="1" ht="45" customHeight="1" thickBot="1" x14ac:dyDescent="0.3">
      <c r="A160" s="444">
        <v>3451</v>
      </c>
      <c r="B160" s="445" t="s">
        <v>51</v>
      </c>
      <c r="C160" s="445" t="s">
        <v>91</v>
      </c>
      <c r="D160" s="445"/>
      <c r="E160" s="445">
        <v>105</v>
      </c>
      <c r="F160" s="445" t="s">
        <v>465</v>
      </c>
      <c r="G160" s="445"/>
      <c r="H160" s="448" t="s">
        <v>55</v>
      </c>
      <c r="I160" s="451">
        <f>SUMIF('Wege im Detail'!$A:$A,"03451",'Wege im Detail'!$P:$P)</f>
        <v>24.669</v>
      </c>
      <c r="J160" s="508" t="s">
        <v>467</v>
      </c>
      <c r="K160" s="237"/>
      <c r="L160" s="209">
        <v>40</v>
      </c>
      <c r="M160" s="197">
        <v>87</v>
      </c>
      <c r="N160" s="198">
        <v>12</v>
      </c>
      <c r="O160" s="213">
        <v>0</v>
      </c>
      <c r="P160" s="350">
        <v>0</v>
      </c>
      <c r="Q160" s="226"/>
      <c r="R160" s="275">
        <v>0</v>
      </c>
      <c r="S160" s="276">
        <v>0</v>
      </c>
      <c r="T160" s="277">
        <v>13</v>
      </c>
      <c r="U160" s="276">
        <v>1.05</v>
      </c>
      <c r="V160" s="277">
        <v>9.2100000000000009</v>
      </c>
      <c r="W160" s="276">
        <v>1.2</v>
      </c>
      <c r="X160" s="277">
        <v>0.123</v>
      </c>
      <c r="Y160" s="278">
        <f t="shared" si="11"/>
        <v>24.583000000000002</v>
      </c>
      <c r="Z160" s="279"/>
      <c r="AA160" s="280">
        <v>0</v>
      </c>
      <c r="AB160" s="281">
        <v>1.03</v>
      </c>
      <c r="AC160" s="280">
        <v>12</v>
      </c>
      <c r="AD160" s="294">
        <v>0.55549999999999999</v>
      </c>
      <c r="AE160" s="281">
        <v>4</v>
      </c>
      <c r="AF160" s="288">
        <v>7.47</v>
      </c>
      <c r="AG160" s="303">
        <v>0</v>
      </c>
      <c r="AH160" s="356">
        <v>0</v>
      </c>
      <c r="AI160" s="301">
        <f t="shared" si="10"/>
        <v>-8.5999999999998522E-2</v>
      </c>
      <c r="AJ160" s="401"/>
      <c r="AK160" s="437" t="s">
        <v>50</v>
      </c>
      <c r="AL160" s="425"/>
      <c r="AM160" s="426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</row>
    <row r="161" spans="1:248" ht="45" customHeight="1" thickBot="1" x14ac:dyDescent="0.3">
      <c r="A161" s="444">
        <v>3456</v>
      </c>
      <c r="B161" s="445" t="s">
        <v>51</v>
      </c>
      <c r="C161" s="445" t="s">
        <v>91</v>
      </c>
      <c r="D161" s="445"/>
      <c r="E161" s="445">
        <v>106</v>
      </c>
      <c r="F161" s="445"/>
      <c r="G161" s="445"/>
      <c r="H161" s="448" t="s">
        <v>55</v>
      </c>
      <c r="I161" s="451">
        <f>SUMIF('Wege im Detail'!$A:$A,"03456",'Wege im Detail'!$P:$P)</f>
        <v>4.1760000000000002</v>
      </c>
      <c r="J161" s="508" t="s">
        <v>468</v>
      </c>
      <c r="L161" s="209">
        <v>22</v>
      </c>
      <c r="M161" s="197">
        <v>79</v>
      </c>
      <c r="N161" s="198">
        <v>21</v>
      </c>
      <c r="O161" s="213">
        <v>0</v>
      </c>
      <c r="P161" s="350">
        <v>0</v>
      </c>
      <c r="R161" s="275">
        <v>0</v>
      </c>
      <c r="S161" s="276">
        <v>1.02</v>
      </c>
      <c r="T161" s="277">
        <v>2.25</v>
      </c>
      <c r="U161" s="276">
        <v>0</v>
      </c>
      <c r="V161" s="277">
        <v>0.91500000000000004</v>
      </c>
      <c r="W161" s="276">
        <v>0</v>
      </c>
      <c r="X161" s="277">
        <v>0.55549999999999999</v>
      </c>
      <c r="Y161" s="278">
        <f t="shared" si="11"/>
        <v>4.7405000000000008</v>
      </c>
      <c r="Z161" s="279"/>
      <c r="AA161" s="280">
        <v>0</v>
      </c>
      <c r="AB161" s="281">
        <v>0.2</v>
      </c>
      <c r="AC161" s="280">
        <v>3.07</v>
      </c>
      <c r="AD161" s="294">
        <v>0</v>
      </c>
      <c r="AE161" s="281">
        <v>0.55549999999999999</v>
      </c>
      <c r="AF161" s="288">
        <v>0.91400000000000003</v>
      </c>
      <c r="AG161" s="303">
        <v>0</v>
      </c>
      <c r="AH161" s="356">
        <v>0</v>
      </c>
      <c r="AI161" s="301">
        <f t="shared" si="10"/>
        <v>0.56450000000000067</v>
      </c>
      <c r="AK161" s="437" t="s">
        <v>50</v>
      </c>
    </row>
    <row r="162" spans="1:248" ht="45" customHeight="1" thickBot="1" x14ac:dyDescent="0.25">
      <c r="A162" s="444">
        <v>3457</v>
      </c>
      <c r="B162" s="445" t="s">
        <v>51</v>
      </c>
      <c r="C162" s="445" t="s">
        <v>91</v>
      </c>
      <c r="D162" s="445"/>
      <c r="E162" s="445">
        <v>61</v>
      </c>
      <c r="F162" s="445"/>
      <c r="G162" s="445"/>
      <c r="H162" s="448" t="s">
        <v>55</v>
      </c>
      <c r="I162" s="451">
        <f>SUMIF('Wege im Detail'!$A:$A,"03457",'Wege im Detail'!$P:$P)</f>
        <v>11.251000000000001</v>
      </c>
      <c r="J162" s="508" t="s">
        <v>469</v>
      </c>
      <c r="L162" s="209">
        <v>24</v>
      </c>
      <c r="M162" s="197">
        <v>100</v>
      </c>
      <c r="N162" s="198">
        <v>0</v>
      </c>
      <c r="O162" s="213">
        <v>0</v>
      </c>
      <c r="P162" s="350">
        <v>0</v>
      </c>
      <c r="R162" s="275">
        <v>0</v>
      </c>
      <c r="S162" s="276">
        <v>0.88900000000000001</v>
      </c>
      <c r="T162" s="277">
        <v>7.63</v>
      </c>
      <c r="U162" s="276">
        <v>0.55549999999999999</v>
      </c>
      <c r="V162" s="277">
        <v>2.09</v>
      </c>
      <c r="W162" s="276">
        <v>0</v>
      </c>
      <c r="X162" s="277">
        <v>0.56200000000000006</v>
      </c>
      <c r="Y162" s="278">
        <f t="shared" si="11"/>
        <v>11.7265</v>
      </c>
      <c r="Z162" s="282"/>
      <c r="AA162" s="280">
        <v>0</v>
      </c>
      <c r="AB162" s="281">
        <v>0.622</v>
      </c>
      <c r="AC162" s="280">
        <v>8.5</v>
      </c>
      <c r="AD162" s="294">
        <v>0</v>
      </c>
      <c r="AE162" s="281">
        <v>0.69399999999999995</v>
      </c>
      <c r="AF162" s="288">
        <v>1.43</v>
      </c>
      <c r="AG162" s="303">
        <v>0</v>
      </c>
      <c r="AH162" s="356">
        <v>0</v>
      </c>
      <c r="AI162" s="301">
        <f t="shared" si="10"/>
        <v>0.47549999999999848</v>
      </c>
      <c r="AJ162" s="187"/>
      <c r="AK162" s="437" t="s">
        <v>50</v>
      </c>
      <c r="AL162" s="427"/>
      <c r="AM162" s="428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</row>
    <row r="163" spans="1:248" ht="45" customHeight="1" thickBot="1" x14ac:dyDescent="0.3">
      <c r="A163" s="444">
        <v>3469</v>
      </c>
      <c r="B163" s="445" t="s">
        <v>51</v>
      </c>
      <c r="C163" s="445" t="s">
        <v>91</v>
      </c>
      <c r="D163" s="445"/>
      <c r="E163" s="445">
        <v>57</v>
      </c>
      <c r="F163" s="445"/>
      <c r="G163" s="445"/>
      <c r="H163" s="448" t="s">
        <v>55</v>
      </c>
      <c r="I163" s="451">
        <f>SUMIF('Wege im Detail'!$A:$A,"03469",'Wege im Detail'!$P:$P)</f>
        <v>7.093</v>
      </c>
      <c r="J163" s="508" t="s">
        <v>470</v>
      </c>
      <c r="L163" s="256">
        <v>12</v>
      </c>
      <c r="M163" s="195">
        <v>100</v>
      </c>
      <c r="N163" s="196">
        <v>0</v>
      </c>
      <c r="O163" s="212">
        <v>0</v>
      </c>
      <c r="P163" s="350">
        <v>0</v>
      </c>
      <c r="R163" s="275">
        <v>0</v>
      </c>
      <c r="S163" s="276">
        <v>0</v>
      </c>
      <c r="T163" s="277">
        <v>6.24</v>
      </c>
      <c r="U163" s="276">
        <v>0.55549999999999999</v>
      </c>
      <c r="V163" s="277">
        <v>0.29399999999999998</v>
      </c>
      <c r="W163" s="276">
        <v>0.56299999999999994</v>
      </c>
      <c r="X163" s="277">
        <v>0</v>
      </c>
      <c r="Y163" s="278">
        <f t="shared" si="11"/>
        <v>7.6524999999999999</v>
      </c>
      <c r="Z163" s="279"/>
      <c r="AA163" s="280">
        <v>0.13100000000000001</v>
      </c>
      <c r="AB163" s="281">
        <v>0.67800000000000005</v>
      </c>
      <c r="AC163" s="280">
        <v>5.0599999999999996</v>
      </c>
      <c r="AD163" s="294">
        <v>0.93</v>
      </c>
      <c r="AE163" s="281">
        <v>0.253</v>
      </c>
      <c r="AF163" s="288">
        <v>0.55549999999999999</v>
      </c>
      <c r="AG163" s="303">
        <v>0</v>
      </c>
      <c r="AH163" s="356">
        <v>0</v>
      </c>
      <c r="AI163" s="301">
        <f t="shared" si="10"/>
        <v>0.55949999999999989</v>
      </c>
      <c r="AK163" s="437" t="s">
        <v>50</v>
      </c>
    </row>
    <row r="164" spans="1:248" ht="45" customHeight="1" thickBot="1" x14ac:dyDescent="0.3">
      <c r="A164" s="438">
        <v>3470</v>
      </c>
      <c r="B164" s="445" t="s">
        <v>51</v>
      </c>
      <c r="C164" s="455" t="s">
        <v>214</v>
      </c>
      <c r="D164" s="470"/>
      <c r="E164" s="445">
        <v>202</v>
      </c>
      <c r="F164" s="445" t="s">
        <v>471</v>
      </c>
      <c r="G164" s="445"/>
      <c r="H164" s="448" t="s">
        <v>55</v>
      </c>
      <c r="I164" s="451">
        <f>SUMIF('Wege im Detail'!$A:$A,"03470",'Wege im Detail'!$P:$P)</f>
        <v>14.205</v>
      </c>
      <c r="J164" s="508" t="s">
        <v>472</v>
      </c>
      <c r="L164" s="256">
        <v>12</v>
      </c>
      <c r="M164" s="195">
        <v>91</v>
      </c>
      <c r="N164" s="196">
        <v>8</v>
      </c>
      <c r="O164" s="212">
        <v>1</v>
      </c>
      <c r="P164" s="350">
        <v>0</v>
      </c>
      <c r="R164" s="275">
        <v>0</v>
      </c>
      <c r="S164" s="276">
        <v>0</v>
      </c>
      <c r="T164" s="277">
        <v>12.5</v>
      </c>
      <c r="U164" s="276">
        <v>0</v>
      </c>
      <c r="V164" s="277">
        <v>1.28</v>
      </c>
      <c r="W164" s="276">
        <v>0.36599999999999999</v>
      </c>
      <c r="X164" s="277">
        <v>0</v>
      </c>
      <c r="Y164" s="278">
        <f t="shared" si="11"/>
        <v>14.145999999999999</v>
      </c>
      <c r="Z164" s="279"/>
      <c r="AA164" s="280">
        <v>0.38500000000000001</v>
      </c>
      <c r="AB164" s="281">
        <v>0.55549999999999999</v>
      </c>
      <c r="AC164" s="280">
        <v>12.1</v>
      </c>
      <c r="AD164" s="294">
        <v>0</v>
      </c>
      <c r="AE164" s="281">
        <v>1.41</v>
      </c>
      <c r="AF164" s="288">
        <v>0.23499999999999999</v>
      </c>
      <c r="AG164" s="303">
        <v>0</v>
      </c>
      <c r="AH164" s="356">
        <v>0</v>
      </c>
      <c r="AI164" s="301">
        <f t="shared" si="10"/>
        <v>-5.9000000000001052E-2</v>
      </c>
      <c r="AK164" s="437" t="s">
        <v>50</v>
      </c>
    </row>
    <row r="165" spans="1:248" ht="45" customHeight="1" thickBot="1" x14ac:dyDescent="0.3">
      <c r="A165" s="444">
        <v>3472</v>
      </c>
      <c r="B165" s="445" t="s">
        <v>51</v>
      </c>
      <c r="C165" s="445" t="s">
        <v>91</v>
      </c>
      <c r="D165" s="445"/>
      <c r="E165" s="445">
        <v>61</v>
      </c>
      <c r="F165" s="445"/>
      <c r="G165" s="445"/>
      <c r="H165" s="448" t="s">
        <v>55</v>
      </c>
      <c r="I165" s="451">
        <f>SUMIF('Wege im Detail'!$A:$A,"03472",'Wege im Detail'!$P:$P)</f>
        <v>1.62</v>
      </c>
      <c r="J165" s="508" t="s">
        <v>473</v>
      </c>
      <c r="L165" s="256">
        <v>3</v>
      </c>
      <c r="M165" s="195">
        <v>100</v>
      </c>
      <c r="N165" s="196">
        <v>0</v>
      </c>
      <c r="O165" s="212">
        <v>0</v>
      </c>
      <c r="P165" s="350">
        <v>0</v>
      </c>
      <c r="R165" s="275">
        <v>0</v>
      </c>
      <c r="S165" s="276">
        <v>0</v>
      </c>
      <c r="T165" s="277">
        <v>1.56</v>
      </c>
      <c r="U165" s="276">
        <v>0</v>
      </c>
      <c r="V165" s="277">
        <v>0</v>
      </c>
      <c r="W165" s="276">
        <v>0</v>
      </c>
      <c r="X165" s="277">
        <v>0.55549999999999999</v>
      </c>
      <c r="Y165" s="278">
        <f t="shared" si="11"/>
        <v>2.1154999999999999</v>
      </c>
      <c r="Z165" s="279"/>
      <c r="AA165" s="280">
        <v>0</v>
      </c>
      <c r="AB165" s="281">
        <v>0.625</v>
      </c>
      <c r="AC165" s="280">
        <v>0.93799999999999994</v>
      </c>
      <c r="AD165" s="294">
        <v>0</v>
      </c>
      <c r="AE165" s="281">
        <v>0.55549999999999999</v>
      </c>
      <c r="AF165" s="288">
        <v>0</v>
      </c>
      <c r="AG165" s="303">
        <v>0</v>
      </c>
      <c r="AH165" s="356">
        <v>0</v>
      </c>
      <c r="AI165" s="301">
        <f t="shared" si="10"/>
        <v>0.49549999999999983</v>
      </c>
      <c r="AK165" s="437" t="s">
        <v>50</v>
      </c>
    </row>
    <row r="166" spans="1:248" ht="45" customHeight="1" thickBot="1" x14ac:dyDescent="0.3">
      <c r="A166" s="444">
        <v>3473</v>
      </c>
      <c r="B166" s="445" t="s">
        <v>51</v>
      </c>
      <c r="C166" s="445" t="s">
        <v>91</v>
      </c>
      <c r="D166" s="445"/>
      <c r="E166" s="445">
        <v>59</v>
      </c>
      <c r="F166" s="445"/>
      <c r="G166" s="445"/>
      <c r="H166" s="448" t="s">
        <v>55</v>
      </c>
      <c r="I166" s="451">
        <f>SUMIF('Wege im Detail'!$A:$A,"03473",'Wege im Detail'!$P:$P)</f>
        <v>10.173</v>
      </c>
      <c r="J166" s="508" t="s">
        <v>474</v>
      </c>
      <c r="L166" s="256">
        <v>33</v>
      </c>
      <c r="M166" s="195">
        <v>92</v>
      </c>
      <c r="N166" s="196">
        <v>4</v>
      </c>
      <c r="O166" s="212">
        <v>4</v>
      </c>
      <c r="P166" s="350">
        <v>0</v>
      </c>
      <c r="Q166" s="226">
        <v>0</v>
      </c>
      <c r="R166" s="275">
        <v>0</v>
      </c>
      <c r="S166" s="276">
        <v>0</v>
      </c>
      <c r="T166" s="277">
        <v>6.2309999999999999</v>
      </c>
      <c r="U166" s="276">
        <v>0.623</v>
      </c>
      <c r="V166" s="277">
        <v>1.72</v>
      </c>
      <c r="W166" s="276">
        <v>1.28</v>
      </c>
      <c r="X166" s="277">
        <v>0.21199999999999999</v>
      </c>
      <c r="Y166" s="278">
        <f t="shared" si="11"/>
        <v>10.065999999999999</v>
      </c>
      <c r="Z166" s="279"/>
      <c r="AA166" s="280">
        <v>0</v>
      </c>
      <c r="AB166" s="281">
        <v>3.0920000000000001</v>
      </c>
      <c r="AC166" s="280">
        <v>3.9740000000000002</v>
      </c>
      <c r="AD166" s="294">
        <v>0</v>
      </c>
      <c r="AE166" s="281">
        <v>2.2309999999999999</v>
      </c>
      <c r="AF166" s="288">
        <v>0.84599999999999997</v>
      </c>
      <c r="AG166" s="303">
        <v>0</v>
      </c>
      <c r="AH166" s="356">
        <v>0</v>
      </c>
      <c r="AI166" s="301">
        <f t="shared" si="10"/>
        <v>-0.10700000000000109</v>
      </c>
      <c r="AK166" s="437" t="s">
        <v>50</v>
      </c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7"/>
      <c r="ET166" s="167"/>
      <c r="EU166" s="167"/>
      <c r="EV166" s="167"/>
      <c r="EW166" s="167"/>
      <c r="EX166" s="167"/>
      <c r="EY166" s="167"/>
      <c r="EZ166" s="167"/>
      <c r="FA166" s="167"/>
      <c r="FB166" s="167"/>
      <c r="FC166" s="167"/>
      <c r="FD166" s="167"/>
      <c r="FE166" s="167"/>
      <c r="FF166" s="167"/>
      <c r="FG166" s="167"/>
      <c r="FH166" s="167"/>
      <c r="FI166" s="167"/>
      <c r="FJ166" s="167"/>
      <c r="FK166" s="167"/>
      <c r="FL166" s="167"/>
      <c r="FM166" s="167"/>
      <c r="FN166" s="167"/>
      <c r="FO166" s="167"/>
      <c r="FP166" s="167"/>
      <c r="FQ166" s="167"/>
      <c r="FR166" s="167"/>
      <c r="FS166" s="167"/>
      <c r="FT166" s="167"/>
      <c r="FU166" s="167"/>
      <c r="FV166" s="167"/>
      <c r="FW166" s="167"/>
      <c r="FX166" s="167"/>
      <c r="FY166" s="167"/>
      <c r="FZ166" s="167"/>
      <c r="GA166" s="167"/>
      <c r="GB166" s="167"/>
      <c r="GC166" s="167"/>
      <c r="GD166" s="167"/>
      <c r="GE166" s="167"/>
      <c r="GF166" s="167"/>
      <c r="GG166" s="167"/>
      <c r="GH166" s="167"/>
      <c r="GI166" s="167"/>
      <c r="GJ166" s="167"/>
      <c r="GK166" s="167"/>
      <c r="GL166" s="167"/>
      <c r="GM166" s="167"/>
      <c r="GN166" s="167"/>
      <c r="GO166" s="167"/>
      <c r="GP166" s="167"/>
      <c r="GQ166" s="167"/>
      <c r="GR166" s="167"/>
      <c r="GS166" s="167"/>
      <c r="GT166" s="167"/>
      <c r="GU166" s="167"/>
      <c r="GV166" s="167"/>
      <c r="GW166" s="167"/>
      <c r="GX166" s="167"/>
      <c r="GY166" s="167"/>
      <c r="GZ166" s="167"/>
      <c r="HA166" s="167"/>
      <c r="HB166" s="167"/>
      <c r="HC166" s="167"/>
      <c r="HD166" s="167"/>
      <c r="HE166" s="167"/>
      <c r="HF166" s="167"/>
      <c r="HG166" s="167"/>
      <c r="HH166" s="167"/>
      <c r="HI166" s="167"/>
      <c r="HJ166" s="167"/>
      <c r="HK166" s="167"/>
      <c r="HL166" s="167"/>
      <c r="HM166" s="167"/>
      <c r="HN166" s="167"/>
      <c r="HO166" s="167"/>
      <c r="HP166" s="167"/>
      <c r="HQ166" s="167"/>
      <c r="HR166" s="167"/>
      <c r="HS166" s="167"/>
      <c r="HT166" s="167"/>
      <c r="HU166" s="167"/>
      <c r="HV166" s="167"/>
      <c r="HW166" s="167"/>
      <c r="HX166" s="167"/>
      <c r="HY166" s="167"/>
      <c r="HZ166" s="167"/>
      <c r="IA166" s="167"/>
      <c r="IB166" s="167"/>
      <c r="IC166" s="167"/>
      <c r="ID166" s="167"/>
      <c r="IE166" s="167"/>
      <c r="IF166" s="167"/>
      <c r="IG166" s="167"/>
      <c r="IH166" s="167"/>
      <c r="II166" s="167"/>
      <c r="IJ166" s="167"/>
      <c r="IK166" s="167"/>
      <c r="IL166" s="167"/>
      <c r="IM166" s="167"/>
      <c r="IN166" s="167"/>
    </row>
    <row r="167" spans="1:248" ht="45" customHeight="1" thickBot="1" x14ac:dyDescent="0.3">
      <c r="A167" s="444">
        <v>3476</v>
      </c>
      <c r="B167" s="445" t="s">
        <v>51</v>
      </c>
      <c r="C167" s="445" t="s">
        <v>91</v>
      </c>
      <c r="D167" s="445"/>
      <c r="E167" s="445">
        <v>98</v>
      </c>
      <c r="F167" s="445"/>
      <c r="G167" s="445"/>
      <c r="H167" s="448" t="s">
        <v>55</v>
      </c>
      <c r="I167" s="451">
        <f>SUMIF('Wege im Detail'!$A:$A,"03476",'Wege im Detail'!$P:$P)</f>
        <v>8.1209999999999987</v>
      </c>
      <c r="J167" s="508" t="s">
        <v>475</v>
      </c>
      <c r="L167" s="256">
        <v>44</v>
      </c>
      <c r="M167" s="195">
        <v>92</v>
      </c>
      <c r="N167" s="196">
        <v>2</v>
      </c>
      <c r="O167" s="212">
        <v>6</v>
      </c>
      <c r="P167" s="350">
        <v>0</v>
      </c>
      <c r="R167" s="275">
        <v>0</v>
      </c>
      <c r="S167" s="276">
        <v>0.48699999999999999</v>
      </c>
      <c r="T167" s="277">
        <v>3.62</v>
      </c>
      <c r="U167" s="276" t="s">
        <v>476</v>
      </c>
      <c r="V167" s="277">
        <v>3.379</v>
      </c>
      <c r="W167" s="276">
        <v>0.628</v>
      </c>
      <c r="X167" s="277">
        <v>0</v>
      </c>
      <c r="Y167" s="278">
        <f t="shared" si="11"/>
        <v>8.1140000000000008</v>
      </c>
      <c r="Z167" s="279"/>
      <c r="AA167" s="280">
        <v>0</v>
      </c>
      <c r="AB167" s="281">
        <v>0.55549999999999999</v>
      </c>
      <c r="AC167" s="280">
        <v>1.58</v>
      </c>
      <c r="AD167" s="294">
        <v>0</v>
      </c>
      <c r="AE167" s="281">
        <v>0.99</v>
      </c>
      <c r="AF167" s="288">
        <v>2.0099999999999998</v>
      </c>
      <c r="AG167" s="303">
        <v>0</v>
      </c>
      <c r="AH167" s="356">
        <v>0</v>
      </c>
      <c r="AI167" s="301">
        <f t="shared" si="10"/>
        <v>-6.9999999999978968E-3</v>
      </c>
      <c r="AK167" s="437" t="s">
        <v>50</v>
      </c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167"/>
      <c r="DH167" s="167"/>
      <c r="DI167" s="167"/>
      <c r="DJ167" s="167"/>
      <c r="DK167" s="167"/>
      <c r="DL167" s="167"/>
      <c r="DM167" s="167"/>
      <c r="DN167" s="167"/>
      <c r="DO167" s="167"/>
      <c r="DP167" s="167"/>
      <c r="DQ167" s="167"/>
      <c r="DR167" s="167"/>
      <c r="DS167" s="167"/>
      <c r="DT167" s="167"/>
      <c r="DU167" s="167"/>
      <c r="DV167" s="167"/>
      <c r="DW167" s="167"/>
      <c r="DX167" s="167"/>
      <c r="DY167" s="167"/>
      <c r="DZ167" s="167"/>
      <c r="EA167" s="1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7"/>
      <c r="ET167" s="167"/>
      <c r="EU167" s="167"/>
      <c r="EV167" s="167"/>
      <c r="EW167" s="167"/>
      <c r="EX167" s="167"/>
      <c r="EY167" s="167"/>
      <c r="EZ167" s="167"/>
      <c r="FA167" s="167"/>
      <c r="FB167" s="167"/>
      <c r="FC167" s="167"/>
      <c r="FD167" s="167"/>
      <c r="FE167" s="167"/>
      <c r="FF167" s="167"/>
      <c r="FG167" s="167"/>
      <c r="FH167" s="167"/>
      <c r="FI167" s="167"/>
      <c r="FJ167" s="167"/>
      <c r="FK167" s="167"/>
      <c r="FL167" s="167"/>
      <c r="FM167" s="167"/>
      <c r="FN167" s="167"/>
      <c r="FO167" s="167"/>
      <c r="FP167" s="167"/>
      <c r="FQ167" s="167"/>
      <c r="FR167" s="167"/>
      <c r="FS167" s="167"/>
      <c r="FT167" s="167"/>
      <c r="FU167" s="167"/>
      <c r="FV167" s="167"/>
      <c r="FW167" s="167"/>
      <c r="FX167" s="167"/>
      <c r="FY167" s="167"/>
      <c r="FZ167" s="167"/>
      <c r="GA167" s="167"/>
      <c r="GB167" s="167"/>
      <c r="GC167" s="167"/>
      <c r="GD167" s="167"/>
      <c r="GE167" s="167"/>
      <c r="GF167" s="167"/>
      <c r="GG167" s="167"/>
      <c r="GH167" s="167"/>
      <c r="GI167" s="167"/>
      <c r="GJ167" s="167"/>
      <c r="GK167" s="167"/>
      <c r="GL167" s="167"/>
      <c r="GM167" s="167"/>
      <c r="GN167" s="167"/>
      <c r="GO167" s="167"/>
      <c r="GP167" s="167"/>
      <c r="GQ167" s="167"/>
      <c r="GR167" s="167"/>
      <c r="GS167" s="167"/>
      <c r="GT167" s="167"/>
      <c r="GU167" s="167"/>
      <c r="GV167" s="167"/>
      <c r="GW167" s="167"/>
      <c r="GX167" s="167"/>
      <c r="GY167" s="167"/>
      <c r="GZ167" s="167"/>
      <c r="HA167" s="167"/>
      <c r="HB167" s="167"/>
      <c r="HC167" s="167"/>
      <c r="HD167" s="167"/>
      <c r="HE167" s="167"/>
      <c r="HF167" s="167"/>
      <c r="HG167" s="167"/>
      <c r="HH167" s="167"/>
      <c r="HI167" s="167"/>
      <c r="HJ167" s="167"/>
      <c r="HK167" s="167"/>
      <c r="HL167" s="167"/>
      <c r="HM167" s="167"/>
      <c r="HN167" s="167"/>
      <c r="HO167" s="167"/>
      <c r="HP167" s="167"/>
      <c r="HQ167" s="167"/>
      <c r="HR167" s="167"/>
      <c r="HS167" s="167"/>
      <c r="HT167" s="167"/>
      <c r="HU167" s="167"/>
      <c r="HV167" s="167"/>
      <c r="HW167" s="167"/>
      <c r="HX167" s="167"/>
      <c r="HY167" s="167"/>
      <c r="HZ167" s="167"/>
      <c r="IA167" s="167"/>
      <c r="IB167" s="167"/>
      <c r="IC167" s="167"/>
      <c r="ID167" s="167"/>
      <c r="IE167" s="167"/>
      <c r="IF167" s="167"/>
      <c r="IG167" s="167"/>
      <c r="IH167" s="167"/>
      <c r="II167" s="167"/>
      <c r="IJ167" s="167"/>
      <c r="IK167" s="167"/>
      <c r="IL167" s="167"/>
      <c r="IM167" s="167"/>
      <c r="IN167" s="167"/>
    </row>
    <row r="168" spans="1:248" ht="45" customHeight="1" thickBot="1" x14ac:dyDescent="0.25">
      <c r="A168" s="444">
        <v>3477</v>
      </c>
      <c r="B168" s="445" t="s">
        <v>51</v>
      </c>
      <c r="C168" s="445" t="s">
        <v>91</v>
      </c>
      <c r="D168" s="445"/>
      <c r="E168" s="445">
        <v>107</v>
      </c>
      <c r="F168" s="445" t="s">
        <v>478</v>
      </c>
      <c r="G168" s="445"/>
      <c r="H168" s="448" t="s">
        <v>55</v>
      </c>
      <c r="I168" s="451">
        <f>SUMIF('Wege im Detail'!$A:$A,"03477",'Wege im Detail'!$P:$P)</f>
        <v>22.094000000000001</v>
      </c>
      <c r="J168" s="516" t="s">
        <v>479</v>
      </c>
      <c r="L168" s="256">
        <v>25</v>
      </c>
      <c r="M168" s="195">
        <v>92</v>
      </c>
      <c r="N168" s="196">
        <v>6</v>
      </c>
      <c r="O168" s="212">
        <v>2</v>
      </c>
      <c r="P168" s="350">
        <v>0</v>
      </c>
      <c r="R168" s="275">
        <v>0</v>
      </c>
      <c r="S168" s="276">
        <v>0.62</v>
      </c>
      <c r="T168" s="277">
        <v>13.4</v>
      </c>
      <c r="U168" s="276">
        <v>0.91900000000000004</v>
      </c>
      <c r="V168" s="277">
        <v>4.12</v>
      </c>
      <c r="W168" s="276">
        <v>2.2400000000000002</v>
      </c>
      <c r="X168" s="277">
        <v>0.82799999999999996</v>
      </c>
      <c r="Y168" s="278">
        <f t="shared" si="11"/>
        <v>22.126999999999999</v>
      </c>
      <c r="Z168" s="282"/>
      <c r="AA168" s="280">
        <v>0</v>
      </c>
      <c r="AB168" s="281">
        <v>0.62</v>
      </c>
      <c r="AC168" s="280">
        <v>14.7</v>
      </c>
      <c r="AD168" s="294">
        <v>0.30599999999999999</v>
      </c>
      <c r="AE168" s="281">
        <v>2.27</v>
      </c>
      <c r="AF168" s="288">
        <v>4.07</v>
      </c>
      <c r="AG168" s="303">
        <v>0.55549999999999999</v>
      </c>
      <c r="AH168" s="356">
        <v>0</v>
      </c>
      <c r="AI168" s="301">
        <f t="shared" si="10"/>
        <v>3.2999999999997698E-2</v>
      </c>
      <c r="AJ168" s="187"/>
      <c r="AK168" s="437" t="s">
        <v>50</v>
      </c>
      <c r="AL168" s="427"/>
      <c r="AM168" s="428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</row>
    <row r="169" spans="1:248" ht="45" customHeight="1" thickBot="1" x14ac:dyDescent="0.25">
      <c r="A169" s="444">
        <v>6500</v>
      </c>
      <c r="B169" s="445" t="s">
        <v>51</v>
      </c>
      <c r="C169" s="445" t="s">
        <v>52</v>
      </c>
      <c r="D169" s="445"/>
      <c r="E169" s="445">
        <v>16</v>
      </c>
      <c r="F169" s="445" t="s">
        <v>481</v>
      </c>
      <c r="G169" s="445"/>
      <c r="H169" s="448" t="s">
        <v>55</v>
      </c>
      <c r="I169" s="451">
        <f>SUMIF('Wege im Detail'!$A:$A,"06500",'Wege im Detail'!$P:$P)</f>
        <v>61.263000000000005</v>
      </c>
      <c r="J169" s="508" t="s">
        <v>482</v>
      </c>
      <c r="L169" s="256">
        <v>37</v>
      </c>
      <c r="M169" s="195">
        <v>94</v>
      </c>
      <c r="N169" s="196">
        <v>6</v>
      </c>
      <c r="O169" s="212">
        <v>0</v>
      </c>
      <c r="P169" s="350">
        <v>0</v>
      </c>
      <c r="R169" s="275">
        <v>0</v>
      </c>
      <c r="S169" s="276">
        <v>3.81</v>
      </c>
      <c r="T169" s="277">
        <v>26.1</v>
      </c>
      <c r="U169" s="276">
        <v>7.3</v>
      </c>
      <c r="V169" s="277">
        <v>14.2</v>
      </c>
      <c r="W169" s="276">
        <v>7.65</v>
      </c>
      <c r="X169" s="277">
        <v>2.21</v>
      </c>
      <c r="Y169" s="278">
        <f t="shared" si="11"/>
        <v>61.269999999999996</v>
      </c>
      <c r="Z169" s="282"/>
      <c r="AA169" s="280">
        <v>0.30399999999999999</v>
      </c>
      <c r="AB169" s="281">
        <v>3.98</v>
      </c>
      <c r="AC169" s="280">
        <v>37.700000000000003</v>
      </c>
      <c r="AD169" s="294">
        <v>3.98</v>
      </c>
      <c r="AE169" s="281">
        <v>5.12</v>
      </c>
      <c r="AF169" s="288">
        <v>9.99</v>
      </c>
      <c r="AG169" s="303">
        <v>0.19</v>
      </c>
      <c r="AH169" s="356">
        <v>0</v>
      </c>
      <c r="AI169" s="301">
        <f t="shared" si="10"/>
        <v>6.9999999999907914E-3</v>
      </c>
      <c r="AJ169" s="418"/>
      <c r="AK169" s="435" t="s">
        <v>50</v>
      </c>
      <c r="AL169" s="427"/>
      <c r="AM169" s="428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</row>
    <row r="170" spans="1:248" ht="45" customHeight="1" thickBot="1" x14ac:dyDescent="0.3">
      <c r="A170" s="444">
        <v>6602</v>
      </c>
      <c r="B170" s="445" t="s">
        <v>51</v>
      </c>
      <c r="C170" s="445" t="s">
        <v>91</v>
      </c>
      <c r="D170" s="445"/>
      <c r="E170" s="445">
        <v>134</v>
      </c>
      <c r="F170" s="445"/>
      <c r="G170" s="445"/>
      <c r="H170" s="448" t="s">
        <v>55</v>
      </c>
      <c r="I170" s="451">
        <f>SUMIF('Wege im Detail'!$A:$A,"06602",'Wege im Detail'!$P:$P)</f>
        <v>2.7389999999999999</v>
      </c>
      <c r="J170" s="508" t="s">
        <v>483</v>
      </c>
      <c r="L170" s="256" t="s">
        <v>484</v>
      </c>
      <c r="M170" s="195" t="s">
        <v>485</v>
      </c>
      <c r="N170" s="196" t="s">
        <v>486</v>
      </c>
      <c r="O170" s="212" t="s">
        <v>487</v>
      </c>
      <c r="P170" s="350" t="s">
        <v>487</v>
      </c>
      <c r="R170" s="275">
        <v>0</v>
      </c>
      <c r="S170" s="276">
        <v>0.17499999999999999</v>
      </c>
      <c r="T170" s="277">
        <v>0.55549999999999999</v>
      </c>
      <c r="U170" s="276">
        <v>2.57</v>
      </c>
      <c r="V170" s="277">
        <v>0</v>
      </c>
      <c r="W170" s="276">
        <v>0</v>
      </c>
      <c r="X170" s="277">
        <v>0</v>
      </c>
      <c r="Y170" s="278">
        <f t="shared" si="11"/>
        <v>3.3004999999999995</v>
      </c>
      <c r="Z170" s="279"/>
      <c r="AA170" s="280">
        <v>0</v>
      </c>
      <c r="AB170" s="281">
        <v>0</v>
      </c>
      <c r="AC170" s="280">
        <v>2.75</v>
      </c>
      <c r="AD170" s="294">
        <v>0</v>
      </c>
      <c r="AE170" s="281">
        <v>0</v>
      </c>
      <c r="AF170" s="288">
        <v>0</v>
      </c>
      <c r="AG170" s="303">
        <v>0</v>
      </c>
      <c r="AH170" s="356">
        <v>0</v>
      </c>
      <c r="AI170" s="301">
        <f>Y167-I170</f>
        <v>5.3750000000000009</v>
      </c>
      <c r="AJ170" s="417" t="s">
        <v>488</v>
      </c>
    </row>
    <row r="171" spans="1:248" s="56" customFormat="1" ht="45" customHeight="1" thickBot="1" x14ac:dyDescent="0.25">
      <c r="A171" s="444">
        <v>7439</v>
      </c>
      <c r="B171" s="445" t="s">
        <v>84</v>
      </c>
      <c r="C171" s="455" t="s">
        <v>85</v>
      </c>
      <c r="D171" s="479"/>
      <c r="E171" s="445" t="s">
        <v>489</v>
      </c>
      <c r="F171" s="445" t="s">
        <v>138</v>
      </c>
      <c r="G171" s="445"/>
      <c r="H171" s="448" t="s">
        <v>55</v>
      </c>
      <c r="I171" s="451">
        <f>SUMIF('Wege im Detail'!$A:$A,"07439",'Wege im Detail'!$P:$P)</f>
        <v>2.806</v>
      </c>
      <c r="J171" s="508" t="s">
        <v>490</v>
      </c>
      <c r="K171" s="237"/>
      <c r="L171" s="256">
        <v>19</v>
      </c>
      <c r="M171" s="195">
        <v>100</v>
      </c>
      <c r="N171" s="196">
        <v>0</v>
      </c>
      <c r="O171" s="212">
        <v>0</v>
      </c>
      <c r="P171" s="350">
        <v>0</v>
      </c>
      <c r="Q171" s="226"/>
      <c r="R171" s="275">
        <v>0</v>
      </c>
      <c r="S171" s="276">
        <v>0.19600000000000001</v>
      </c>
      <c r="T171" s="277">
        <v>2.17</v>
      </c>
      <c r="U171" s="276">
        <v>0</v>
      </c>
      <c r="V171" s="277">
        <v>0.53800000000000003</v>
      </c>
      <c r="W171" s="276">
        <v>0</v>
      </c>
      <c r="X171" s="277">
        <v>0</v>
      </c>
      <c r="Y171" s="278">
        <f t="shared" si="11"/>
        <v>2.9039999999999999</v>
      </c>
      <c r="Z171" s="282"/>
      <c r="AA171" s="280">
        <v>1.1200000000000001</v>
      </c>
      <c r="AB171" s="281">
        <v>0.39800000000000002</v>
      </c>
      <c r="AC171" s="280">
        <v>0.84099999999999997</v>
      </c>
      <c r="AD171" s="294">
        <v>0</v>
      </c>
      <c r="AE171" s="281">
        <v>0</v>
      </c>
      <c r="AF171" s="288">
        <v>0.53800000000000003</v>
      </c>
      <c r="AG171" s="303">
        <v>0</v>
      </c>
      <c r="AH171" s="356">
        <v>0</v>
      </c>
      <c r="AI171" s="301">
        <f>Y171-I171</f>
        <v>9.7999999999999865E-2</v>
      </c>
      <c r="AJ171" s="187"/>
      <c r="AK171" s="435" t="s">
        <v>50</v>
      </c>
      <c r="AL171" s="427"/>
      <c r="AM171" s="428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</row>
    <row r="172" spans="1:248" ht="45" customHeight="1" thickBot="1" x14ac:dyDescent="0.25">
      <c r="A172" s="444">
        <v>7443</v>
      </c>
      <c r="B172" s="445" t="s">
        <v>51</v>
      </c>
      <c r="C172" s="445" t="s">
        <v>52</v>
      </c>
      <c r="D172" s="479"/>
      <c r="E172" s="445">
        <v>600</v>
      </c>
      <c r="F172" s="445" t="s">
        <v>492</v>
      </c>
      <c r="G172" s="445"/>
      <c r="H172" s="448" t="s">
        <v>55</v>
      </c>
      <c r="I172" s="451">
        <f>SUMIF('Wege im Detail'!$A:$A,"07443",'Wege im Detail'!$P:$P)</f>
        <v>120.56900000000002</v>
      </c>
      <c r="J172" s="508" t="s">
        <v>2270</v>
      </c>
      <c r="L172" s="256"/>
      <c r="M172" s="195"/>
      <c r="N172" s="196"/>
      <c r="O172" s="212"/>
      <c r="R172" s="275">
        <v>0</v>
      </c>
      <c r="S172" s="276">
        <v>10.1</v>
      </c>
      <c r="T172" s="277">
        <v>64.7</v>
      </c>
      <c r="U172" s="276">
        <v>25.1</v>
      </c>
      <c r="V172" s="277">
        <v>38</v>
      </c>
      <c r="W172" s="276">
        <v>29.2</v>
      </c>
      <c r="X172" s="277">
        <v>9.24</v>
      </c>
      <c r="Y172" s="278">
        <f t="shared" si="11"/>
        <v>176.34</v>
      </c>
      <c r="Z172" s="282"/>
      <c r="AA172" s="280">
        <v>0</v>
      </c>
      <c r="AB172" s="281">
        <v>0</v>
      </c>
      <c r="AC172" s="280">
        <v>2.75</v>
      </c>
      <c r="AD172" s="294">
        <v>0</v>
      </c>
      <c r="AE172" s="281">
        <v>0</v>
      </c>
      <c r="AF172" s="288">
        <v>0</v>
      </c>
      <c r="AG172" s="303">
        <v>0</v>
      </c>
      <c r="AH172" s="356">
        <v>0</v>
      </c>
      <c r="AI172" s="301">
        <f>Y170-I172</f>
        <v>-117.26850000000002</v>
      </c>
      <c r="AJ172" s="418"/>
      <c r="AK172" s="435" t="s">
        <v>50</v>
      </c>
      <c r="AL172" s="427"/>
      <c r="AM172" s="428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</row>
    <row r="173" spans="1:248" ht="45" customHeight="1" thickBot="1" x14ac:dyDescent="0.25">
      <c r="A173" s="444">
        <v>7589</v>
      </c>
      <c r="B173" s="445" t="s">
        <v>51</v>
      </c>
      <c r="C173" s="445" t="s">
        <v>52</v>
      </c>
      <c r="D173" s="479"/>
      <c r="E173" s="445">
        <v>19</v>
      </c>
      <c r="F173" s="445" t="s">
        <v>494</v>
      </c>
      <c r="G173" s="445"/>
      <c r="H173" s="448" t="s">
        <v>55</v>
      </c>
      <c r="I173" s="451">
        <f>SUMIF('Wege im Detail'!$A:$A,"007589",'Wege im Detail'!$P:$P)</f>
        <v>6.7990000000000004</v>
      </c>
      <c r="J173" s="508" t="s">
        <v>495</v>
      </c>
      <c r="L173" s="256">
        <v>4.5999999999999996</v>
      </c>
      <c r="M173" s="195" t="s">
        <v>60</v>
      </c>
      <c r="N173" s="196" t="s">
        <v>60</v>
      </c>
      <c r="O173" s="212" t="s">
        <v>60</v>
      </c>
      <c r="P173" s="350" t="s">
        <v>60</v>
      </c>
      <c r="R173" s="275">
        <v>0</v>
      </c>
      <c r="S173" s="276">
        <v>0</v>
      </c>
      <c r="T173" s="277">
        <v>8.39</v>
      </c>
      <c r="U173" s="276">
        <v>2.58</v>
      </c>
      <c r="V173" s="277">
        <v>2.5499999999999998</v>
      </c>
      <c r="W173" s="276">
        <v>0.67</v>
      </c>
      <c r="X173" s="277">
        <v>0.36399999999999999</v>
      </c>
      <c r="Y173" s="278">
        <f t="shared" si="11"/>
        <v>14.554</v>
      </c>
      <c r="Z173" s="282"/>
      <c r="AA173" s="280">
        <v>2.4500000000000002</v>
      </c>
      <c r="AB173" s="281">
        <v>2.69</v>
      </c>
      <c r="AC173" s="280">
        <v>0.55549999999999999</v>
      </c>
      <c r="AD173" s="294">
        <v>5.33</v>
      </c>
      <c r="AE173" s="281">
        <v>1.61</v>
      </c>
      <c r="AF173" s="288">
        <v>2.31</v>
      </c>
      <c r="AG173" s="303">
        <v>0.121</v>
      </c>
      <c r="AH173" s="356">
        <v>0</v>
      </c>
      <c r="AI173" s="301">
        <f t="shared" ref="AI173:AI204" si="12">Y173-I173</f>
        <v>7.7549999999999999</v>
      </c>
      <c r="AJ173" s="187"/>
      <c r="AK173" s="435" t="s">
        <v>50</v>
      </c>
      <c r="AL173" s="427"/>
      <c r="AM173" s="428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</row>
    <row r="174" spans="1:248" ht="45" customHeight="1" thickBot="1" x14ac:dyDescent="0.25">
      <c r="A174" s="444">
        <v>8500</v>
      </c>
      <c r="B174" s="445" t="s">
        <v>84</v>
      </c>
      <c r="C174" s="455" t="s">
        <v>85</v>
      </c>
      <c r="D174" s="445"/>
      <c r="E174" s="445" t="s">
        <v>497</v>
      </c>
      <c r="F174" s="445" t="s">
        <v>498</v>
      </c>
      <c r="G174" s="445"/>
      <c r="H174" s="448" t="s">
        <v>55</v>
      </c>
      <c r="I174" s="451">
        <f>SUMIF('Wege im Detail'!$A:$A,"08500",'Wege im Detail'!$P:$P)</f>
        <v>6.8040000000000003</v>
      </c>
      <c r="J174" s="508" t="s">
        <v>499</v>
      </c>
      <c r="L174" s="209">
        <v>70</v>
      </c>
      <c r="M174" s="197">
        <v>54</v>
      </c>
      <c r="N174" s="198">
        <v>45</v>
      </c>
      <c r="O174" s="213">
        <v>2</v>
      </c>
      <c r="P174" s="350">
        <v>0</v>
      </c>
      <c r="R174" s="275">
        <v>0</v>
      </c>
      <c r="S174" s="276">
        <v>0</v>
      </c>
      <c r="T174" s="277">
        <v>1.65</v>
      </c>
      <c r="U174" s="276">
        <v>0.42599999999999999</v>
      </c>
      <c r="V174" s="277">
        <v>4.6100000000000003</v>
      </c>
      <c r="W174" s="276">
        <v>0.115</v>
      </c>
      <c r="X174" s="277">
        <v>0</v>
      </c>
      <c r="Y174" s="278">
        <f t="shared" si="11"/>
        <v>6.8010000000000002</v>
      </c>
      <c r="Z174" s="282">
        <v>0.48399999999999999</v>
      </c>
      <c r="AA174" s="280">
        <v>0.48399999999999999</v>
      </c>
      <c r="AB174" s="281">
        <v>1.03</v>
      </c>
      <c r="AC174" s="280">
        <v>0.60499999999999998</v>
      </c>
      <c r="AD174" s="294">
        <v>0</v>
      </c>
      <c r="AE174" s="281">
        <v>1.3</v>
      </c>
      <c r="AF174" s="288">
        <v>3.37</v>
      </c>
      <c r="AG174" s="303">
        <v>0</v>
      </c>
      <c r="AH174" s="356">
        <v>0</v>
      </c>
      <c r="AI174" s="301">
        <f t="shared" si="12"/>
        <v>-3.0000000000001137E-3</v>
      </c>
      <c r="AJ174" s="187"/>
      <c r="AK174" s="435" t="s">
        <v>50</v>
      </c>
      <c r="AL174" s="427"/>
      <c r="AM174" s="428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</row>
    <row r="175" spans="1:248" ht="45" customHeight="1" thickBot="1" x14ac:dyDescent="0.25">
      <c r="A175" s="444">
        <v>8501</v>
      </c>
      <c r="B175" s="445" t="s">
        <v>84</v>
      </c>
      <c r="C175" s="455" t="s">
        <v>85</v>
      </c>
      <c r="D175" s="445"/>
      <c r="E175" s="445" t="s">
        <v>500</v>
      </c>
      <c r="F175" s="445" t="s">
        <v>147</v>
      </c>
      <c r="G175" s="445"/>
      <c r="H175" s="448" t="s">
        <v>55</v>
      </c>
      <c r="I175" s="451">
        <f>SUMIF('Wege im Detail'!$A:$A,"08501",'Wege im Detail'!$P:$P)</f>
        <v>9.5239999999999991</v>
      </c>
      <c r="J175" s="514" t="s">
        <v>501</v>
      </c>
      <c r="L175" s="256">
        <v>59</v>
      </c>
      <c r="M175" s="195">
        <v>86</v>
      </c>
      <c r="N175" s="196">
        <v>14</v>
      </c>
      <c r="O175" s="212">
        <v>0</v>
      </c>
      <c r="P175" s="350">
        <v>0</v>
      </c>
      <c r="R175" s="275">
        <v>0</v>
      </c>
      <c r="S175" s="276">
        <v>0</v>
      </c>
      <c r="T175" s="277">
        <v>2.8</v>
      </c>
      <c r="U175" s="276">
        <v>0.49</v>
      </c>
      <c r="V175" s="277">
        <v>5.2</v>
      </c>
      <c r="W175" s="276">
        <v>0.31</v>
      </c>
      <c r="X175" s="277">
        <v>0.68</v>
      </c>
      <c r="Y175" s="278">
        <f t="shared" si="11"/>
        <v>9.48</v>
      </c>
      <c r="Z175" s="282">
        <v>0.45</v>
      </c>
      <c r="AA175" s="280">
        <v>0.45</v>
      </c>
      <c r="AB175" s="281">
        <v>1.98</v>
      </c>
      <c r="AC175" s="280">
        <v>1.33</v>
      </c>
      <c r="AD175" s="294">
        <v>0</v>
      </c>
      <c r="AE175" s="281">
        <v>1.55</v>
      </c>
      <c r="AF175" s="288">
        <v>4.0599999999999996</v>
      </c>
      <c r="AG175" s="303">
        <v>0</v>
      </c>
      <c r="AH175" s="356">
        <v>0</v>
      </c>
      <c r="AI175" s="301">
        <f t="shared" si="12"/>
        <v>-4.3999999999998707E-2</v>
      </c>
      <c r="AJ175" s="187"/>
      <c r="AK175" s="435" t="s">
        <v>50</v>
      </c>
      <c r="AL175" s="427"/>
      <c r="AM175" s="428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</row>
    <row r="176" spans="1:248" ht="45" customHeight="1" thickBot="1" x14ac:dyDescent="0.3">
      <c r="A176" s="444">
        <v>8507</v>
      </c>
      <c r="B176" s="445" t="s">
        <v>84</v>
      </c>
      <c r="C176" s="455" t="s">
        <v>85</v>
      </c>
      <c r="D176" s="445"/>
      <c r="E176" s="445" t="s">
        <v>503</v>
      </c>
      <c r="F176" s="445" t="s">
        <v>88</v>
      </c>
      <c r="G176" s="445"/>
      <c r="H176" s="448" t="s">
        <v>55</v>
      </c>
      <c r="I176" s="451">
        <f>SUMIF('Wege im Detail'!$A:$A,"08507",'Wege im Detail'!$P:$P)</f>
        <v>7.633</v>
      </c>
      <c r="J176" s="508" t="s">
        <v>504</v>
      </c>
      <c r="L176" s="256">
        <v>26</v>
      </c>
      <c r="M176" s="195">
        <v>99</v>
      </c>
      <c r="N176" s="196">
        <v>1</v>
      </c>
      <c r="O176" s="212">
        <v>0</v>
      </c>
      <c r="P176" s="350">
        <v>0</v>
      </c>
      <c r="R176" s="275">
        <v>0</v>
      </c>
      <c r="S176" s="276">
        <v>0.307</v>
      </c>
      <c r="T176" s="277">
        <v>2.82</v>
      </c>
      <c r="U176" s="276">
        <v>1.36</v>
      </c>
      <c r="V176" s="277">
        <v>3.15</v>
      </c>
      <c r="W176" s="276">
        <v>0</v>
      </c>
      <c r="X176" s="277">
        <v>0</v>
      </c>
      <c r="Y176" s="278">
        <f t="shared" si="11"/>
        <v>7.6370000000000005</v>
      </c>
      <c r="Z176" s="279"/>
      <c r="AA176" s="280">
        <v>1.92</v>
      </c>
      <c r="AB176" s="281">
        <v>0.67400000000000004</v>
      </c>
      <c r="AC176" s="280">
        <v>3.65</v>
      </c>
      <c r="AD176" s="294">
        <v>0</v>
      </c>
      <c r="AE176" s="281">
        <v>0.80100000000000005</v>
      </c>
      <c r="AF176" s="288">
        <v>0.59699999999999998</v>
      </c>
      <c r="AG176" s="303">
        <v>0</v>
      </c>
      <c r="AH176" s="356">
        <v>0</v>
      </c>
      <c r="AI176" s="301">
        <f t="shared" si="12"/>
        <v>4.0000000000004476E-3</v>
      </c>
      <c r="AK176" s="435" t="s">
        <v>50</v>
      </c>
    </row>
    <row r="177" spans="1:248" ht="45" customHeight="1" thickBot="1" x14ac:dyDescent="0.3">
      <c r="A177" s="444">
        <v>8508</v>
      </c>
      <c r="B177" s="445" t="s">
        <v>84</v>
      </c>
      <c r="C177" s="455" t="s">
        <v>85</v>
      </c>
      <c r="D177" s="445"/>
      <c r="E177" s="445" t="s">
        <v>506</v>
      </c>
      <c r="F177" s="445" t="s">
        <v>138</v>
      </c>
      <c r="G177" s="445"/>
      <c r="H177" s="448" t="s">
        <v>55</v>
      </c>
      <c r="I177" s="451">
        <f>SUMIF('Wege im Detail'!$A:$A,"08508",'Wege im Detail'!$P:$P)</f>
        <v>7.609</v>
      </c>
      <c r="J177" s="508" t="s">
        <v>508</v>
      </c>
      <c r="L177" s="256">
        <v>3</v>
      </c>
      <c r="M177" s="195">
        <v>100</v>
      </c>
      <c r="N177" s="196">
        <v>0</v>
      </c>
      <c r="O177" s="212">
        <v>0</v>
      </c>
      <c r="P177" s="350">
        <v>0</v>
      </c>
      <c r="R177" s="275">
        <v>0</v>
      </c>
      <c r="S177" s="276">
        <v>0</v>
      </c>
      <c r="T177" s="277">
        <v>7.67</v>
      </c>
      <c r="U177" s="276">
        <v>0</v>
      </c>
      <c r="V177" s="277">
        <v>0.5</v>
      </c>
      <c r="W177" s="276">
        <v>0</v>
      </c>
      <c r="X177" s="277">
        <v>0</v>
      </c>
      <c r="Y177" s="278">
        <f t="shared" si="11"/>
        <v>8.17</v>
      </c>
      <c r="Z177" s="279"/>
      <c r="AA177" s="280">
        <v>2.97</v>
      </c>
      <c r="AB177" s="281">
        <v>1.81</v>
      </c>
      <c r="AC177" s="280">
        <v>2.58</v>
      </c>
      <c r="AD177" s="294">
        <v>0</v>
      </c>
      <c r="AE177" s="281">
        <v>0.5</v>
      </c>
      <c r="AF177" s="288">
        <v>0</v>
      </c>
      <c r="AG177" s="303">
        <v>0</v>
      </c>
      <c r="AH177" s="356">
        <v>0</v>
      </c>
      <c r="AI177" s="301">
        <f t="shared" si="12"/>
        <v>0.56099999999999994</v>
      </c>
      <c r="AK177" s="435" t="s">
        <v>50</v>
      </c>
    </row>
    <row r="178" spans="1:248" ht="45" customHeight="1" thickBot="1" x14ac:dyDescent="0.3">
      <c r="A178" s="438">
        <v>8513</v>
      </c>
      <c r="B178" s="445" t="s">
        <v>84</v>
      </c>
      <c r="C178" s="455" t="s">
        <v>85</v>
      </c>
      <c r="D178" s="445"/>
      <c r="E178" s="445" t="s">
        <v>509</v>
      </c>
      <c r="F178" s="445" t="s">
        <v>142</v>
      </c>
      <c r="G178" s="445"/>
      <c r="H178" s="448" t="s">
        <v>55</v>
      </c>
      <c r="I178" s="451">
        <f>SUMIF('Wege im Detail'!$A:$A,"08513",'Wege im Detail'!$P:$P)</f>
        <v>6.1349999999999998</v>
      </c>
      <c r="J178" s="508" t="s">
        <v>510</v>
      </c>
      <c r="L178" s="209">
        <v>2</v>
      </c>
      <c r="M178" s="197">
        <v>100</v>
      </c>
      <c r="N178" s="198">
        <v>0</v>
      </c>
      <c r="O178" s="213">
        <v>0</v>
      </c>
      <c r="P178" s="350">
        <v>0</v>
      </c>
      <c r="R178" s="275">
        <v>0</v>
      </c>
      <c r="S178" s="276">
        <v>0</v>
      </c>
      <c r="T178" s="277">
        <v>5.86</v>
      </c>
      <c r="U178" s="276">
        <v>0.55549999999999999</v>
      </c>
      <c r="V178" s="277">
        <v>0.13300000000000001</v>
      </c>
      <c r="W178" s="276">
        <v>0</v>
      </c>
      <c r="X178" s="277">
        <v>0</v>
      </c>
      <c r="Y178" s="278">
        <f t="shared" si="11"/>
        <v>6.5485000000000007</v>
      </c>
      <c r="Z178" s="279">
        <v>0.13800000000000001</v>
      </c>
      <c r="AA178" s="280">
        <v>1.1379999999999999</v>
      </c>
      <c r="AB178" s="281">
        <v>0.69699999999999995</v>
      </c>
      <c r="AC178" s="280">
        <v>3.11</v>
      </c>
      <c r="AD178" s="294">
        <v>0.90600000000000003</v>
      </c>
      <c r="AE178" s="281">
        <v>0.55549999999999999</v>
      </c>
      <c r="AF178" s="288">
        <v>0.13300000000000001</v>
      </c>
      <c r="AG178" s="303">
        <v>0</v>
      </c>
      <c r="AH178" s="356">
        <v>0</v>
      </c>
      <c r="AI178" s="301">
        <f t="shared" si="12"/>
        <v>0.41350000000000087</v>
      </c>
      <c r="AK178" s="435" t="s">
        <v>50</v>
      </c>
    </row>
    <row r="179" spans="1:248" ht="45" customHeight="1" thickBot="1" x14ac:dyDescent="0.25">
      <c r="A179" s="444">
        <v>8516</v>
      </c>
      <c r="B179" s="445" t="s">
        <v>84</v>
      </c>
      <c r="C179" s="455" t="s">
        <v>85</v>
      </c>
      <c r="D179" s="445"/>
      <c r="E179" s="445" t="s">
        <v>512</v>
      </c>
      <c r="F179" s="445" t="s">
        <v>133</v>
      </c>
      <c r="G179" s="445"/>
      <c r="H179" s="448" t="s">
        <v>55</v>
      </c>
      <c r="I179" s="451">
        <f>SUMIF('Wege im Detail'!$A:$A,"08516",'Wege im Detail'!$P:$P)</f>
        <v>10.795999999999999</v>
      </c>
      <c r="J179" s="508" t="s">
        <v>513</v>
      </c>
      <c r="L179" s="209">
        <v>2</v>
      </c>
      <c r="M179" s="197">
        <v>100</v>
      </c>
      <c r="N179" s="198">
        <v>0</v>
      </c>
      <c r="O179" s="213">
        <v>0</v>
      </c>
      <c r="P179" s="350">
        <v>0</v>
      </c>
      <c r="R179" s="275">
        <v>0</v>
      </c>
      <c r="S179" s="276">
        <v>0</v>
      </c>
      <c r="T179" s="277">
        <v>10.4</v>
      </c>
      <c r="U179" s="276">
        <v>0.55549999999999999</v>
      </c>
      <c r="V179" s="277">
        <v>0.32400000000000001</v>
      </c>
      <c r="W179" s="276">
        <v>0</v>
      </c>
      <c r="X179" s="277">
        <v>0</v>
      </c>
      <c r="Y179" s="278">
        <f t="shared" si="11"/>
        <v>11.279500000000001</v>
      </c>
      <c r="Z179" s="282"/>
      <c r="AA179" s="280">
        <v>6.08</v>
      </c>
      <c r="AB179" s="281">
        <v>2.8</v>
      </c>
      <c r="AC179" s="280">
        <v>1.61</v>
      </c>
      <c r="AD179" s="294">
        <v>0.26400000000000001</v>
      </c>
      <c r="AE179" s="281">
        <v>0</v>
      </c>
      <c r="AF179" s="288">
        <v>0</v>
      </c>
      <c r="AG179" s="303">
        <v>0</v>
      </c>
      <c r="AH179" s="356">
        <v>0</v>
      </c>
      <c r="AI179" s="301">
        <f t="shared" si="12"/>
        <v>0.48350000000000115</v>
      </c>
      <c r="AJ179" s="187"/>
      <c r="AK179" s="435" t="s">
        <v>50</v>
      </c>
      <c r="AL179" s="427"/>
      <c r="AM179" s="428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</row>
    <row r="180" spans="1:248" ht="45" customHeight="1" thickBot="1" x14ac:dyDescent="0.3">
      <c r="A180" s="444">
        <v>8548</v>
      </c>
      <c r="B180" s="445" t="s">
        <v>84</v>
      </c>
      <c r="C180" s="455" t="s">
        <v>85</v>
      </c>
      <c r="D180" s="445"/>
      <c r="E180" s="445" t="s">
        <v>515</v>
      </c>
      <c r="F180" s="445" t="s">
        <v>138</v>
      </c>
      <c r="G180" s="445"/>
      <c r="H180" s="448" t="s">
        <v>55</v>
      </c>
      <c r="I180" s="451">
        <f>SUMIF('Wege im Detail'!$A:$A,"08548",'Wege im Detail'!$P:$P)</f>
        <v>8.58</v>
      </c>
      <c r="J180" s="508" t="s">
        <v>516</v>
      </c>
      <c r="L180" s="209">
        <v>58</v>
      </c>
      <c r="M180" s="197">
        <v>90</v>
      </c>
      <c r="N180" s="198">
        <v>5</v>
      </c>
      <c r="O180" s="213">
        <v>5</v>
      </c>
      <c r="P180" s="350">
        <v>0</v>
      </c>
      <c r="R180" s="275">
        <v>0</v>
      </c>
      <c r="S180" s="276">
        <v>0</v>
      </c>
      <c r="T180" s="277">
        <v>3.51</v>
      </c>
      <c r="U180" s="276">
        <v>0.21099999999999999</v>
      </c>
      <c r="V180" s="277">
        <v>2.9</v>
      </c>
      <c r="W180" s="276">
        <v>1.889</v>
      </c>
      <c r="X180" s="277">
        <v>0.55549999999999999</v>
      </c>
      <c r="Y180" s="278">
        <f t="shared" si="11"/>
        <v>9.0655000000000001</v>
      </c>
      <c r="Z180" s="279"/>
      <c r="AA180" s="280">
        <v>0</v>
      </c>
      <c r="AB180" s="281">
        <v>1.23</v>
      </c>
      <c r="AC180" s="280">
        <v>4</v>
      </c>
      <c r="AD180" s="294">
        <v>0</v>
      </c>
      <c r="AE180" s="281">
        <v>2.2400000000000002</v>
      </c>
      <c r="AF180" s="288">
        <v>1.0409999999999999</v>
      </c>
      <c r="AG180" s="303">
        <v>0</v>
      </c>
      <c r="AH180" s="356">
        <v>0</v>
      </c>
      <c r="AI180" s="301">
        <f t="shared" si="12"/>
        <v>0.48550000000000004</v>
      </c>
      <c r="AK180" s="437" t="s">
        <v>50</v>
      </c>
    </row>
    <row r="181" spans="1:248" ht="45" customHeight="1" thickBot="1" x14ac:dyDescent="0.25">
      <c r="A181" s="444">
        <v>8549</v>
      </c>
      <c r="B181" s="445" t="s">
        <v>84</v>
      </c>
      <c r="C181" s="455" t="s">
        <v>85</v>
      </c>
      <c r="D181" s="445"/>
      <c r="E181" s="445" t="s">
        <v>518</v>
      </c>
      <c r="F181" s="445" t="s">
        <v>519</v>
      </c>
      <c r="G181" s="445"/>
      <c r="H181" s="448" t="s">
        <v>55</v>
      </c>
      <c r="I181" s="451">
        <f>SUMIF('Wege im Detail'!$A:$A,"08549",'Wege im Detail'!$P:$P)</f>
        <v>5.7619999999999996</v>
      </c>
      <c r="J181" s="508" t="s">
        <v>520</v>
      </c>
      <c r="L181" s="209">
        <v>34</v>
      </c>
      <c r="M181" s="197">
        <v>99</v>
      </c>
      <c r="N181" s="198">
        <v>1</v>
      </c>
      <c r="O181" s="213">
        <v>0</v>
      </c>
      <c r="P181" s="350">
        <v>0</v>
      </c>
      <c r="R181" s="275">
        <v>0</v>
      </c>
      <c r="S181" s="276">
        <v>0</v>
      </c>
      <c r="T181" s="277">
        <v>2.75</v>
      </c>
      <c r="U181" s="276">
        <v>1.04</v>
      </c>
      <c r="V181" s="277">
        <v>0.94</v>
      </c>
      <c r="W181" s="276">
        <v>1.04</v>
      </c>
      <c r="X181" s="277">
        <v>0</v>
      </c>
      <c r="Y181" s="278">
        <f t="shared" si="11"/>
        <v>5.7700000000000005</v>
      </c>
      <c r="Z181" s="282"/>
      <c r="AA181" s="280">
        <v>0</v>
      </c>
      <c r="AB181" s="281">
        <v>0</v>
      </c>
      <c r="AC181" s="280">
        <v>4.28</v>
      </c>
      <c r="AD181" s="294">
        <v>0</v>
      </c>
      <c r="AE181" s="281">
        <v>1.3640000000000001</v>
      </c>
      <c r="AF181" s="288">
        <v>0.13200000000000001</v>
      </c>
      <c r="AG181" s="303">
        <v>0</v>
      </c>
      <c r="AH181" s="356">
        <v>0</v>
      </c>
      <c r="AI181" s="301">
        <f t="shared" si="12"/>
        <v>8.0000000000008953E-3</v>
      </c>
      <c r="AJ181" s="187"/>
      <c r="AK181" s="437" t="s">
        <v>50</v>
      </c>
      <c r="AL181" s="427"/>
      <c r="AM181" s="428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</row>
    <row r="182" spans="1:248" ht="45" customHeight="1" thickBot="1" x14ac:dyDescent="0.3">
      <c r="A182" s="444">
        <v>8550</v>
      </c>
      <c r="B182" s="445" t="s">
        <v>84</v>
      </c>
      <c r="C182" s="455" t="s">
        <v>85</v>
      </c>
      <c r="D182" s="445"/>
      <c r="E182" s="445" t="s">
        <v>522</v>
      </c>
      <c r="F182" s="445" t="s">
        <v>523</v>
      </c>
      <c r="G182" s="445"/>
      <c r="H182" s="448" t="s">
        <v>55</v>
      </c>
      <c r="I182" s="451">
        <f>SUMIF('Wege im Detail'!$A:$A,"08550",'Wege im Detail'!$P:$P)</f>
        <v>7.9939999999999998</v>
      </c>
      <c r="J182" s="508" t="s">
        <v>524</v>
      </c>
      <c r="L182" s="209">
        <v>0</v>
      </c>
      <c r="M182" s="197">
        <v>100</v>
      </c>
      <c r="N182" s="198">
        <v>0</v>
      </c>
      <c r="O182" s="213">
        <v>0</v>
      </c>
      <c r="P182" s="350">
        <v>0</v>
      </c>
      <c r="R182" s="275">
        <v>0</v>
      </c>
      <c r="S182" s="276">
        <v>0</v>
      </c>
      <c r="T182" s="277">
        <v>7.96</v>
      </c>
      <c r="U182" s="276">
        <v>0</v>
      </c>
      <c r="V182" s="277">
        <v>0</v>
      </c>
      <c r="W182" s="276">
        <v>0</v>
      </c>
      <c r="X182" s="277">
        <v>0</v>
      </c>
      <c r="Y182" s="278">
        <f t="shared" si="11"/>
        <v>7.96</v>
      </c>
      <c r="Z182" s="279"/>
      <c r="AA182" s="280">
        <v>0</v>
      </c>
      <c r="AB182" s="281">
        <v>0</v>
      </c>
      <c r="AC182" s="280">
        <v>7.96</v>
      </c>
      <c r="AD182" s="294">
        <v>0</v>
      </c>
      <c r="AE182" s="281">
        <v>0</v>
      </c>
      <c r="AF182" s="288">
        <v>0</v>
      </c>
      <c r="AG182" s="303">
        <v>0</v>
      </c>
      <c r="AH182" s="356">
        <v>0</v>
      </c>
      <c r="AI182" s="301">
        <f t="shared" si="12"/>
        <v>-3.3999999999999808E-2</v>
      </c>
      <c r="AK182" s="437" t="s">
        <v>50</v>
      </c>
    </row>
    <row r="183" spans="1:248" ht="45" customHeight="1" thickBot="1" x14ac:dyDescent="0.25">
      <c r="A183" s="444">
        <v>8551</v>
      </c>
      <c r="B183" s="445" t="s">
        <v>84</v>
      </c>
      <c r="C183" s="455" t="s">
        <v>85</v>
      </c>
      <c r="D183" s="445"/>
      <c r="E183" s="445" t="s">
        <v>526</v>
      </c>
      <c r="F183" s="445" t="s">
        <v>527</v>
      </c>
      <c r="G183" s="445"/>
      <c r="H183" s="448" t="s">
        <v>55</v>
      </c>
      <c r="I183" s="451">
        <f>SUMIF('Wege im Detail'!$A:$A,"08551",'Wege im Detail'!$P:$P)</f>
        <v>7.444</v>
      </c>
      <c r="J183" s="508" t="s">
        <v>528</v>
      </c>
      <c r="L183" s="209">
        <v>23</v>
      </c>
      <c r="M183" s="197">
        <v>97</v>
      </c>
      <c r="N183" s="198">
        <v>0</v>
      </c>
      <c r="O183" s="213">
        <v>3</v>
      </c>
      <c r="P183" s="350">
        <v>0</v>
      </c>
      <c r="R183" s="275">
        <v>0</v>
      </c>
      <c r="S183" s="276">
        <v>0</v>
      </c>
      <c r="T183" s="277">
        <v>5.79</v>
      </c>
      <c r="U183" s="276">
        <v>0</v>
      </c>
      <c r="V183" s="277">
        <v>1.46</v>
      </c>
      <c r="W183" s="276">
        <v>0.16600000000000001</v>
      </c>
      <c r="X183" s="277">
        <v>0</v>
      </c>
      <c r="Y183" s="278">
        <f t="shared" si="11"/>
        <v>7.4160000000000004</v>
      </c>
      <c r="Z183" s="282"/>
      <c r="AA183" s="280">
        <v>0</v>
      </c>
      <c r="AB183" s="281">
        <v>0</v>
      </c>
      <c r="AC183" s="280">
        <v>5.79</v>
      </c>
      <c r="AD183" s="294">
        <v>0</v>
      </c>
      <c r="AE183" s="281">
        <v>0</v>
      </c>
      <c r="AF183" s="288">
        <v>1.62</v>
      </c>
      <c r="AG183" s="303">
        <v>0</v>
      </c>
      <c r="AH183" s="356">
        <v>0</v>
      </c>
      <c r="AI183" s="301">
        <f t="shared" si="12"/>
        <v>-2.7999999999999581E-2</v>
      </c>
      <c r="AJ183" s="187"/>
      <c r="AK183" s="437" t="s">
        <v>50</v>
      </c>
      <c r="AL183" s="427"/>
      <c r="AM183" s="428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</row>
    <row r="184" spans="1:248" ht="45" customHeight="1" thickBot="1" x14ac:dyDescent="0.25">
      <c r="A184" s="444">
        <v>8553</v>
      </c>
      <c r="B184" s="445" t="s">
        <v>84</v>
      </c>
      <c r="C184" s="455" t="s">
        <v>85</v>
      </c>
      <c r="D184" s="445"/>
      <c r="E184" s="445" t="s">
        <v>530</v>
      </c>
      <c r="F184" s="445" t="s">
        <v>531</v>
      </c>
      <c r="G184" s="445"/>
      <c r="H184" s="448" t="s">
        <v>55</v>
      </c>
      <c r="I184" s="451">
        <f>SUMIF('Wege im Detail'!$A:$A,"08553",'Wege im Detail'!$P:$P)</f>
        <v>4.915</v>
      </c>
      <c r="J184" s="508" t="s">
        <v>532</v>
      </c>
      <c r="L184" s="209">
        <v>8</v>
      </c>
      <c r="M184" s="197">
        <v>100</v>
      </c>
      <c r="N184" s="198">
        <v>0</v>
      </c>
      <c r="O184" s="213">
        <v>0</v>
      </c>
      <c r="P184" s="350">
        <v>0</v>
      </c>
      <c r="R184" s="275">
        <v>0</v>
      </c>
      <c r="S184" s="276">
        <v>0</v>
      </c>
      <c r="T184" s="277">
        <v>4.51</v>
      </c>
      <c r="U184" s="276">
        <v>0</v>
      </c>
      <c r="V184" s="277">
        <v>0.439</v>
      </c>
      <c r="W184" s="276">
        <v>0</v>
      </c>
      <c r="X184" s="277">
        <v>0</v>
      </c>
      <c r="Y184" s="278">
        <f t="shared" si="11"/>
        <v>4.9489999999999998</v>
      </c>
      <c r="Z184" s="282"/>
      <c r="AA184" s="280">
        <v>0.496</v>
      </c>
      <c r="AB184" s="281">
        <v>0</v>
      </c>
      <c r="AC184" s="280">
        <v>4.0199999999999996</v>
      </c>
      <c r="AD184" s="294">
        <v>0</v>
      </c>
      <c r="AE184" s="281">
        <v>0.30599999999999999</v>
      </c>
      <c r="AF184" s="288">
        <v>0.13200000000000001</v>
      </c>
      <c r="AG184" s="303">
        <v>0</v>
      </c>
      <c r="AH184" s="356">
        <v>0</v>
      </c>
      <c r="AI184" s="301">
        <f t="shared" si="12"/>
        <v>3.3999999999999808E-2</v>
      </c>
      <c r="AJ184" s="187"/>
      <c r="AK184" s="437" t="s">
        <v>50</v>
      </c>
      <c r="AL184" s="427"/>
      <c r="AM184" s="428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</row>
    <row r="185" spans="1:248" ht="45" customHeight="1" thickBot="1" x14ac:dyDescent="0.25">
      <c r="A185" s="444">
        <v>8554</v>
      </c>
      <c r="B185" s="445" t="s">
        <v>84</v>
      </c>
      <c r="C185" s="455" t="s">
        <v>85</v>
      </c>
      <c r="D185" s="445"/>
      <c r="E185" s="445" t="s">
        <v>534</v>
      </c>
      <c r="F185" s="445" t="s">
        <v>535</v>
      </c>
      <c r="G185" s="445"/>
      <c r="H185" s="448" t="s">
        <v>55</v>
      </c>
      <c r="I185" s="451">
        <f>SUMIF('Wege im Detail'!$A:$A,"08554",'Wege im Detail'!$P:$P)</f>
        <v>4.1150000000000002</v>
      </c>
      <c r="J185" s="508" t="s">
        <v>536</v>
      </c>
      <c r="L185" s="209">
        <v>35</v>
      </c>
      <c r="M185" s="197">
        <v>100</v>
      </c>
      <c r="N185" s="198">
        <v>0</v>
      </c>
      <c r="O185" s="213">
        <v>0</v>
      </c>
      <c r="P185" s="350">
        <v>0</v>
      </c>
      <c r="R185" s="275">
        <v>0</v>
      </c>
      <c r="S185" s="276">
        <v>0.55549999999999999</v>
      </c>
      <c r="T185" s="277">
        <v>0.55549999999999999</v>
      </c>
      <c r="U185" s="276">
        <v>2.62</v>
      </c>
      <c r="V185" s="277">
        <v>1.099</v>
      </c>
      <c r="W185" s="276">
        <v>0</v>
      </c>
      <c r="X185" s="277">
        <v>0.246</v>
      </c>
      <c r="Y185" s="278">
        <f t="shared" si="11"/>
        <v>5.0760000000000005</v>
      </c>
      <c r="Z185" s="282"/>
      <c r="AA185" s="280">
        <v>0</v>
      </c>
      <c r="AB185" s="281">
        <v>0.55549999999999999</v>
      </c>
      <c r="AC185" s="280">
        <v>2.62</v>
      </c>
      <c r="AD185" s="294">
        <v>0</v>
      </c>
      <c r="AE185" s="281">
        <v>1.2849999999999999</v>
      </c>
      <c r="AF185" s="288">
        <v>0.13200000000000001</v>
      </c>
      <c r="AG185" s="303">
        <v>0</v>
      </c>
      <c r="AH185" s="356">
        <v>0</v>
      </c>
      <c r="AI185" s="301">
        <f t="shared" si="12"/>
        <v>0.9610000000000003</v>
      </c>
      <c r="AJ185" s="187"/>
      <c r="AK185" s="437" t="s">
        <v>50</v>
      </c>
      <c r="AL185" s="427"/>
      <c r="AM185" s="428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</row>
    <row r="186" spans="1:248" ht="45" customHeight="1" thickBot="1" x14ac:dyDescent="0.3">
      <c r="A186" s="444">
        <v>8558</v>
      </c>
      <c r="B186" s="445" t="s">
        <v>84</v>
      </c>
      <c r="C186" s="455" t="s">
        <v>85</v>
      </c>
      <c r="D186" s="445"/>
      <c r="E186" s="445" t="s">
        <v>538</v>
      </c>
      <c r="F186" s="445" t="s">
        <v>172</v>
      </c>
      <c r="G186" s="445"/>
      <c r="H186" s="448" t="s">
        <v>55</v>
      </c>
      <c r="I186" s="451">
        <f>SUMIF('Wege im Detail'!$A:$A,"08558",'Wege im Detail'!$P:$P)</f>
        <v>4.7169999999999996</v>
      </c>
      <c r="J186" s="508" t="s">
        <v>539</v>
      </c>
      <c r="L186" s="209">
        <v>35</v>
      </c>
      <c r="M186" s="197">
        <v>98</v>
      </c>
      <c r="N186" s="198">
        <v>2</v>
      </c>
      <c r="O186" s="213">
        <v>0</v>
      </c>
      <c r="P186" s="350">
        <v>0</v>
      </c>
      <c r="R186" s="275">
        <v>0</v>
      </c>
      <c r="S186" s="276">
        <v>0</v>
      </c>
      <c r="T186" s="277">
        <v>3.04</v>
      </c>
      <c r="U186" s="276">
        <v>0</v>
      </c>
      <c r="V186" s="277">
        <v>1.44</v>
      </c>
      <c r="W186" s="276">
        <v>0.127</v>
      </c>
      <c r="X186" s="277">
        <v>0</v>
      </c>
      <c r="Y186" s="278">
        <f t="shared" si="11"/>
        <v>4.6070000000000002</v>
      </c>
      <c r="Z186" s="279"/>
      <c r="AA186" s="280">
        <v>0</v>
      </c>
      <c r="AB186" s="281">
        <v>0.13200000000000001</v>
      </c>
      <c r="AC186" s="280">
        <v>2.76</v>
      </c>
      <c r="AD186" s="294">
        <v>0.36</v>
      </c>
      <c r="AE186" s="281">
        <v>0</v>
      </c>
      <c r="AF186" s="288">
        <v>0</v>
      </c>
      <c r="AG186" s="303">
        <v>0</v>
      </c>
      <c r="AH186" s="356">
        <v>0</v>
      </c>
      <c r="AI186" s="301">
        <f t="shared" si="12"/>
        <v>-0.10999999999999943</v>
      </c>
      <c r="AK186" s="437" t="s">
        <v>50</v>
      </c>
    </row>
    <row r="187" spans="1:248" ht="45" customHeight="1" thickBot="1" x14ac:dyDescent="0.25">
      <c r="A187" s="444">
        <v>8559</v>
      </c>
      <c r="B187" s="445" t="s">
        <v>84</v>
      </c>
      <c r="C187" s="455" t="s">
        <v>85</v>
      </c>
      <c r="D187" s="445"/>
      <c r="E187" s="445" t="s">
        <v>541</v>
      </c>
      <c r="F187" s="445" t="s">
        <v>163</v>
      </c>
      <c r="G187" s="445"/>
      <c r="H187" s="448" t="s">
        <v>55</v>
      </c>
      <c r="I187" s="451">
        <f>SUMIF('Wege im Detail'!$A:$A,"08559",'Wege im Detail'!$P:$P)</f>
        <v>2.7909999999999999</v>
      </c>
      <c r="J187" s="508" t="s">
        <v>542</v>
      </c>
      <c r="L187" s="209">
        <v>57</v>
      </c>
      <c r="M187" s="197">
        <v>99</v>
      </c>
      <c r="N187" s="198">
        <v>0</v>
      </c>
      <c r="O187" s="213">
        <v>1</v>
      </c>
      <c r="P187" s="350">
        <v>0</v>
      </c>
      <c r="R187" s="275">
        <v>0</v>
      </c>
      <c r="S187" s="276">
        <v>0.16800000000000001</v>
      </c>
      <c r="T187" s="277">
        <v>1.01</v>
      </c>
      <c r="U187" s="276">
        <v>0</v>
      </c>
      <c r="V187" s="277">
        <v>1.5720000000000001</v>
      </c>
      <c r="W187" s="276">
        <v>0</v>
      </c>
      <c r="X187" s="277">
        <v>0</v>
      </c>
      <c r="Y187" s="278">
        <f t="shared" si="11"/>
        <v>2.75</v>
      </c>
      <c r="Z187" s="282"/>
      <c r="AA187" s="280">
        <v>0.33</v>
      </c>
      <c r="AB187" s="281">
        <v>0.16800000000000001</v>
      </c>
      <c r="AC187" s="280">
        <v>0.67800000000000005</v>
      </c>
      <c r="AD187" s="294">
        <v>0</v>
      </c>
      <c r="AE187" s="281">
        <v>0.41899999999999998</v>
      </c>
      <c r="AF187" s="288">
        <v>0</v>
      </c>
      <c r="AG187" s="303">
        <v>0</v>
      </c>
      <c r="AH187" s="356">
        <v>0</v>
      </c>
      <c r="AI187" s="301">
        <f t="shared" si="12"/>
        <v>-4.0999999999999925E-2</v>
      </c>
      <c r="AJ187" s="187"/>
      <c r="AK187" s="437" t="s">
        <v>50</v>
      </c>
      <c r="AL187" s="427"/>
      <c r="AM187" s="428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</row>
    <row r="188" spans="1:248" ht="45" customHeight="1" thickBot="1" x14ac:dyDescent="0.3">
      <c r="A188" s="444">
        <v>8560</v>
      </c>
      <c r="B188" s="445" t="s">
        <v>84</v>
      </c>
      <c r="C188" s="455" t="s">
        <v>85</v>
      </c>
      <c r="D188" s="445"/>
      <c r="E188" s="445" t="s">
        <v>544</v>
      </c>
      <c r="F188" s="445" t="s">
        <v>168</v>
      </c>
      <c r="G188" s="445"/>
      <c r="H188" s="448" t="s">
        <v>55</v>
      </c>
      <c r="I188" s="451">
        <f>SUMIF('Wege im Detail'!$A:$A,"08560",'Wege im Detail'!$P:$P)</f>
        <v>7.875</v>
      </c>
      <c r="J188" s="508" t="s">
        <v>545</v>
      </c>
      <c r="L188" s="209">
        <v>6</v>
      </c>
      <c r="M188" s="197">
        <v>100</v>
      </c>
      <c r="N188" s="198">
        <v>0</v>
      </c>
      <c r="O188" s="213">
        <v>0</v>
      </c>
      <c r="P188" s="350">
        <v>0</v>
      </c>
      <c r="Q188" s="226">
        <v>0</v>
      </c>
      <c r="R188" s="275">
        <v>0</v>
      </c>
      <c r="S188" s="276">
        <v>0</v>
      </c>
      <c r="T188" s="277">
        <v>7.36</v>
      </c>
      <c r="U188" s="276">
        <v>0</v>
      </c>
      <c r="V188" s="277">
        <v>0.50800000000000001</v>
      </c>
      <c r="W188" s="276">
        <v>0.55549999999999999</v>
      </c>
      <c r="X188" s="277">
        <v>0</v>
      </c>
      <c r="Y188" s="278">
        <f t="shared" si="11"/>
        <v>8.4235000000000007</v>
      </c>
      <c r="Z188" s="279"/>
      <c r="AA188" s="280">
        <v>0</v>
      </c>
      <c r="AB188" s="281">
        <v>0</v>
      </c>
      <c r="AC188" s="280">
        <v>7.36</v>
      </c>
      <c r="AD188" s="294">
        <v>0</v>
      </c>
      <c r="AE188" s="281">
        <v>0.50800000000000001</v>
      </c>
      <c r="AF188" s="288">
        <v>0.55549999999999999</v>
      </c>
      <c r="AG188" s="303">
        <v>0</v>
      </c>
      <c r="AH188" s="356">
        <v>0</v>
      </c>
      <c r="AI188" s="301">
        <f t="shared" si="12"/>
        <v>0.54850000000000065</v>
      </c>
      <c r="AK188" s="437" t="s">
        <v>50</v>
      </c>
    </row>
    <row r="189" spans="1:248" ht="45" customHeight="1" thickBot="1" x14ac:dyDescent="0.3">
      <c r="A189" s="444">
        <v>8561</v>
      </c>
      <c r="B189" s="445" t="s">
        <v>84</v>
      </c>
      <c r="C189" s="455" t="s">
        <v>85</v>
      </c>
      <c r="D189" s="445"/>
      <c r="E189" s="445" t="s">
        <v>547</v>
      </c>
      <c r="F189" s="445" t="s">
        <v>273</v>
      </c>
      <c r="G189" s="445"/>
      <c r="H189" s="448" t="s">
        <v>55</v>
      </c>
      <c r="I189" s="451">
        <f>SUMIF('Wege im Detail'!$A:$A,"08561",'Wege im Detail'!$P:$P)</f>
        <v>6.9119999999999999</v>
      </c>
      <c r="J189" s="508" t="s">
        <v>548</v>
      </c>
      <c r="L189" s="209">
        <v>16</v>
      </c>
      <c r="M189" s="197">
        <v>84</v>
      </c>
      <c r="N189" s="198">
        <v>16</v>
      </c>
      <c r="O189" s="213">
        <v>0</v>
      </c>
      <c r="P189" s="350">
        <v>0</v>
      </c>
      <c r="R189" s="275">
        <v>0</v>
      </c>
      <c r="S189" s="276">
        <v>0</v>
      </c>
      <c r="T189" s="277">
        <v>5.8289999999999997</v>
      </c>
      <c r="U189" s="276">
        <v>0</v>
      </c>
      <c r="V189" s="277">
        <v>0.89200000000000002</v>
      </c>
      <c r="W189" s="276">
        <v>0.18</v>
      </c>
      <c r="X189" s="277">
        <v>0</v>
      </c>
      <c r="Y189" s="278">
        <f t="shared" si="11"/>
        <v>6.9009999999999998</v>
      </c>
      <c r="Z189" s="279"/>
      <c r="AA189" s="280">
        <v>0</v>
      </c>
      <c r="AB189" s="281">
        <v>0</v>
      </c>
      <c r="AC189" s="280">
        <v>5.8289999999999997</v>
      </c>
      <c r="AD189" s="294">
        <v>0</v>
      </c>
      <c r="AE189" s="281">
        <v>1.071</v>
      </c>
      <c r="AF189" s="288">
        <v>0</v>
      </c>
      <c r="AG189" s="303">
        <v>0</v>
      </c>
      <c r="AH189" s="356">
        <v>0</v>
      </c>
      <c r="AI189" s="301">
        <f t="shared" si="12"/>
        <v>-1.1000000000000121E-2</v>
      </c>
      <c r="AK189" s="437" t="s">
        <v>50</v>
      </c>
    </row>
    <row r="190" spans="1:248" ht="45" customHeight="1" thickBot="1" x14ac:dyDescent="0.3">
      <c r="A190" s="444">
        <v>8562</v>
      </c>
      <c r="B190" s="445" t="s">
        <v>84</v>
      </c>
      <c r="C190" s="455" t="s">
        <v>85</v>
      </c>
      <c r="D190" s="445"/>
      <c r="E190" s="445" t="s">
        <v>550</v>
      </c>
      <c r="F190" s="445" t="s">
        <v>277</v>
      </c>
      <c r="G190" s="445"/>
      <c r="H190" s="448" t="s">
        <v>55</v>
      </c>
      <c r="I190" s="451">
        <f>SUMIF('Wege im Detail'!$A:$A,"08562",'Wege im Detail'!$P:$P)</f>
        <v>6.6920000000000002</v>
      </c>
      <c r="J190" s="508" t="s">
        <v>551</v>
      </c>
      <c r="L190" s="209">
        <v>14</v>
      </c>
      <c r="M190" s="197">
        <v>93</v>
      </c>
      <c r="N190" s="198">
        <v>7</v>
      </c>
      <c r="O190" s="213">
        <v>0</v>
      </c>
      <c r="P190" s="350">
        <v>0</v>
      </c>
      <c r="R190" s="275">
        <v>0</v>
      </c>
      <c r="S190" s="276">
        <v>0</v>
      </c>
      <c r="T190" s="277">
        <v>5.71</v>
      </c>
      <c r="U190" s="276">
        <v>0</v>
      </c>
      <c r="V190" s="277">
        <v>0.67900000000000005</v>
      </c>
      <c r="W190" s="276">
        <v>0.18</v>
      </c>
      <c r="X190" s="277">
        <v>0.55549999999999999</v>
      </c>
      <c r="Y190" s="278">
        <f t="shared" si="11"/>
        <v>7.1245000000000003</v>
      </c>
      <c r="Z190" s="279"/>
      <c r="AA190" s="280">
        <v>0</v>
      </c>
      <c r="AB190" s="281">
        <v>0.22700000000000001</v>
      </c>
      <c r="AC190" s="280">
        <v>5.48</v>
      </c>
      <c r="AD190" s="294">
        <v>0</v>
      </c>
      <c r="AE190" s="281">
        <v>0.92700000000000005</v>
      </c>
      <c r="AF190" s="288">
        <v>0</v>
      </c>
      <c r="AG190" s="303">
        <v>0</v>
      </c>
      <c r="AH190" s="356">
        <v>0</v>
      </c>
      <c r="AI190" s="301">
        <f t="shared" si="12"/>
        <v>0.43250000000000011</v>
      </c>
      <c r="AK190" s="437" t="s">
        <v>50</v>
      </c>
    </row>
    <row r="191" spans="1:248" ht="45" customHeight="1" thickBot="1" x14ac:dyDescent="0.3">
      <c r="A191" s="438">
        <v>8564</v>
      </c>
      <c r="B191" s="445" t="s">
        <v>84</v>
      </c>
      <c r="C191" s="455" t="s">
        <v>85</v>
      </c>
      <c r="D191" s="479"/>
      <c r="E191" s="445" t="s">
        <v>553</v>
      </c>
      <c r="F191" s="445" t="s">
        <v>554</v>
      </c>
      <c r="G191" s="445"/>
      <c r="H191" s="448" t="s">
        <v>55</v>
      </c>
      <c r="I191" s="451">
        <f>SUMIF('Wege im Detail'!$A:$A,"08564",'Wege im Detail'!$P:$P)</f>
        <v>13.002000000000001</v>
      </c>
      <c r="J191" s="508" t="s">
        <v>555</v>
      </c>
      <c r="L191" s="209">
        <v>5</v>
      </c>
      <c r="M191" s="197">
        <v>100</v>
      </c>
      <c r="N191" s="198">
        <v>0</v>
      </c>
      <c r="O191" s="213">
        <v>0</v>
      </c>
      <c r="P191" s="350">
        <v>0</v>
      </c>
      <c r="R191" s="275">
        <v>0</v>
      </c>
      <c r="S191" s="276">
        <v>0</v>
      </c>
      <c r="T191" s="277">
        <v>11.6</v>
      </c>
      <c r="U191" s="276">
        <v>0.69199999999999995</v>
      </c>
      <c r="V191" s="277">
        <v>0.63100000000000001</v>
      </c>
      <c r="W191" s="276">
        <v>0</v>
      </c>
      <c r="X191" s="277">
        <v>0</v>
      </c>
      <c r="Y191" s="278">
        <f t="shared" si="11"/>
        <v>12.923</v>
      </c>
      <c r="Z191" s="279"/>
      <c r="AA191" s="280">
        <v>0.48399999999999999</v>
      </c>
      <c r="AB191" s="281">
        <v>4.8099999999999996</v>
      </c>
      <c r="AC191" s="280">
        <v>7.1050000000000004</v>
      </c>
      <c r="AD191" s="294">
        <v>0</v>
      </c>
      <c r="AE191" s="281">
        <v>0.42299999999999999</v>
      </c>
      <c r="AF191" s="288">
        <v>0.29099999999999998</v>
      </c>
      <c r="AG191" s="303">
        <v>0</v>
      </c>
      <c r="AH191" s="356">
        <v>0</v>
      </c>
      <c r="AI191" s="301">
        <f t="shared" si="12"/>
        <v>-7.9000000000000625E-2</v>
      </c>
      <c r="AK191" s="437" t="s">
        <v>50</v>
      </c>
    </row>
    <row r="192" spans="1:248" ht="45" customHeight="1" thickBot="1" x14ac:dyDescent="0.25">
      <c r="A192" s="444">
        <v>8566</v>
      </c>
      <c r="B192" s="445" t="s">
        <v>84</v>
      </c>
      <c r="C192" s="455" t="s">
        <v>85</v>
      </c>
      <c r="D192" s="445"/>
      <c r="E192" s="445" t="s">
        <v>558</v>
      </c>
      <c r="F192" s="445" t="s">
        <v>172</v>
      </c>
      <c r="G192" s="445"/>
      <c r="H192" s="448" t="s">
        <v>55</v>
      </c>
      <c r="I192" s="451">
        <f>SUMIF('Wege im Detail'!$A:$A,"08566",'Wege im Detail'!$P:$P)</f>
        <v>4.4240000000000004</v>
      </c>
      <c r="J192" s="508" t="s">
        <v>559</v>
      </c>
      <c r="L192" s="209">
        <v>98</v>
      </c>
      <c r="M192" s="197">
        <v>39</v>
      </c>
      <c r="N192" s="198">
        <v>50</v>
      </c>
      <c r="O192" s="213">
        <v>3</v>
      </c>
      <c r="P192" s="350">
        <v>0</v>
      </c>
      <c r="R192" s="275">
        <v>0</v>
      </c>
      <c r="S192" s="276">
        <v>0</v>
      </c>
      <c r="T192" s="277">
        <v>0.113</v>
      </c>
      <c r="U192" s="276">
        <v>0</v>
      </c>
      <c r="V192" s="277">
        <v>3.883</v>
      </c>
      <c r="W192" s="276">
        <v>0.13300000000000001</v>
      </c>
      <c r="X192" s="277">
        <v>0</v>
      </c>
      <c r="Y192" s="278">
        <f t="shared" si="11"/>
        <v>4.1289999999999996</v>
      </c>
      <c r="Z192" s="282"/>
      <c r="AA192" s="280">
        <v>0</v>
      </c>
      <c r="AB192" s="281">
        <v>0</v>
      </c>
      <c r="AC192" s="280">
        <v>0.42799999999999999</v>
      </c>
      <c r="AD192" s="294">
        <v>0</v>
      </c>
      <c r="AE192" s="281">
        <v>2.2429999999999999</v>
      </c>
      <c r="AF192" s="288">
        <v>1.77</v>
      </c>
      <c r="AG192" s="303">
        <v>0</v>
      </c>
      <c r="AH192" s="356">
        <v>0</v>
      </c>
      <c r="AI192" s="301">
        <f t="shared" si="12"/>
        <v>-0.29500000000000082</v>
      </c>
      <c r="AJ192" s="187"/>
      <c r="AK192" s="437" t="s">
        <v>50</v>
      </c>
      <c r="AL192" s="427"/>
      <c r="AM192" s="428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</row>
    <row r="193" spans="1:248" ht="45" customHeight="1" thickBot="1" x14ac:dyDescent="0.3">
      <c r="A193" s="444">
        <v>8572</v>
      </c>
      <c r="B193" s="445" t="s">
        <v>84</v>
      </c>
      <c r="C193" s="455" t="s">
        <v>85</v>
      </c>
      <c r="D193" s="479"/>
      <c r="E193" s="445" t="s">
        <v>561</v>
      </c>
      <c r="F193" s="445" t="s">
        <v>562</v>
      </c>
      <c r="G193" s="445"/>
      <c r="H193" s="448" t="s">
        <v>55</v>
      </c>
      <c r="I193" s="451">
        <f>SUMIF('Wege im Detail'!$A:$A,"08572",'Wege im Detail'!$P:$P)</f>
        <v>13.78</v>
      </c>
      <c r="J193" s="508" t="s">
        <v>563</v>
      </c>
      <c r="L193" s="209">
        <v>18</v>
      </c>
      <c r="M193" s="197">
        <v>88</v>
      </c>
      <c r="N193" s="198">
        <v>12</v>
      </c>
      <c r="O193" s="213">
        <v>0</v>
      </c>
      <c r="P193" s="350">
        <v>0</v>
      </c>
      <c r="R193" s="275">
        <v>0</v>
      </c>
      <c r="S193" s="276">
        <v>0.25</v>
      </c>
      <c r="T193" s="277">
        <v>10.5</v>
      </c>
      <c r="U193" s="276">
        <v>0</v>
      </c>
      <c r="V193" s="277">
        <v>0.93</v>
      </c>
      <c r="W193" s="276">
        <v>1.44</v>
      </c>
      <c r="X193" s="277">
        <v>0</v>
      </c>
      <c r="Y193" s="278">
        <f t="shared" si="11"/>
        <v>13.12</v>
      </c>
      <c r="Z193" s="279"/>
      <c r="AA193" s="280">
        <v>0</v>
      </c>
      <c r="AB193" s="281">
        <v>3.86</v>
      </c>
      <c r="AC193" s="280">
        <v>7.22</v>
      </c>
      <c r="AD193" s="294">
        <v>0</v>
      </c>
      <c r="AE193" s="281">
        <v>0.63400000000000001</v>
      </c>
      <c r="AF193" s="288">
        <v>1.44</v>
      </c>
      <c r="AG193" s="303">
        <v>0</v>
      </c>
      <c r="AH193" s="356">
        <v>0</v>
      </c>
      <c r="AI193" s="301">
        <f t="shared" si="12"/>
        <v>-0.66000000000000014</v>
      </c>
      <c r="AK193" s="437" t="s">
        <v>50</v>
      </c>
    </row>
    <row r="194" spans="1:248" ht="45" customHeight="1" thickBot="1" x14ac:dyDescent="0.25">
      <c r="A194" s="444">
        <v>8637</v>
      </c>
      <c r="B194" s="445" t="s">
        <v>51</v>
      </c>
      <c r="C194" s="445" t="s">
        <v>52</v>
      </c>
      <c r="D194" s="445"/>
      <c r="E194" s="445">
        <v>7</v>
      </c>
      <c r="F194" s="445" t="s">
        <v>565</v>
      </c>
      <c r="G194" s="445"/>
      <c r="H194" s="448" t="s">
        <v>55</v>
      </c>
      <c r="I194" s="451">
        <f>SUMIF('Wege im Detail'!$A:$A,"08637",'Wege im Detail'!$P:$P)</f>
        <v>46.429000000000002</v>
      </c>
      <c r="J194" s="508" t="s">
        <v>566</v>
      </c>
      <c r="L194" s="209">
        <v>28</v>
      </c>
      <c r="M194" s="197">
        <v>98</v>
      </c>
      <c r="N194" s="198">
        <v>0</v>
      </c>
      <c r="O194" s="213">
        <v>1</v>
      </c>
      <c r="P194" s="350">
        <v>1</v>
      </c>
      <c r="R194" s="275">
        <v>0</v>
      </c>
      <c r="S194" s="276">
        <v>3.88</v>
      </c>
      <c r="T194" s="277">
        <v>19.399999999999999</v>
      </c>
      <c r="U194" s="276">
        <v>9.7100000000000009</v>
      </c>
      <c r="V194" s="277">
        <v>7.86</v>
      </c>
      <c r="W194" s="276">
        <v>4.8499999999999996</v>
      </c>
      <c r="X194" s="277">
        <v>0.67900000000000005</v>
      </c>
      <c r="Y194" s="278">
        <f t="shared" si="11"/>
        <v>46.378999999999998</v>
      </c>
      <c r="Z194" s="282"/>
      <c r="AA194" s="280">
        <v>3.79</v>
      </c>
      <c r="AB194" s="281">
        <v>9.36</v>
      </c>
      <c r="AC194" s="280" t="s">
        <v>567</v>
      </c>
      <c r="AD194" s="294">
        <v>23.1</v>
      </c>
      <c r="AE194" s="281">
        <v>3.45</v>
      </c>
      <c r="AF194" s="288">
        <v>6.57</v>
      </c>
      <c r="AG194" s="303">
        <v>0</v>
      </c>
      <c r="AH194" s="356">
        <v>0</v>
      </c>
      <c r="AI194" s="301">
        <f t="shared" si="12"/>
        <v>-5.0000000000004263E-2</v>
      </c>
      <c r="AJ194" s="187"/>
      <c r="AK194" s="435" t="s">
        <v>50</v>
      </c>
      <c r="AL194" s="427"/>
      <c r="AM194" s="428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</row>
    <row r="195" spans="1:248" ht="45" customHeight="1" thickBot="1" x14ac:dyDescent="0.3">
      <c r="A195" s="444">
        <v>8644</v>
      </c>
      <c r="B195" s="445" t="s">
        <v>84</v>
      </c>
      <c r="C195" s="455" t="s">
        <v>85</v>
      </c>
      <c r="D195" s="479"/>
      <c r="E195" s="445" t="s">
        <v>569</v>
      </c>
      <c r="F195" s="445" t="s">
        <v>570</v>
      </c>
      <c r="G195" s="445"/>
      <c r="H195" s="448" t="s">
        <v>55</v>
      </c>
      <c r="I195" s="451">
        <f>SUMIF('Wege im Detail'!$A:$A,"08644",'Wege im Detail'!$P:$P)</f>
        <v>15.172000000000001</v>
      </c>
      <c r="J195" s="508" t="s">
        <v>571</v>
      </c>
      <c r="L195" s="209">
        <v>37</v>
      </c>
      <c r="M195" s="197">
        <v>97</v>
      </c>
      <c r="N195" s="198">
        <v>1</v>
      </c>
      <c r="O195" s="213">
        <v>2</v>
      </c>
      <c r="P195" s="350">
        <v>0</v>
      </c>
      <c r="R195" s="275">
        <v>0</v>
      </c>
      <c r="S195" s="276">
        <v>0.82399999999999995</v>
      </c>
      <c r="T195" s="277">
        <v>8.423</v>
      </c>
      <c r="U195" s="276">
        <v>0</v>
      </c>
      <c r="V195" s="277">
        <v>1.538</v>
      </c>
      <c r="W195" s="276">
        <v>3.4769999999999999</v>
      </c>
      <c r="X195" s="277">
        <v>0.79300000000000004</v>
      </c>
      <c r="Y195" s="278">
        <f t="shared" si="11"/>
        <v>15.055</v>
      </c>
      <c r="Z195" s="279"/>
      <c r="AA195" s="280">
        <v>0</v>
      </c>
      <c r="AB195" s="281">
        <v>2.3079999999999998</v>
      </c>
      <c r="AC195" s="280">
        <v>9.0139999999999993</v>
      </c>
      <c r="AD195" s="294">
        <v>0</v>
      </c>
      <c r="AE195" s="281">
        <v>2.5880000000000001</v>
      </c>
      <c r="AF195" s="288">
        <v>0.54200000000000004</v>
      </c>
      <c r="AG195" s="303">
        <v>0</v>
      </c>
      <c r="AH195" s="356">
        <v>0.66600000000000004</v>
      </c>
      <c r="AI195" s="301">
        <f t="shared" si="12"/>
        <v>-0.11700000000000088</v>
      </c>
      <c r="AK195" s="437" t="s">
        <v>50</v>
      </c>
    </row>
    <row r="196" spans="1:248" ht="45" customHeight="1" thickBot="1" x14ac:dyDescent="0.3">
      <c r="A196" s="444">
        <v>8649</v>
      </c>
      <c r="B196" s="445" t="s">
        <v>84</v>
      </c>
      <c r="C196" s="455" t="s">
        <v>85</v>
      </c>
      <c r="D196" s="479"/>
      <c r="E196" s="445" t="s">
        <v>573</v>
      </c>
      <c r="F196" s="445" t="s">
        <v>574</v>
      </c>
      <c r="G196" s="445"/>
      <c r="H196" s="448" t="s">
        <v>55</v>
      </c>
      <c r="I196" s="451">
        <f>SUMIF('Wege im Detail'!$A:$A,"08649",'Wege im Detail'!$P:$P)</f>
        <v>4.8719999999999999</v>
      </c>
      <c r="J196" s="514" t="s">
        <v>575</v>
      </c>
      <c r="L196" s="256">
        <v>41</v>
      </c>
      <c r="M196" s="195">
        <v>90</v>
      </c>
      <c r="N196" s="196">
        <v>10</v>
      </c>
      <c r="O196" s="212">
        <v>0</v>
      </c>
      <c r="P196" s="350">
        <v>0</v>
      </c>
      <c r="R196" s="275">
        <v>0</v>
      </c>
      <c r="S196" s="276">
        <v>0</v>
      </c>
      <c r="T196" s="277">
        <v>2.78</v>
      </c>
      <c r="U196" s="276">
        <v>0.14199999999999999</v>
      </c>
      <c r="V196" s="277">
        <v>1.73</v>
      </c>
      <c r="W196" s="276">
        <v>0.247</v>
      </c>
      <c r="X196" s="277">
        <v>0</v>
      </c>
      <c r="Y196" s="278">
        <f t="shared" si="11"/>
        <v>4.8989999999999991</v>
      </c>
      <c r="Z196" s="279"/>
      <c r="AA196" s="280">
        <v>0</v>
      </c>
      <c r="AB196" s="281">
        <v>0</v>
      </c>
      <c r="AC196" s="280">
        <v>2.78</v>
      </c>
      <c r="AD196" s="294">
        <v>0</v>
      </c>
      <c r="AE196" s="281">
        <v>1.68</v>
      </c>
      <c r="AF196" s="288">
        <v>0.442</v>
      </c>
      <c r="AG196" s="303">
        <v>0</v>
      </c>
      <c r="AH196" s="356">
        <v>0</v>
      </c>
      <c r="AI196" s="301">
        <f t="shared" si="12"/>
        <v>2.6999999999999247E-2</v>
      </c>
      <c r="AK196" s="437" t="s">
        <v>50</v>
      </c>
    </row>
    <row r="197" spans="1:248" ht="45" customHeight="1" thickBot="1" x14ac:dyDescent="0.3">
      <c r="A197" s="444">
        <v>8650</v>
      </c>
      <c r="B197" s="445" t="s">
        <v>84</v>
      </c>
      <c r="C197" s="455" t="s">
        <v>85</v>
      </c>
      <c r="D197" s="479"/>
      <c r="E197" s="445" t="s">
        <v>577</v>
      </c>
      <c r="F197" s="445" t="s">
        <v>578</v>
      </c>
      <c r="G197" s="445"/>
      <c r="H197" s="448" t="s">
        <v>55</v>
      </c>
      <c r="I197" s="451">
        <f>SUMIF('Wege im Detail'!$A:$A,"08650",'Wege im Detail'!$P:$P)</f>
        <v>14.58</v>
      </c>
      <c r="J197" s="508" t="s">
        <v>579</v>
      </c>
      <c r="L197" s="209">
        <v>22</v>
      </c>
      <c r="M197" s="197">
        <v>96</v>
      </c>
      <c r="N197" s="198">
        <v>4</v>
      </c>
      <c r="O197" s="213">
        <v>0</v>
      </c>
      <c r="P197" s="350">
        <v>0</v>
      </c>
      <c r="R197" s="275">
        <v>0</v>
      </c>
      <c r="S197" s="276">
        <v>0</v>
      </c>
      <c r="T197" s="277">
        <v>10.8</v>
      </c>
      <c r="U197" s="276">
        <v>0</v>
      </c>
      <c r="V197" s="277">
        <v>2.33</v>
      </c>
      <c r="W197" s="276">
        <v>1.1399999999999999</v>
      </c>
      <c r="X197" s="277">
        <v>0.53300000000000003</v>
      </c>
      <c r="Y197" s="278">
        <f t="shared" si="11"/>
        <v>14.803000000000001</v>
      </c>
      <c r="Z197" s="279"/>
      <c r="AA197" s="280">
        <v>0</v>
      </c>
      <c r="AB197" s="281">
        <v>3.46</v>
      </c>
      <c r="AC197" s="280">
        <v>8.42</v>
      </c>
      <c r="AD197" s="294">
        <v>0</v>
      </c>
      <c r="AE197" s="281">
        <v>1.93</v>
      </c>
      <c r="AF197" s="288">
        <v>0.69599999999999995</v>
      </c>
      <c r="AG197" s="303">
        <v>0</v>
      </c>
      <c r="AH197" s="356">
        <v>0.25</v>
      </c>
      <c r="AI197" s="301">
        <f t="shared" si="12"/>
        <v>0.22300000000000075</v>
      </c>
      <c r="AK197" s="437" t="s">
        <v>50</v>
      </c>
    </row>
    <row r="198" spans="1:248" ht="45" customHeight="1" thickBot="1" x14ac:dyDescent="0.25">
      <c r="A198" s="444">
        <v>8651</v>
      </c>
      <c r="B198" s="445" t="s">
        <v>84</v>
      </c>
      <c r="C198" s="455" t="s">
        <v>85</v>
      </c>
      <c r="D198" s="479"/>
      <c r="E198" s="445" t="s">
        <v>580</v>
      </c>
      <c r="F198" s="445" t="s">
        <v>172</v>
      </c>
      <c r="G198" s="445"/>
      <c r="H198" s="448" t="s">
        <v>55</v>
      </c>
      <c r="I198" s="451">
        <f>SUMIF('Wege im Detail'!$A:$A,"08651",'Wege im Detail'!$P:$P)</f>
        <v>5.84</v>
      </c>
      <c r="J198" s="508" t="s">
        <v>581</v>
      </c>
      <c r="L198" s="209">
        <v>16</v>
      </c>
      <c r="M198" s="197">
        <v>100</v>
      </c>
      <c r="N198" s="198">
        <v>0</v>
      </c>
      <c r="O198" s="213">
        <v>0</v>
      </c>
      <c r="P198" s="350">
        <v>0</v>
      </c>
      <c r="R198" s="275">
        <v>0</v>
      </c>
      <c r="S198" s="276">
        <v>0</v>
      </c>
      <c r="T198" s="277">
        <v>4.8899999999999997</v>
      </c>
      <c r="U198" s="276">
        <v>0</v>
      </c>
      <c r="V198" s="277">
        <v>0.83399999999999996</v>
      </c>
      <c r="W198" s="276">
        <v>0.11899999999999999</v>
      </c>
      <c r="X198" s="277">
        <v>0</v>
      </c>
      <c r="Y198" s="278">
        <f t="shared" si="11"/>
        <v>5.8429999999999991</v>
      </c>
      <c r="Z198" s="282"/>
      <c r="AA198" s="280">
        <v>0</v>
      </c>
      <c r="AB198" s="281">
        <v>0</v>
      </c>
      <c r="AC198" s="280">
        <v>5.42</v>
      </c>
      <c r="AD198" s="294">
        <v>0</v>
      </c>
      <c r="AE198" s="281">
        <v>0.249</v>
      </c>
      <c r="AF198" s="288">
        <v>0.17699999999999999</v>
      </c>
      <c r="AG198" s="303">
        <v>0</v>
      </c>
      <c r="AH198" s="356">
        <v>0</v>
      </c>
      <c r="AI198" s="301">
        <f t="shared" si="12"/>
        <v>2.9999999999992255E-3</v>
      </c>
      <c r="AJ198" s="187"/>
      <c r="AK198" s="437" t="s">
        <v>50</v>
      </c>
      <c r="AL198" s="427"/>
      <c r="AM198" s="428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</row>
    <row r="199" spans="1:248" ht="45" customHeight="1" thickBot="1" x14ac:dyDescent="0.3">
      <c r="A199" s="444">
        <v>8652</v>
      </c>
      <c r="B199" s="445" t="s">
        <v>84</v>
      </c>
      <c r="C199" s="455" t="s">
        <v>85</v>
      </c>
      <c r="D199" s="479"/>
      <c r="E199" s="445" t="s">
        <v>583</v>
      </c>
      <c r="F199" s="445" t="s">
        <v>163</v>
      </c>
      <c r="G199" s="445"/>
      <c r="H199" s="448" t="s">
        <v>55</v>
      </c>
      <c r="I199" s="451">
        <f>SUMIF('Wege im Detail'!$A:$A,"08652",'Wege im Detail'!$P:$P)</f>
        <v>10.773</v>
      </c>
      <c r="J199" s="508" t="s">
        <v>584</v>
      </c>
      <c r="L199" s="209">
        <v>24</v>
      </c>
      <c r="M199" s="197">
        <v>100</v>
      </c>
      <c r="N199" s="198">
        <v>0</v>
      </c>
      <c r="O199" s="213">
        <v>0</v>
      </c>
      <c r="P199" s="350">
        <v>0</v>
      </c>
      <c r="R199" s="275">
        <v>0</v>
      </c>
      <c r="S199" s="276">
        <v>0</v>
      </c>
      <c r="T199" s="277">
        <v>8.2100000000000009</v>
      </c>
      <c r="U199" s="276">
        <v>0</v>
      </c>
      <c r="V199" s="277">
        <v>2.4500000000000002</v>
      </c>
      <c r="W199" s="276">
        <v>0.11899999999999999</v>
      </c>
      <c r="X199" s="277">
        <v>0</v>
      </c>
      <c r="Y199" s="278">
        <f t="shared" si="11"/>
        <v>10.779</v>
      </c>
      <c r="Z199" s="279"/>
      <c r="AA199" s="280">
        <v>0</v>
      </c>
      <c r="AB199" s="281">
        <v>0</v>
      </c>
      <c r="AC199" s="280">
        <v>9.5299999999999994</v>
      </c>
      <c r="AD199" s="294">
        <v>0</v>
      </c>
      <c r="AE199" s="281">
        <v>1.07</v>
      </c>
      <c r="AF199" s="288">
        <v>0.17699999999999999</v>
      </c>
      <c r="AG199" s="303">
        <v>0</v>
      </c>
      <c r="AH199" s="356">
        <v>0</v>
      </c>
      <c r="AI199" s="301">
        <f t="shared" si="12"/>
        <v>6.0000000000002274E-3</v>
      </c>
      <c r="AK199" s="437" t="s">
        <v>50</v>
      </c>
    </row>
    <row r="200" spans="1:248" ht="45" customHeight="1" thickBot="1" x14ac:dyDescent="0.25">
      <c r="A200" s="444">
        <v>8653</v>
      </c>
      <c r="B200" s="445" t="s">
        <v>84</v>
      </c>
      <c r="C200" s="455" t="s">
        <v>85</v>
      </c>
      <c r="D200" s="479"/>
      <c r="E200" s="445" t="s">
        <v>586</v>
      </c>
      <c r="F200" s="445" t="s">
        <v>587</v>
      </c>
      <c r="G200" s="445"/>
      <c r="H200" s="448" t="s">
        <v>55</v>
      </c>
      <c r="I200" s="451">
        <f>SUMIF('Wege im Detail'!$A:$A,"08653",'Wege im Detail'!$P:$P)</f>
        <v>6.2969999999999997</v>
      </c>
      <c r="J200" s="508" t="s">
        <v>588</v>
      </c>
      <c r="L200" s="209">
        <v>0</v>
      </c>
      <c r="M200" s="197">
        <v>100</v>
      </c>
      <c r="N200" s="198">
        <v>0</v>
      </c>
      <c r="O200" s="213">
        <v>0</v>
      </c>
      <c r="P200" s="350">
        <v>0</v>
      </c>
      <c r="R200" s="275">
        <v>0</v>
      </c>
      <c r="S200" s="276">
        <v>0</v>
      </c>
      <c r="T200" s="277">
        <v>6.29</v>
      </c>
      <c r="U200" s="276">
        <v>0</v>
      </c>
      <c r="V200" s="277">
        <v>0</v>
      </c>
      <c r="W200" s="276">
        <v>0</v>
      </c>
      <c r="X200" s="277">
        <v>0</v>
      </c>
      <c r="Y200" s="278">
        <f t="shared" si="11"/>
        <v>6.29</v>
      </c>
      <c r="Z200" s="282"/>
      <c r="AA200" s="280">
        <v>0</v>
      </c>
      <c r="AB200" s="281">
        <v>0.52100000000000002</v>
      </c>
      <c r="AC200" s="280">
        <v>5.77</v>
      </c>
      <c r="AD200" s="294">
        <v>0</v>
      </c>
      <c r="AE200" s="281">
        <v>0</v>
      </c>
      <c r="AF200" s="288">
        <v>0</v>
      </c>
      <c r="AG200" s="303">
        <v>0</v>
      </c>
      <c r="AH200" s="356">
        <v>0</v>
      </c>
      <c r="AI200" s="301">
        <f t="shared" si="12"/>
        <v>-6.9999999999996732E-3</v>
      </c>
      <c r="AJ200" s="187"/>
      <c r="AK200" s="437" t="s">
        <v>50</v>
      </c>
      <c r="AL200" s="427"/>
      <c r="AM200" s="428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</row>
    <row r="201" spans="1:248" ht="45" customHeight="1" thickBot="1" x14ac:dyDescent="0.3">
      <c r="A201" s="444">
        <v>8654</v>
      </c>
      <c r="B201" s="445" t="s">
        <v>84</v>
      </c>
      <c r="C201" s="455" t="s">
        <v>85</v>
      </c>
      <c r="D201" s="479"/>
      <c r="E201" s="445" t="s">
        <v>590</v>
      </c>
      <c r="F201" s="445" t="s">
        <v>591</v>
      </c>
      <c r="G201" s="445"/>
      <c r="H201" s="448" t="s">
        <v>55</v>
      </c>
      <c r="I201" s="451">
        <f>SUMIF('Wege im Detail'!$A:$A,"08654",'Wege im Detail'!$P:$P)</f>
        <v>8.0500000000000007</v>
      </c>
      <c r="J201" s="508" t="s">
        <v>592</v>
      </c>
      <c r="L201" s="209">
        <v>4</v>
      </c>
      <c r="M201" s="197">
        <v>100</v>
      </c>
      <c r="N201" s="198">
        <v>0</v>
      </c>
      <c r="O201" s="213">
        <v>0</v>
      </c>
      <c r="P201" s="350">
        <v>0</v>
      </c>
      <c r="R201" s="275">
        <v>0</v>
      </c>
      <c r="S201" s="276">
        <v>0</v>
      </c>
      <c r="T201" s="277">
        <v>7.79</v>
      </c>
      <c r="U201" s="276">
        <v>0</v>
      </c>
      <c r="V201" s="277">
        <v>0.30099999999999999</v>
      </c>
      <c r="W201" s="276">
        <v>0</v>
      </c>
      <c r="X201" s="277">
        <v>0</v>
      </c>
      <c r="Y201" s="278">
        <f t="shared" si="11"/>
        <v>8.0909999999999993</v>
      </c>
      <c r="Z201" s="279"/>
      <c r="AA201" s="280">
        <v>0</v>
      </c>
      <c r="AB201" s="281">
        <v>1.29</v>
      </c>
      <c r="AC201" s="280">
        <v>6.52</v>
      </c>
      <c r="AD201" s="294">
        <v>0</v>
      </c>
      <c r="AE201" s="281">
        <v>0</v>
      </c>
      <c r="AF201" s="288">
        <v>0.28199999999999997</v>
      </c>
      <c r="AG201" s="303">
        <v>0</v>
      </c>
      <c r="AH201" s="356">
        <v>0</v>
      </c>
      <c r="AI201" s="301">
        <f t="shared" si="12"/>
        <v>4.0999999999998593E-2</v>
      </c>
      <c r="AK201" s="437" t="s">
        <v>50</v>
      </c>
    </row>
    <row r="202" spans="1:248" ht="45" customHeight="1" thickBot="1" x14ac:dyDescent="0.25">
      <c r="A202" s="444">
        <v>8655</v>
      </c>
      <c r="B202" s="445" t="s">
        <v>84</v>
      </c>
      <c r="C202" s="455" t="s">
        <v>85</v>
      </c>
      <c r="D202" s="445"/>
      <c r="E202" s="445" t="s">
        <v>593</v>
      </c>
      <c r="F202" s="445" t="s">
        <v>594</v>
      </c>
      <c r="G202" s="445"/>
      <c r="H202" s="448" t="s">
        <v>55</v>
      </c>
      <c r="I202" s="451">
        <f>SUMIF('Wege im Detail'!$A:$A,"08655",'Wege im Detail'!$P:$P)</f>
        <v>9.157</v>
      </c>
      <c r="J202" s="508" t="s">
        <v>595</v>
      </c>
      <c r="L202" s="209">
        <v>68</v>
      </c>
      <c r="M202" s="197">
        <v>83</v>
      </c>
      <c r="N202" s="198">
        <v>17</v>
      </c>
      <c r="O202" s="213">
        <v>0</v>
      </c>
      <c r="P202" s="350">
        <v>0</v>
      </c>
      <c r="R202" s="275">
        <v>0</v>
      </c>
      <c r="S202" s="276">
        <v>0</v>
      </c>
      <c r="T202" s="277">
        <v>3.38</v>
      </c>
      <c r="U202" s="276">
        <v>0</v>
      </c>
      <c r="V202" s="277">
        <v>4.08</v>
      </c>
      <c r="W202" s="276">
        <v>0.86899999999999999</v>
      </c>
      <c r="X202" s="277">
        <v>0.82899999999999996</v>
      </c>
      <c r="Y202" s="278">
        <f t="shared" si="11"/>
        <v>9.1580000000000013</v>
      </c>
      <c r="Z202" s="282"/>
      <c r="AA202" s="280">
        <v>0</v>
      </c>
      <c r="AB202" s="281">
        <v>0.68</v>
      </c>
      <c r="AC202" s="280">
        <v>4.1900000000000004</v>
      </c>
      <c r="AD202" s="294">
        <v>0.14000000000000001</v>
      </c>
      <c r="AE202" s="281">
        <v>1.63</v>
      </c>
      <c r="AF202" s="288">
        <v>2.52</v>
      </c>
      <c r="AG202" s="303">
        <v>0</v>
      </c>
      <c r="AH202" s="356">
        <v>0</v>
      </c>
      <c r="AI202" s="301">
        <f t="shared" si="12"/>
        <v>1.0000000000012221E-3</v>
      </c>
      <c r="AJ202" s="187"/>
      <c r="AK202" s="437" t="s">
        <v>50</v>
      </c>
      <c r="AL202" s="427"/>
      <c r="AM202" s="428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</row>
    <row r="203" spans="1:248" ht="45" customHeight="1" thickBot="1" x14ac:dyDescent="0.3">
      <c r="A203" s="444">
        <v>8656</v>
      </c>
      <c r="B203" s="445" t="s">
        <v>84</v>
      </c>
      <c r="C203" s="455" t="s">
        <v>85</v>
      </c>
      <c r="D203" s="445"/>
      <c r="E203" s="445" t="s">
        <v>596</v>
      </c>
      <c r="F203" s="445" t="s">
        <v>597</v>
      </c>
      <c r="G203" s="445"/>
      <c r="H203" s="448" t="s">
        <v>55</v>
      </c>
      <c r="I203" s="451">
        <f>SUMIF('Wege im Detail'!$A:$A,"08656",'Wege im Detail'!$P:$P)</f>
        <v>18.768000000000001</v>
      </c>
      <c r="J203" s="508" t="s">
        <v>513</v>
      </c>
      <c r="L203" s="209">
        <v>20</v>
      </c>
      <c r="M203" s="197">
        <v>95</v>
      </c>
      <c r="N203" s="198">
        <v>5</v>
      </c>
      <c r="O203" s="213">
        <v>0</v>
      </c>
      <c r="P203" s="350">
        <v>0</v>
      </c>
      <c r="R203" s="275">
        <v>0</v>
      </c>
      <c r="S203" s="276">
        <v>1.07</v>
      </c>
      <c r="T203" s="277">
        <v>13.872999999999999</v>
      </c>
      <c r="U203" s="276">
        <v>0</v>
      </c>
      <c r="V203" s="277">
        <v>2.48</v>
      </c>
      <c r="W203" s="276">
        <v>0.72799999999999998</v>
      </c>
      <c r="X203" s="277">
        <v>0.52390000000000003</v>
      </c>
      <c r="Y203" s="278">
        <f t="shared" si="11"/>
        <v>18.674900000000001</v>
      </c>
      <c r="Z203" s="279"/>
      <c r="AA203" s="280">
        <v>0</v>
      </c>
      <c r="AB203" s="281">
        <v>2.74</v>
      </c>
      <c r="AC203" s="280">
        <v>12.675000000000001</v>
      </c>
      <c r="AD203" s="294">
        <v>0.111</v>
      </c>
      <c r="AE203" s="281">
        <v>0.45900000000000002</v>
      </c>
      <c r="AF203" s="288">
        <v>2.11</v>
      </c>
      <c r="AG203" s="303">
        <v>0</v>
      </c>
      <c r="AH203" s="356">
        <v>0</v>
      </c>
      <c r="AI203" s="301">
        <f t="shared" si="12"/>
        <v>-9.3099999999999739E-2</v>
      </c>
      <c r="AK203" s="437" t="s">
        <v>50</v>
      </c>
    </row>
    <row r="204" spans="1:248" ht="45" customHeight="1" thickBot="1" x14ac:dyDescent="0.3">
      <c r="A204" s="438">
        <v>8667</v>
      </c>
      <c r="B204" s="445" t="s">
        <v>84</v>
      </c>
      <c r="C204" s="455" t="s">
        <v>85</v>
      </c>
      <c r="D204" s="479"/>
      <c r="E204" s="445" t="s">
        <v>598</v>
      </c>
      <c r="F204" s="445" t="s">
        <v>142</v>
      </c>
      <c r="G204" s="445"/>
      <c r="H204" s="448" t="s">
        <v>55</v>
      </c>
      <c r="I204" s="451">
        <f>SUMIF('Wege im Detail'!$A:$A,"08667",'Wege im Detail'!$P:$P)</f>
        <v>6.2679999999999998</v>
      </c>
      <c r="J204" s="508" t="s">
        <v>599</v>
      </c>
      <c r="L204" s="209">
        <v>29</v>
      </c>
      <c r="M204" s="197">
        <v>93</v>
      </c>
      <c r="N204" s="198">
        <v>3</v>
      </c>
      <c r="O204" s="213">
        <v>5</v>
      </c>
      <c r="P204" s="350">
        <v>0</v>
      </c>
      <c r="R204" s="275">
        <v>0</v>
      </c>
      <c r="S204" s="276">
        <v>0</v>
      </c>
      <c r="T204" s="277">
        <v>4.38</v>
      </c>
      <c r="U204" s="276">
        <v>0</v>
      </c>
      <c r="V204" s="277">
        <v>1.61</v>
      </c>
      <c r="W204" s="276">
        <v>0.16200000000000001</v>
      </c>
      <c r="X204" s="277">
        <v>0.17699999999999999</v>
      </c>
      <c r="Y204" s="278">
        <f t="shared" si="11"/>
        <v>6.3289999999999997</v>
      </c>
      <c r="Z204" s="279"/>
      <c r="AA204" s="280">
        <v>0</v>
      </c>
      <c r="AB204" s="281">
        <v>2.35</v>
      </c>
      <c r="AC204" s="280">
        <v>2.0299999999999998</v>
      </c>
      <c r="AD204" s="294">
        <v>0</v>
      </c>
      <c r="AE204" s="281">
        <v>1.36</v>
      </c>
      <c r="AF204" s="288">
        <v>0.42499999999999999</v>
      </c>
      <c r="AG204" s="303">
        <v>0</v>
      </c>
      <c r="AH204" s="356">
        <v>0.16400000000000001</v>
      </c>
      <c r="AI204" s="301">
        <f t="shared" si="12"/>
        <v>6.0999999999999943E-2</v>
      </c>
      <c r="AK204" s="437" t="s">
        <v>50</v>
      </c>
    </row>
    <row r="205" spans="1:248" ht="45" customHeight="1" thickBot="1" x14ac:dyDescent="0.3">
      <c r="A205" s="438">
        <v>8668</v>
      </c>
      <c r="B205" s="445" t="s">
        <v>84</v>
      </c>
      <c r="C205" s="455" t="s">
        <v>85</v>
      </c>
      <c r="D205" s="479"/>
      <c r="E205" s="445" t="s">
        <v>600</v>
      </c>
      <c r="F205" s="445" t="s">
        <v>147</v>
      </c>
      <c r="G205" s="445"/>
      <c r="H205" s="448" t="s">
        <v>55</v>
      </c>
      <c r="I205" s="451">
        <f>SUMIF('Wege im Detail'!$A:$A,"08668",'Wege im Detail'!$P:$P)</f>
        <v>3.976</v>
      </c>
      <c r="J205" s="508" t="s">
        <v>601</v>
      </c>
      <c r="L205" s="209">
        <v>33</v>
      </c>
      <c r="M205" s="197">
        <v>80</v>
      </c>
      <c r="N205" s="198">
        <v>3</v>
      </c>
      <c r="O205" s="213">
        <v>17</v>
      </c>
      <c r="P205" s="350">
        <v>0</v>
      </c>
      <c r="R205" s="275">
        <v>0</v>
      </c>
      <c r="S205" s="276">
        <v>0</v>
      </c>
      <c r="T205" s="277">
        <v>2.46</v>
      </c>
      <c r="U205" s="276">
        <v>0</v>
      </c>
      <c r="V205" s="277">
        <v>0.84099999999999997</v>
      </c>
      <c r="W205" s="276">
        <v>0.42899999999999999</v>
      </c>
      <c r="X205" s="277">
        <v>0.29899999999999999</v>
      </c>
      <c r="Y205" s="278">
        <f t="shared" si="11"/>
        <v>4.0289999999999999</v>
      </c>
      <c r="Z205" s="279"/>
      <c r="AA205" s="280">
        <v>0</v>
      </c>
      <c r="AB205" s="281">
        <v>0</v>
      </c>
      <c r="AC205" s="280">
        <v>2.81</v>
      </c>
      <c r="AD205" s="294">
        <v>0</v>
      </c>
      <c r="AE205" s="281">
        <v>0.115</v>
      </c>
      <c r="AF205" s="288">
        <v>0.80200000000000005</v>
      </c>
      <c r="AG205" s="303">
        <v>0</v>
      </c>
      <c r="AH205" s="356">
        <v>0.29899999999999999</v>
      </c>
      <c r="AI205" s="301">
        <f t="shared" ref="AI205:AI236" si="13">Y205-I205</f>
        <v>5.2999999999999936E-2</v>
      </c>
      <c r="AK205" s="437" t="s">
        <v>50</v>
      </c>
    </row>
    <row r="206" spans="1:248" ht="45" customHeight="1" thickBot="1" x14ac:dyDescent="0.3">
      <c r="A206" s="444">
        <v>8669</v>
      </c>
      <c r="B206" s="445" t="s">
        <v>84</v>
      </c>
      <c r="C206" s="455" t="s">
        <v>85</v>
      </c>
      <c r="D206" s="479"/>
      <c r="E206" s="445" t="s">
        <v>602</v>
      </c>
      <c r="F206" s="445" t="s">
        <v>133</v>
      </c>
      <c r="G206" s="445"/>
      <c r="H206" s="448" t="s">
        <v>55</v>
      </c>
      <c r="I206" s="451">
        <f>SUMIF('Wege im Detail'!$A:$A,"08669",'Wege im Detail'!$P:$P)</f>
        <v>5.66</v>
      </c>
      <c r="J206" s="508" t="s">
        <v>603</v>
      </c>
      <c r="L206" s="209">
        <v>50</v>
      </c>
      <c r="M206" s="197">
        <v>91</v>
      </c>
      <c r="N206" s="198">
        <v>7</v>
      </c>
      <c r="O206" s="213">
        <v>2</v>
      </c>
      <c r="P206" s="350">
        <v>0</v>
      </c>
      <c r="R206" s="275">
        <v>0</v>
      </c>
      <c r="S206" s="276">
        <v>0.82399999999999995</v>
      </c>
      <c r="T206" s="277">
        <v>1.97</v>
      </c>
      <c r="U206" s="276">
        <v>0</v>
      </c>
      <c r="V206" s="277">
        <v>1.88</v>
      </c>
      <c r="W206" s="276">
        <v>0.53400000000000003</v>
      </c>
      <c r="X206" s="277">
        <v>0.441</v>
      </c>
      <c r="Y206" s="278">
        <f t="shared" si="11"/>
        <v>5.6489999999999991</v>
      </c>
      <c r="Z206" s="279"/>
      <c r="AA206" s="280">
        <v>0</v>
      </c>
      <c r="AB206" s="281">
        <v>0.98599999999999999</v>
      </c>
      <c r="AC206" s="280">
        <v>1.81</v>
      </c>
      <c r="AD206" s="294">
        <v>0.27</v>
      </c>
      <c r="AE206" s="281">
        <v>2.0699999999999998</v>
      </c>
      <c r="AF206" s="288">
        <v>0.50900000000000001</v>
      </c>
      <c r="AG206" s="303">
        <v>0</v>
      </c>
      <c r="AH206" s="356">
        <v>0</v>
      </c>
      <c r="AI206" s="301">
        <f t="shared" si="13"/>
        <v>-1.1000000000001009E-2</v>
      </c>
      <c r="AK206" s="437" t="s">
        <v>50</v>
      </c>
    </row>
    <row r="207" spans="1:248" ht="45" customHeight="1" thickBot="1" x14ac:dyDescent="0.3">
      <c r="A207" s="444">
        <v>8670</v>
      </c>
      <c r="B207" s="445" t="s">
        <v>84</v>
      </c>
      <c r="C207" s="455" t="s">
        <v>85</v>
      </c>
      <c r="D207" s="479"/>
      <c r="E207" s="445" t="s">
        <v>602</v>
      </c>
      <c r="F207" s="445" t="s">
        <v>138</v>
      </c>
      <c r="G207" s="445"/>
      <c r="H207" s="448" t="s">
        <v>55</v>
      </c>
      <c r="I207" s="451">
        <f>SUMIF('Wege im Detail'!$A:$A,"08670",'Wege im Detail'!$P:$P)</f>
        <v>6.9340000000000002</v>
      </c>
      <c r="J207" s="508" t="s">
        <v>604</v>
      </c>
      <c r="L207" s="209">
        <v>21</v>
      </c>
      <c r="M207" s="197">
        <v>91</v>
      </c>
      <c r="N207" s="198">
        <v>8</v>
      </c>
      <c r="O207" s="213">
        <v>1</v>
      </c>
      <c r="P207" s="350">
        <v>0</v>
      </c>
      <c r="R207" s="275">
        <v>0</v>
      </c>
      <c r="S207" s="276">
        <v>0</v>
      </c>
      <c r="T207" s="277">
        <v>4.9000000000000004</v>
      </c>
      <c r="U207" s="276">
        <v>0</v>
      </c>
      <c r="V207" s="277">
        <v>0.68100000000000005</v>
      </c>
      <c r="W207" s="276">
        <v>0.45700000000000002</v>
      </c>
      <c r="X207" s="277">
        <v>0.91200000000000003</v>
      </c>
      <c r="Y207" s="278">
        <f t="shared" si="11"/>
        <v>6.95</v>
      </c>
      <c r="Z207" s="279"/>
      <c r="AA207" s="280">
        <v>0</v>
      </c>
      <c r="AB207" s="281">
        <v>0</v>
      </c>
      <c r="AC207" s="280">
        <v>4.99</v>
      </c>
      <c r="AD207" s="294">
        <v>0</v>
      </c>
      <c r="AE207" s="281">
        <v>1.3</v>
      </c>
      <c r="AF207" s="288">
        <v>0.65100000000000002</v>
      </c>
      <c r="AG207" s="303">
        <v>0</v>
      </c>
      <c r="AH207" s="356">
        <v>0</v>
      </c>
      <c r="AI207" s="301">
        <f t="shared" si="13"/>
        <v>1.6000000000000014E-2</v>
      </c>
      <c r="AK207" s="437" t="s">
        <v>50</v>
      </c>
    </row>
    <row r="208" spans="1:248" ht="45" customHeight="1" thickBot="1" x14ac:dyDescent="0.3">
      <c r="A208" s="444">
        <v>8672</v>
      </c>
      <c r="B208" s="445" t="s">
        <v>84</v>
      </c>
      <c r="C208" s="455" t="s">
        <v>85</v>
      </c>
      <c r="D208" s="479"/>
      <c r="E208" s="445" t="s">
        <v>606</v>
      </c>
      <c r="F208" s="445" t="s">
        <v>147</v>
      </c>
      <c r="G208" s="445"/>
      <c r="H208" s="448" t="s">
        <v>55</v>
      </c>
      <c r="I208" s="451">
        <f>SUMIF('Wege im Detail'!$A:$A,"08672",'Wege im Detail'!$P:$P)</f>
        <v>8.6509999999999998</v>
      </c>
      <c r="J208" s="508" t="s">
        <v>607</v>
      </c>
      <c r="L208" s="209">
        <v>19</v>
      </c>
      <c r="M208" s="197">
        <v>100</v>
      </c>
      <c r="N208" s="198">
        <v>0</v>
      </c>
      <c r="O208" s="213">
        <v>0</v>
      </c>
      <c r="P208" s="350">
        <v>0</v>
      </c>
      <c r="R208" s="275">
        <v>0</v>
      </c>
      <c r="S208" s="276">
        <v>0.66800000000000004</v>
      </c>
      <c r="T208" s="277">
        <v>6.15</v>
      </c>
      <c r="U208" s="276">
        <v>0</v>
      </c>
      <c r="V208" s="277">
        <v>1.61</v>
      </c>
      <c r="W208" s="276">
        <v>0</v>
      </c>
      <c r="X208" s="277">
        <v>0.19700000000000001</v>
      </c>
      <c r="Y208" s="278">
        <f t="shared" si="11"/>
        <v>8.625</v>
      </c>
      <c r="Z208" s="279"/>
      <c r="AA208" s="280">
        <v>0</v>
      </c>
      <c r="AB208" s="281">
        <v>0.55549999999999999</v>
      </c>
      <c r="AC208" s="280">
        <v>6.81</v>
      </c>
      <c r="AD208" s="294">
        <v>0</v>
      </c>
      <c r="AE208" s="281">
        <v>0.19700000000000001</v>
      </c>
      <c r="AF208" s="288">
        <v>1.61</v>
      </c>
      <c r="AG208" s="303">
        <v>0</v>
      </c>
      <c r="AH208" s="356">
        <v>0</v>
      </c>
      <c r="AI208" s="301">
        <f t="shared" si="13"/>
        <v>-2.5999999999999801E-2</v>
      </c>
      <c r="AK208" s="437" t="s">
        <v>50</v>
      </c>
    </row>
    <row r="209" spans="1:248" ht="45" customHeight="1" thickBot="1" x14ac:dyDescent="0.3">
      <c r="A209" s="444">
        <v>8673</v>
      </c>
      <c r="B209" s="445" t="s">
        <v>84</v>
      </c>
      <c r="C209" s="455" t="s">
        <v>85</v>
      </c>
      <c r="D209" s="479"/>
      <c r="E209" s="445" t="s">
        <v>608</v>
      </c>
      <c r="F209" s="445" t="s">
        <v>133</v>
      </c>
      <c r="G209" s="445"/>
      <c r="H209" s="448" t="s">
        <v>55</v>
      </c>
      <c r="I209" s="451">
        <f>SUMIF('Wege im Detail'!$A:$A,"08673",'Wege im Detail'!$P:$P)</f>
        <v>4.7519999999999998</v>
      </c>
      <c r="J209" s="508" t="s">
        <v>609</v>
      </c>
      <c r="L209" s="209">
        <v>0</v>
      </c>
      <c r="M209" s="197">
        <v>100</v>
      </c>
      <c r="N209" s="198">
        <v>0</v>
      </c>
      <c r="O209" s="213">
        <v>0</v>
      </c>
      <c r="P209" s="350">
        <v>0</v>
      </c>
      <c r="R209" s="275">
        <v>0</v>
      </c>
      <c r="S209" s="276">
        <v>0</v>
      </c>
      <c r="T209" s="277">
        <v>4.68</v>
      </c>
      <c r="U209" s="276">
        <v>0</v>
      </c>
      <c r="V209" s="277">
        <v>0</v>
      </c>
      <c r="W209" s="276">
        <v>0</v>
      </c>
      <c r="X209" s="277">
        <v>0.55549999999999999</v>
      </c>
      <c r="Y209" s="278">
        <f t="shared" si="11"/>
        <v>5.2355</v>
      </c>
      <c r="Z209" s="279"/>
      <c r="AA209" s="280">
        <v>0</v>
      </c>
      <c r="AB209" s="281">
        <v>0</v>
      </c>
      <c r="AC209" s="280">
        <v>4.68</v>
      </c>
      <c r="AD209" s="294">
        <v>0</v>
      </c>
      <c r="AE209" s="281">
        <v>0</v>
      </c>
      <c r="AF209" s="288">
        <v>0</v>
      </c>
      <c r="AG209" s="303">
        <v>0</v>
      </c>
      <c r="AH209" s="356">
        <v>0</v>
      </c>
      <c r="AI209" s="301">
        <f t="shared" si="13"/>
        <v>0.48350000000000026</v>
      </c>
      <c r="AK209" s="437" t="s">
        <v>50</v>
      </c>
    </row>
    <row r="210" spans="1:248" ht="45" customHeight="1" thickBot="1" x14ac:dyDescent="0.25">
      <c r="A210" s="444">
        <v>8675</v>
      </c>
      <c r="B210" s="445" t="s">
        <v>84</v>
      </c>
      <c r="C210" s="455" t="s">
        <v>85</v>
      </c>
      <c r="D210" s="479"/>
      <c r="E210" s="445" t="s">
        <v>610</v>
      </c>
      <c r="F210" s="445" t="s">
        <v>142</v>
      </c>
      <c r="G210" s="445"/>
      <c r="H210" s="448" t="s">
        <v>55</v>
      </c>
      <c r="I210" s="451">
        <f>SUMIF('Wege im Detail'!$A:$A,"08675",'Wege im Detail'!$P:$P)</f>
        <v>9.2330000000000005</v>
      </c>
      <c r="J210" s="508" t="s">
        <v>611</v>
      </c>
      <c r="L210" s="209">
        <v>43</v>
      </c>
      <c r="M210" s="197">
        <v>92</v>
      </c>
      <c r="N210" s="198">
        <v>8</v>
      </c>
      <c r="O210" s="213">
        <v>0</v>
      </c>
      <c r="P210" s="350">
        <v>0</v>
      </c>
      <c r="R210" s="275">
        <v>0</v>
      </c>
      <c r="S210" s="276">
        <v>0</v>
      </c>
      <c r="T210" s="277">
        <v>5.1100000000000003</v>
      </c>
      <c r="U210" s="276">
        <v>0</v>
      </c>
      <c r="V210" s="277">
        <v>2</v>
      </c>
      <c r="W210" s="276">
        <v>1.79</v>
      </c>
      <c r="X210" s="277">
        <v>0.34799999999999998</v>
      </c>
      <c r="Y210" s="278">
        <f t="shared" si="11"/>
        <v>9.2480000000000011</v>
      </c>
      <c r="Z210" s="282"/>
      <c r="AA210" s="280">
        <v>0</v>
      </c>
      <c r="AB210" s="281">
        <v>0.35299999999999998</v>
      </c>
      <c r="AC210" s="280">
        <v>6.62</v>
      </c>
      <c r="AD210" s="294">
        <v>0.13</v>
      </c>
      <c r="AE210" s="281">
        <v>1.4</v>
      </c>
      <c r="AF210" s="288">
        <v>0.73499999999999999</v>
      </c>
      <c r="AG210" s="303">
        <v>0</v>
      </c>
      <c r="AH210" s="356">
        <v>0</v>
      </c>
      <c r="AI210" s="301">
        <f t="shared" si="13"/>
        <v>1.5000000000000568E-2</v>
      </c>
      <c r="AJ210" s="187"/>
      <c r="AK210" s="437" t="s">
        <v>50</v>
      </c>
      <c r="AL210" s="427"/>
      <c r="AM210" s="428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</row>
    <row r="211" spans="1:248" ht="45" customHeight="1" thickBot="1" x14ac:dyDescent="0.3">
      <c r="A211" s="444">
        <v>8677</v>
      </c>
      <c r="B211" s="445" t="s">
        <v>84</v>
      </c>
      <c r="C211" s="455" t="s">
        <v>85</v>
      </c>
      <c r="D211" s="479"/>
      <c r="E211" s="445" t="s">
        <v>612</v>
      </c>
      <c r="F211" s="445" t="s">
        <v>613</v>
      </c>
      <c r="G211" s="445"/>
      <c r="H211" s="448" t="s">
        <v>55</v>
      </c>
      <c r="I211" s="451">
        <f>SUMIF('Wege im Detail'!$A:$A,"08677",'Wege im Detail'!$P:$P)</f>
        <v>18.058</v>
      </c>
      <c r="J211" s="508" t="s">
        <v>614</v>
      </c>
      <c r="L211" s="209">
        <v>7</v>
      </c>
      <c r="M211" s="197">
        <v>99</v>
      </c>
      <c r="N211" s="198">
        <v>1</v>
      </c>
      <c r="O211" s="213">
        <v>0</v>
      </c>
      <c r="P211" s="350">
        <v>0</v>
      </c>
      <c r="R211" s="275">
        <v>0</v>
      </c>
      <c r="S211" s="276">
        <v>1.07</v>
      </c>
      <c r="T211" s="277">
        <v>15.4</v>
      </c>
      <c r="U211" s="276">
        <v>0</v>
      </c>
      <c r="V211" s="277">
        <v>1.32</v>
      </c>
      <c r="W211" s="276">
        <v>0.13100000000000001</v>
      </c>
      <c r="X211" s="277">
        <v>0.125</v>
      </c>
      <c r="Y211" s="278">
        <f t="shared" si="11"/>
        <v>18.045999999999999</v>
      </c>
      <c r="Z211" s="279"/>
      <c r="AA211" s="280">
        <v>0</v>
      </c>
      <c r="AB211" s="281">
        <v>2.21</v>
      </c>
      <c r="AC211" s="280">
        <v>14.7</v>
      </c>
      <c r="AD211" s="294">
        <v>0</v>
      </c>
      <c r="AE211" s="281">
        <v>0.54900000000000004</v>
      </c>
      <c r="AF211" s="288">
        <v>0.623</v>
      </c>
      <c r="AG211" s="303">
        <v>0</v>
      </c>
      <c r="AH211" s="356">
        <v>0</v>
      </c>
      <c r="AI211" s="301">
        <f t="shared" si="13"/>
        <v>-1.2000000000000455E-2</v>
      </c>
      <c r="AK211" s="437" t="s">
        <v>50</v>
      </c>
    </row>
    <row r="212" spans="1:248" ht="45" customHeight="1" thickBot="1" x14ac:dyDescent="0.3">
      <c r="A212" s="444">
        <v>8678</v>
      </c>
      <c r="B212" s="445" t="s">
        <v>84</v>
      </c>
      <c r="C212" s="455" t="s">
        <v>85</v>
      </c>
      <c r="D212" s="445"/>
      <c r="E212" s="445" t="s">
        <v>615</v>
      </c>
      <c r="F212" s="445" t="s">
        <v>616</v>
      </c>
      <c r="G212" s="445"/>
      <c r="H212" s="448" t="s">
        <v>55</v>
      </c>
      <c r="I212" s="451">
        <f>SUMIF('Wege im Detail'!$A:$A,"08678",'Wege im Detail'!$P:$P)</f>
        <v>4.4950000000000001</v>
      </c>
      <c r="J212" s="508" t="s">
        <v>617</v>
      </c>
      <c r="L212" s="209">
        <v>26</v>
      </c>
      <c r="M212" s="197">
        <v>99</v>
      </c>
      <c r="N212" s="198">
        <v>0</v>
      </c>
      <c r="O212" s="213">
        <v>1</v>
      </c>
      <c r="P212" s="350">
        <v>0</v>
      </c>
      <c r="R212" s="275">
        <v>0</v>
      </c>
      <c r="S212" s="276">
        <v>0</v>
      </c>
      <c r="T212" s="277">
        <v>3.3</v>
      </c>
      <c r="U212" s="276">
        <v>0</v>
      </c>
      <c r="V212" s="277">
        <v>1.08</v>
      </c>
      <c r="W212" s="276">
        <v>0.55549999999999999</v>
      </c>
      <c r="X212" s="277">
        <v>0</v>
      </c>
      <c r="Y212" s="278">
        <f t="shared" si="11"/>
        <v>4.9355000000000002</v>
      </c>
      <c r="Z212" s="279"/>
      <c r="AA212" s="280">
        <v>0</v>
      </c>
      <c r="AB212" s="281">
        <v>1.41</v>
      </c>
      <c r="AC212" s="280">
        <v>1.89</v>
      </c>
      <c r="AD212" s="294">
        <v>0</v>
      </c>
      <c r="AE212" s="281">
        <v>0.90200000000000002</v>
      </c>
      <c r="AF212" s="288">
        <v>0.222</v>
      </c>
      <c r="AG212" s="303">
        <v>0</v>
      </c>
      <c r="AH212" s="356">
        <v>0</v>
      </c>
      <c r="AI212" s="301">
        <f t="shared" si="13"/>
        <v>0.44050000000000011</v>
      </c>
      <c r="AK212" s="437" t="s">
        <v>50</v>
      </c>
    </row>
    <row r="213" spans="1:248" ht="45" customHeight="1" thickBot="1" x14ac:dyDescent="0.3">
      <c r="A213" s="444">
        <v>8679</v>
      </c>
      <c r="B213" s="445" t="s">
        <v>51</v>
      </c>
      <c r="C213" s="445" t="s">
        <v>91</v>
      </c>
      <c r="D213" s="445"/>
      <c r="E213" s="445">
        <v>130</v>
      </c>
      <c r="F213" s="445"/>
      <c r="G213" s="445"/>
      <c r="H213" s="448" t="s">
        <v>55</v>
      </c>
      <c r="I213" s="451">
        <f>SUMIF('Wege im Detail'!$A:$A,"08679",'Wege im Detail'!$P:$P)</f>
        <v>2.194</v>
      </c>
      <c r="J213" s="508" t="s">
        <v>618</v>
      </c>
      <c r="L213" s="209">
        <v>100</v>
      </c>
      <c r="M213" s="197">
        <v>66</v>
      </c>
      <c r="N213" s="198">
        <v>34</v>
      </c>
      <c r="O213" s="213">
        <v>0</v>
      </c>
      <c r="P213" s="350">
        <v>0</v>
      </c>
      <c r="R213" s="275">
        <v>0</v>
      </c>
      <c r="S213" s="276">
        <v>0</v>
      </c>
      <c r="T213" s="277">
        <v>0</v>
      </c>
      <c r="U213" s="276">
        <v>0</v>
      </c>
      <c r="V213" s="277">
        <v>1.42</v>
      </c>
      <c r="W213" s="276">
        <v>0.77200000000000002</v>
      </c>
      <c r="X213" s="277">
        <v>0</v>
      </c>
      <c r="Y213" s="278">
        <f t="shared" si="11"/>
        <v>2.1920000000000002</v>
      </c>
      <c r="Z213" s="279"/>
      <c r="AA213" s="280">
        <v>0</v>
      </c>
      <c r="AB213" s="281">
        <v>0</v>
      </c>
      <c r="AC213" s="280">
        <v>0.77700000000000002</v>
      </c>
      <c r="AD213" s="294">
        <v>0</v>
      </c>
      <c r="AE213" s="281">
        <v>0.32500000000000001</v>
      </c>
      <c r="AF213" s="288">
        <v>1.0900000000000001</v>
      </c>
      <c r="AG213" s="303">
        <v>0</v>
      </c>
      <c r="AH213" s="356">
        <v>0</v>
      </c>
      <c r="AI213" s="301">
        <f t="shared" si="13"/>
        <v>-1.9999999999997797E-3</v>
      </c>
      <c r="AK213" s="437" t="s">
        <v>50</v>
      </c>
    </row>
    <row r="214" spans="1:248" ht="45" customHeight="1" thickBot="1" x14ac:dyDescent="0.3">
      <c r="A214" s="444">
        <v>8682</v>
      </c>
      <c r="B214" s="445" t="s">
        <v>84</v>
      </c>
      <c r="C214" s="455" t="s">
        <v>85</v>
      </c>
      <c r="D214" s="479"/>
      <c r="E214" s="445" t="s">
        <v>619</v>
      </c>
      <c r="F214" s="445" t="s">
        <v>133</v>
      </c>
      <c r="G214" s="445"/>
      <c r="H214" s="448" t="s">
        <v>55</v>
      </c>
      <c r="I214" s="451">
        <f>SUMIF('Wege im Detail'!$A:$A,"08682",'Wege im Detail'!$P:$P)</f>
        <v>2.661</v>
      </c>
      <c r="J214" s="508" t="s">
        <v>620</v>
      </c>
      <c r="L214" s="209">
        <v>0</v>
      </c>
      <c r="M214" s="197">
        <v>100</v>
      </c>
      <c r="N214" s="198">
        <v>0</v>
      </c>
      <c r="O214" s="213">
        <v>0</v>
      </c>
      <c r="P214" s="350">
        <v>0</v>
      </c>
      <c r="R214" s="275">
        <v>0.25800000000000001</v>
      </c>
      <c r="S214" s="276">
        <v>0.222</v>
      </c>
      <c r="T214" s="277">
        <v>2.1680000000000001</v>
      </c>
      <c r="U214" s="276">
        <v>0</v>
      </c>
      <c r="V214" s="277">
        <v>0</v>
      </c>
      <c r="W214" s="276">
        <v>0</v>
      </c>
      <c r="X214" s="277">
        <v>0</v>
      </c>
      <c r="Y214" s="278">
        <f t="shared" si="11"/>
        <v>2.6480000000000001</v>
      </c>
      <c r="Z214" s="279"/>
      <c r="AA214" s="280">
        <v>0.25800000000000001</v>
      </c>
      <c r="AB214" s="281">
        <v>0.55549999999999999</v>
      </c>
      <c r="AC214" s="280">
        <v>2.238</v>
      </c>
      <c r="AD214" s="294">
        <v>0</v>
      </c>
      <c r="AE214" s="281">
        <v>0</v>
      </c>
      <c r="AF214" s="288">
        <v>0</v>
      </c>
      <c r="AG214" s="303">
        <v>0</v>
      </c>
      <c r="AH214" s="356">
        <v>0</v>
      </c>
      <c r="AI214" s="301">
        <f t="shared" si="13"/>
        <v>-1.2999999999999901E-2</v>
      </c>
      <c r="AK214" s="437" t="s">
        <v>50</v>
      </c>
    </row>
    <row r="215" spans="1:248" ht="45" customHeight="1" thickBot="1" x14ac:dyDescent="0.3">
      <c r="A215" s="444">
        <v>8683</v>
      </c>
      <c r="B215" s="445" t="s">
        <v>84</v>
      </c>
      <c r="C215" s="455" t="s">
        <v>85</v>
      </c>
      <c r="D215" s="479"/>
      <c r="E215" s="445" t="s">
        <v>621</v>
      </c>
      <c r="F215" s="445" t="s">
        <v>142</v>
      </c>
      <c r="G215" s="445"/>
      <c r="H215" s="448" t="s">
        <v>55</v>
      </c>
      <c r="I215" s="451">
        <f>SUMIF('Wege im Detail'!$A:$A,"08683",'Wege im Detail'!$P:$P)</f>
        <v>6.5359999999999996</v>
      </c>
      <c r="J215" s="508" t="s">
        <v>622</v>
      </c>
      <c r="L215" s="209">
        <v>37</v>
      </c>
      <c r="M215" s="197">
        <v>100</v>
      </c>
      <c r="N215" s="198">
        <v>0</v>
      </c>
      <c r="O215" s="213">
        <v>0</v>
      </c>
      <c r="P215" s="350">
        <v>0</v>
      </c>
      <c r="R215" s="275">
        <v>0</v>
      </c>
      <c r="S215" s="276">
        <v>1.04</v>
      </c>
      <c r="T215" s="277">
        <v>2.8</v>
      </c>
      <c r="U215" s="276">
        <v>0.30499999999999999</v>
      </c>
      <c r="V215" s="277">
        <v>0.55549999999999999</v>
      </c>
      <c r="W215" s="276">
        <v>0</v>
      </c>
      <c r="X215" s="277">
        <v>2.35</v>
      </c>
      <c r="Y215" s="278">
        <f t="shared" si="11"/>
        <v>7.0504999999999995</v>
      </c>
      <c r="Z215" s="279"/>
      <c r="AA215" s="280">
        <v>0.5</v>
      </c>
      <c r="AB215" s="281">
        <v>0.36799999999999999</v>
      </c>
      <c r="AC215" s="280">
        <v>2.75</v>
      </c>
      <c r="AD215" s="294">
        <v>0.216</v>
      </c>
      <c r="AE215" s="281">
        <v>2.65</v>
      </c>
      <c r="AF215" s="288">
        <v>0</v>
      </c>
      <c r="AG215" s="303">
        <v>0</v>
      </c>
      <c r="AH215" s="356">
        <v>0</v>
      </c>
      <c r="AI215" s="301">
        <f t="shared" si="13"/>
        <v>0.51449999999999996</v>
      </c>
      <c r="AK215" s="437" t="s">
        <v>50</v>
      </c>
    </row>
    <row r="216" spans="1:248" ht="45" customHeight="1" thickBot="1" x14ac:dyDescent="0.3">
      <c r="A216" s="444">
        <v>8684</v>
      </c>
      <c r="B216" s="445" t="s">
        <v>84</v>
      </c>
      <c r="C216" s="455" t="s">
        <v>85</v>
      </c>
      <c r="D216" s="479"/>
      <c r="E216" s="445" t="s">
        <v>623</v>
      </c>
      <c r="F216" s="445" t="s">
        <v>147</v>
      </c>
      <c r="G216" s="445"/>
      <c r="H216" s="448" t="s">
        <v>55</v>
      </c>
      <c r="I216" s="451">
        <f>SUMIF('Wege im Detail'!$A:$A,"08684",'Wege im Detail'!$P:$P)</f>
        <v>5.2350000000000003</v>
      </c>
      <c r="J216" s="508" t="s">
        <v>624</v>
      </c>
      <c r="L216" s="209">
        <v>17</v>
      </c>
      <c r="M216" s="197">
        <v>100</v>
      </c>
      <c r="N216" s="198">
        <v>0</v>
      </c>
      <c r="O216" s="213">
        <v>0</v>
      </c>
      <c r="P216" s="350">
        <v>0</v>
      </c>
      <c r="R216" s="275">
        <v>0</v>
      </c>
      <c r="S216" s="276">
        <v>0</v>
      </c>
      <c r="T216" s="277">
        <v>2.415</v>
      </c>
      <c r="U216" s="276">
        <v>1.97</v>
      </c>
      <c r="V216" s="277">
        <v>0</v>
      </c>
      <c r="W216" s="276">
        <v>0</v>
      </c>
      <c r="X216" s="277">
        <v>0.877</v>
      </c>
      <c r="Y216" s="278">
        <f t="shared" si="11"/>
        <v>5.2619999999999996</v>
      </c>
      <c r="Z216" s="279"/>
      <c r="AA216" s="280">
        <v>0.59399999999999997</v>
      </c>
      <c r="AB216" s="281">
        <v>0.67700000000000005</v>
      </c>
      <c r="AC216" s="280">
        <v>3.1150000000000002</v>
      </c>
      <c r="AD216" s="294">
        <v>0</v>
      </c>
      <c r="AE216" s="281">
        <v>0.877</v>
      </c>
      <c r="AF216" s="288">
        <v>0</v>
      </c>
      <c r="AG216" s="303">
        <v>0</v>
      </c>
      <c r="AH216" s="356">
        <v>0</v>
      </c>
      <c r="AI216" s="301">
        <f t="shared" si="13"/>
        <v>2.6999999999999247E-2</v>
      </c>
      <c r="AK216" s="437" t="s">
        <v>50</v>
      </c>
    </row>
    <row r="217" spans="1:248" ht="45" customHeight="1" thickBot="1" x14ac:dyDescent="0.3">
      <c r="A217" s="444">
        <v>8685</v>
      </c>
      <c r="B217" s="445" t="s">
        <v>84</v>
      </c>
      <c r="C217" s="455" t="s">
        <v>85</v>
      </c>
      <c r="D217" s="445"/>
      <c r="E217" s="445" t="s">
        <v>625</v>
      </c>
      <c r="F217" s="445" t="s">
        <v>138</v>
      </c>
      <c r="G217" s="445"/>
      <c r="H217" s="448" t="s">
        <v>55</v>
      </c>
      <c r="I217" s="451">
        <f>SUMIF('Wege im Detail'!$A:$A,"08685",'Wege im Detail'!$P:$P)</f>
        <v>9.4649999999999999</v>
      </c>
      <c r="J217" s="508" t="s">
        <v>626</v>
      </c>
      <c r="L217" s="209">
        <v>19</v>
      </c>
      <c r="M217" s="197">
        <v>100</v>
      </c>
      <c r="N217" s="198">
        <v>0</v>
      </c>
      <c r="O217" s="213">
        <v>0</v>
      </c>
      <c r="P217" s="350">
        <v>0</v>
      </c>
      <c r="R217" s="275">
        <v>0</v>
      </c>
      <c r="S217" s="276">
        <v>0.316</v>
      </c>
      <c r="T217" s="277">
        <v>7.46</v>
      </c>
      <c r="U217" s="276">
        <v>0</v>
      </c>
      <c r="V217" s="277">
        <v>1.39</v>
      </c>
      <c r="W217" s="276">
        <v>0.29799999999999999</v>
      </c>
      <c r="X217" s="277">
        <v>0</v>
      </c>
      <c r="Y217" s="278">
        <f t="shared" si="11"/>
        <v>9.4640000000000004</v>
      </c>
      <c r="Z217" s="279"/>
      <c r="AA217" s="280">
        <v>0.55549999999999999</v>
      </c>
      <c r="AB217" s="281">
        <v>0.22500000000000001</v>
      </c>
      <c r="AC217" s="280">
        <v>7.46</v>
      </c>
      <c r="AD217" s="294">
        <v>0</v>
      </c>
      <c r="AE217" s="281">
        <v>0.13500000000000001</v>
      </c>
      <c r="AF217" s="288">
        <v>1.55</v>
      </c>
      <c r="AG217" s="303">
        <v>0</v>
      </c>
      <c r="AH217" s="356">
        <v>0</v>
      </c>
      <c r="AI217" s="301">
        <f t="shared" si="13"/>
        <v>-9.9999999999944578E-4</v>
      </c>
      <c r="AK217" s="437" t="s">
        <v>50</v>
      </c>
    </row>
    <row r="218" spans="1:248" ht="45" customHeight="1" thickBot="1" x14ac:dyDescent="0.25">
      <c r="A218" s="444">
        <v>8686</v>
      </c>
      <c r="B218" s="445" t="s">
        <v>84</v>
      </c>
      <c r="C218" s="455" t="s">
        <v>85</v>
      </c>
      <c r="D218" s="445"/>
      <c r="E218" s="445" t="s">
        <v>627</v>
      </c>
      <c r="F218" s="445" t="s">
        <v>147</v>
      </c>
      <c r="G218" s="445"/>
      <c r="H218" s="448" t="s">
        <v>55</v>
      </c>
      <c r="I218" s="451">
        <f>SUMIF('Wege im Detail'!$A:$A,"08686",'Wege im Detail'!$P:$P)</f>
        <v>8.7750000000000004</v>
      </c>
      <c r="J218" s="508" t="s">
        <v>628</v>
      </c>
      <c r="L218" s="209">
        <v>16</v>
      </c>
      <c r="M218" s="197">
        <v>95</v>
      </c>
      <c r="N218" s="198">
        <v>5</v>
      </c>
      <c r="O218" s="213">
        <v>0</v>
      </c>
      <c r="P218" s="350">
        <v>0</v>
      </c>
      <c r="R218" s="275">
        <v>0</v>
      </c>
      <c r="S218" s="276">
        <v>1.01</v>
      </c>
      <c r="T218" s="277">
        <v>5.2569999999999997</v>
      </c>
      <c r="U218" s="276">
        <v>0.94899999999999995</v>
      </c>
      <c r="V218" s="277">
        <v>1.232</v>
      </c>
      <c r="W218" s="276">
        <v>0.16800000000000001</v>
      </c>
      <c r="X218" s="277">
        <v>0</v>
      </c>
      <c r="Y218" s="278">
        <f t="shared" si="11"/>
        <v>8.6159999999999979</v>
      </c>
      <c r="Z218" s="282"/>
      <c r="AA218" s="280">
        <v>0</v>
      </c>
      <c r="AB218" s="281">
        <v>0.28199999999999997</v>
      </c>
      <c r="AC218" s="280">
        <v>5.8179999999999996</v>
      </c>
      <c r="AD218" s="294">
        <v>0</v>
      </c>
      <c r="AE218" s="281">
        <v>1.73</v>
      </c>
      <c r="AF218" s="288">
        <v>0.85799999999999998</v>
      </c>
      <c r="AG218" s="303">
        <v>0</v>
      </c>
      <c r="AH218" s="356">
        <v>0</v>
      </c>
      <c r="AI218" s="301">
        <f t="shared" si="13"/>
        <v>-0.15900000000000247</v>
      </c>
      <c r="AJ218" s="187"/>
      <c r="AK218" s="437" t="s">
        <v>50</v>
      </c>
      <c r="AL218" s="427"/>
      <c r="AM218" s="428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</row>
    <row r="219" spans="1:248" ht="45" customHeight="1" thickBot="1" x14ac:dyDescent="0.3">
      <c r="A219" s="444">
        <v>8687</v>
      </c>
      <c r="B219" s="445" t="s">
        <v>84</v>
      </c>
      <c r="C219" s="455" t="s">
        <v>85</v>
      </c>
      <c r="D219" s="445"/>
      <c r="E219" s="445" t="s">
        <v>629</v>
      </c>
      <c r="F219" s="445" t="s">
        <v>133</v>
      </c>
      <c r="G219" s="445"/>
      <c r="H219" s="448" t="s">
        <v>55</v>
      </c>
      <c r="I219" s="451">
        <f>SUMIF('Wege im Detail'!$A:$A,"08687",'Wege im Detail'!$P:$P)</f>
        <v>8.14</v>
      </c>
      <c r="J219" s="508" t="s">
        <v>630</v>
      </c>
      <c r="L219" s="209">
        <v>9</v>
      </c>
      <c r="M219" s="197">
        <v>95</v>
      </c>
      <c r="N219" s="198">
        <v>5</v>
      </c>
      <c r="O219" s="213">
        <v>0</v>
      </c>
      <c r="P219" s="350">
        <v>0</v>
      </c>
      <c r="R219" s="275">
        <v>0</v>
      </c>
      <c r="S219" s="276">
        <v>0.67300000000000004</v>
      </c>
      <c r="T219" s="277">
        <v>6.117</v>
      </c>
      <c r="U219" s="276">
        <v>0.42099999999999999</v>
      </c>
      <c r="V219" s="277">
        <v>0.63800000000000001</v>
      </c>
      <c r="W219" s="276">
        <v>0.16800000000000001</v>
      </c>
      <c r="X219" s="277">
        <v>0</v>
      </c>
      <c r="Y219" s="278">
        <f t="shared" si="11"/>
        <v>8.0169999999999995</v>
      </c>
      <c r="Z219" s="279"/>
      <c r="AA219" s="280">
        <v>0</v>
      </c>
      <c r="AB219" s="281">
        <v>0.85399999999999998</v>
      </c>
      <c r="AC219" s="280">
        <v>5.6379999999999999</v>
      </c>
      <c r="AD219" s="294">
        <v>0</v>
      </c>
      <c r="AE219" s="281">
        <v>1.3560000000000001</v>
      </c>
      <c r="AF219" s="288">
        <v>0.16800000000000001</v>
      </c>
      <c r="AG219" s="303">
        <v>0</v>
      </c>
      <c r="AH219" s="356">
        <v>0</v>
      </c>
      <c r="AI219" s="301">
        <f t="shared" si="13"/>
        <v>-0.12300000000000111</v>
      </c>
      <c r="AK219" s="437" t="s">
        <v>50</v>
      </c>
    </row>
    <row r="220" spans="1:248" ht="45" customHeight="1" thickBot="1" x14ac:dyDescent="0.3">
      <c r="A220" s="444">
        <v>8689</v>
      </c>
      <c r="B220" s="445" t="s">
        <v>84</v>
      </c>
      <c r="C220" s="455" t="s">
        <v>85</v>
      </c>
      <c r="D220" s="479"/>
      <c r="E220" s="445" t="s">
        <v>632</v>
      </c>
      <c r="F220" s="445" t="s">
        <v>147</v>
      </c>
      <c r="G220" s="445"/>
      <c r="H220" s="448" t="s">
        <v>55</v>
      </c>
      <c r="I220" s="451">
        <f>SUMIF('Wege im Detail'!$A:$A,"08689",'Wege im Detail'!$P:$P)</f>
        <v>3.3450000000000002</v>
      </c>
      <c r="J220" s="508" t="s">
        <v>633</v>
      </c>
      <c r="L220" s="209">
        <v>7</v>
      </c>
      <c r="M220" s="197">
        <v>100</v>
      </c>
      <c r="N220" s="198">
        <v>0</v>
      </c>
      <c r="O220" s="213">
        <v>0</v>
      </c>
      <c r="P220" s="350">
        <v>0</v>
      </c>
      <c r="R220" s="275">
        <v>0</v>
      </c>
      <c r="S220" s="276">
        <v>1.82</v>
      </c>
      <c r="T220" s="277">
        <v>1.29</v>
      </c>
      <c r="U220" s="276">
        <v>0</v>
      </c>
      <c r="V220" s="277">
        <v>0.45200000000000001</v>
      </c>
      <c r="W220" s="276">
        <v>0</v>
      </c>
      <c r="X220" s="277">
        <v>0</v>
      </c>
      <c r="Y220" s="278">
        <f t="shared" si="11"/>
        <v>3.5620000000000003</v>
      </c>
      <c r="Z220" s="279"/>
      <c r="AA220" s="280">
        <v>0</v>
      </c>
      <c r="AB220" s="281">
        <v>1.25</v>
      </c>
      <c r="AC220" s="280">
        <v>1.85</v>
      </c>
      <c r="AD220" s="294">
        <v>0</v>
      </c>
      <c r="AE220" s="281">
        <v>0</v>
      </c>
      <c r="AF220" s="288">
        <v>0.45200000000000001</v>
      </c>
      <c r="AG220" s="303">
        <v>0</v>
      </c>
      <c r="AH220" s="356">
        <v>0</v>
      </c>
      <c r="AI220" s="301">
        <f t="shared" si="13"/>
        <v>0.21700000000000008</v>
      </c>
      <c r="AK220" s="437" t="s">
        <v>50</v>
      </c>
    </row>
    <row r="221" spans="1:248" ht="45" customHeight="1" thickBot="1" x14ac:dyDescent="0.3">
      <c r="A221" s="444">
        <v>8690</v>
      </c>
      <c r="B221" s="445" t="s">
        <v>84</v>
      </c>
      <c r="C221" s="455" t="s">
        <v>85</v>
      </c>
      <c r="D221" s="479"/>
      <c r="E221" s="445" t="s">
        <v>635</v>
      </c>
      <c r="F221" s="445" t="s">
        <v>133</v>
      </c>
      <c r="G221" s="445"/>
      <c r="H221" s="448" t="s">
        <v>55</v>
      </c>
      <c r="I221" s="451">
        <f>SUMIF('Wege im Detail'!$A:$A,"08690",'Wege im Detail'!$P:$P)</f>
        <v>8.0879999999999992</v>
      </c>
      <c r="J221" s="508" t="s">
        <v>636</v>
      </c>
      <c r="L221" s="209">
        <v>30</v>
      </c>
      <c r="M221" s="197">
        <v>100</v>
      </c>
      <c r="N221" s="198">
        <v>0</v>
      </c>
      <c r="O221" s="213">
        <v>0</v>
      </c>
      <c r="P221" s="350">
        <v>0</v>
      </c>
      <c r="R221" s="275">
        <v>0</v>
      </c>
      <c r="S221" s="276">
        <v>0.51</v>
      </c>
      <c r="T221" s="277">
        <v>4.069</v>
      </c>
      <c r="U221" s="276">
        <v>0</v>
      </c>
      <c r="V221" s="277">
        <v>2.6030000000000002</v>
      </c>
      <c r="W221" s="276">
        <v>0.55549999999999999</v>
      </c>
      <c r="X221" s="277">
        <v>0.875</v>
      </c>
      <c r="Y221" s="278">
        <f t="shared" ref="Y221:Y284" si="14">SUM(R221:X221)</f>
        <v>8.6125000000000007</v>
      </c>
      <c r="Z221" s="279"/>
      <c r="AA221" s="280">
        <v>0</v>
      </c>
      <c r="AB221" s="281">
        <v>0.50600000000000001</v>
      </c>
      <c r="AC221" s="280">
        <v>4.1239999999999997</v>
      </c>
      <c r="AD221" s="294">
        <v>0</v>
      </c>
      <c r="AE221" s="281">
        <v>0.60499999999999998</v>
      </c>
      <c r="AF221" s="288">
        <v>2.4039999999999999</v>
      </c>
      <c r="AG221" s="303">
        <v>0</v>
      </c>
      <c r="AH221" s="356">
        <v>0.48799999999999999</v>
      </c>
      <c r="AI221" s="301">
        <f t="shared" si="13"/>
        <v>0.52450000000000152</v>
      </c>
      <c r="AK221" s="437" t="s">
        <v>50</v>
      </c>
    </row>
    <row r="222" spans="1:248" ht="45" customHeight="1" thickBot="1" x14ac:dyDescent="0.25">
      <c r="A222" s="444">
        <v>8691</v>
      </c>
      <c r="B222" s="445" t="s">
        <v>84</v>
      </c>
      <c r="C222" s="455" t="s">
        <v>85</v>
      </c>
      <c r="D222" s="479"/>
      <c r="E222" s="445" t="s">
        <v>638</v>
      </c>
      <c r="F222" s="445" t="s">
        <v>138</v>
      </c>
      <c r="G222" s="445"/>
      <c r="H222" s="448" t="s">
        <v>55</v>
      </c>
      <c r="I222" s="451">
        <f>SUMIF('Wege im Detail'!$A:$A,"08691",'Wege im Detail'!$P:$P)</f>
        <v>7.9790000000000001</v>
      </c>
      <c r="J222" s="508" t="s">
        <v>639</v>
      </c>
      <c r="L222" s="209">
        <v>53</v>
      </c>
      <c r="M222" s="197">
        <v>100</v>
      </c>
      <c r="N222" s="198">
        <v>0</v>
      </c>
      <c r="O222" s="213">
        <v>0</v>
      </c>
      <c r="P222" s="350">
        <v>0</v>
      </c>
      <c r="R222" s="275">
        <v>0</v>
      </c>
      <c r="S222" s="276">
        <v>0.47899999999999998</v>
      </c>
      <c r="T222" s="277">
        <v>2.0550000000000002</v>
      </c>
      <c r="U222" s="276">
        <v>1.2</v>
      </c>
      <c r="V222" s="277">
        <v>4.22</v>
      </c>
      <c r="W222" s="276">
        <v>0</v>
      </c>
      <c r="X222" s="277">
        <v>0</v>
      </c>
      <c r="Y222" s="278">
        <f t="shared" si="14"/>
        <v>7.9539999999999997</v>
      </c>
      <c r="Z222" s="282"/>
      <c r="AA222" s="280">
        <v>0</v>
      </c>
      <c r="AB222" s="281">
        <v>0.48099999999999998</v>
      </c>
      <c r="AC222" s="280">
        <v>4.0220000000000002</v>
      </c>
      <c r="AD222" s="294">
        <v>0</v>
      </c>
      <c r="AE222" s="281">
        <v>2.29</v>
      </c>
      <c r="AF222" s="288">
        <v>1.42</v>
      </c>
      <c r="AG222" s="303">
        <v>0</v>
      </c>
      <c r="AH222" s="356">
        <v>0</v>
      </c>
      <c r="AI222" s="301">
        <f t="shared" si="13"/>
        <v>-2.5000000000000355E-2</v>
      </c>
      <c r="AJ222" s="187"/>
      <c r="AK222" s="437" t="s">
        <v>50</v>
      </c>
      <c r="AL222" s="427"/>
      <c r="AM222" s="428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</row>
    <row r="223" spans="1:248" ht="45" customHeight="1" thickBot="1" x14ac:dyDescent="0.25">
      <c r="A223" s="444">
        <v>8692</v>
      </c>
      <c r="B223" s="445" t="s">
        <v>84</v>
      </c>
      <c r="C223" s="455" t="s">
        <v>85</v>
      </c>
      <c r="D223" s="479"/>
      <c r="E223" s="445" t="s">
        <v>640</v>
      </c>
      <c r="F223" s="445" t="s">
        <v>88</v>
      </c>
      <c r="G223" s="445"/>
      <c r="H223" s="448" t="s">
        <v>55</v>
      </c>
      <c r="I223" s="451">
        <f>SUMIF('Wege im Detail'!$A:$A,"08692",'Wege im Detail'!$P:$P)</f>
        <v>4.8689999999999998</v>
      </c>
      <c r="J223" s="508" t="s">
        <v>641</v>
      </c>
      <c r="L223" s="209">
        <v>38</v>
      </c>
      <c r="M223" s="197">
        <v>99</v>
      </c>
      <c r="N223" s="198">
        <v>0</v>
      </c>
      <c r="O223" s="213">
        <v>1</v>
      </c>
      <c r="P223" s="350">
        <v>0</v>
      </c>
      <c r="R223" s="275">
        <v>0</v>
      </c>
      <c r="S223" s="276">
        <v>0.51</v>
      </c>
      <c r="T223" s="277">
        <v>2.3679999999999999</v>
      </c>
      <c r="U223" s="276">
        <v>0</v>
      </c>
      <c r="V223" s="277">
        <v>1.7889999999999999</v>
      </c>
      <c r="W223" s="276">
        <v>0</v>
      </c>
      <c r="X223" s="277">
        <v>0</v>
      </c>
      <c r="Y223" s="278">
        <f t="shared" si="14"/>
        <v>4.6669999999999998</v>
      </c>
      <c r="Z223" s="282"/>
      <c r="AA223" s="280">
        <v>0</v>
      </c>
      <c r="AB223" s="281">
        <v>0.78200000000000003</v>
      </c>
      <c r="AC223" s="280">
        <v>2.1829999999999998</v>
      </c>
      <c r="AD223" s="294">
        <v>0</v>
      </c>
      <c r="AE223" s="281">
        <v>0.218</v>
      </c>
      <c r="AF223" s="288">
        <v>1.5920000000000001</v>
      </c>
      <c r="AG223" s="303">
        <v>0</v>
      </c>
      <c r="AH223" s="356">
        <v>0</v>
      </c>
      <c r="AI223" s="301">
        <f t="shared" si="13"/>
        <v>-0.20199999999999996</v>
      </c>
      <c r="AJ223" s="187"/>
      <c r="AK223" s="437" t="s">
        <v>50</v>
      </c>
      <c r="AL223" s="427"/>
      <c r="AM223" s="428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</row>
    <row r="224" spans="1:248" ht="45" customHeight="1" thickBot="1" x14ac:dyDescent="0.3">
      <c r="A224" s="444">
        <v>8693</v>
      </c>
      <c r="B224" s="445" t="s">
        <v>84</v>
      </c>
      <c r="C224" s="455" t="s">
        <v>85</v>
      </c>
      <c r="D224" s="445"/>
      <c r="E224" s="445" t="s">
        <v>642</v>
      </c>
      <c r="F224" s="445" t="s">
        <v>133</v>
      </c>
      <c r="G224" s="445"/>
      <c r="H224" s="448" t="s">
        <v>55</v>
      </c>
      <c r="I224" s="451">
        <f>SUMIF('Wege im Detail'!$A:$A,"08693",'Wege im Detail'!$P:$P)</f>
        <v>6.782</v>
      </c>
      <c r="J224" s="514" t="s">
        <v>643</v>
      </c>
      <c r="L224" s="209">
        <v>33</v>
      </c>
      <c r="M224" s="197">
        <v>94</v>
      </c>
      <c r="N224" s="198">
        <v>5</v>
      </c>
      <c r="O224" s="213">
        <v>1</v>
      </c>
      <c r="P224" s="350">
        <v>0</v>
      </c>
      <c r="R224" s="275">
        <v>0</v>
      </c>
      <c r="S224" s="276">
        <v>0.997</v>
      </c>
      <c r="T224" s="277">
        <v>3.0030000000000001</v>
      </c>
      <c r="U224" s="276">
        <v>0.53200000000000003</v>
      </c>
      <c r="V224" s="277">
        <v>1.0900000000000001</v>
      </c>
      <c r="W224" s="276">
        <v>0.95399999999999996</v>
      </c>
      <c r="X224" s="277">
        <v>0</v>
      </c>
      <c r="Y224" s="278">
        <f t="shared" si="14"/>
        <v>6.5759999999999996</v>
      </c>
      <c r="Z224" s="279"/>
      <c r="AA224" s="280">
        <v>0.14899999999999999</v>
      </c>
      <c r="AB224" s="281">
        <v>0.55549999999999999</v>
      </c>
      <c r="AC224" s="280">
        <v>4.4269999999999996</v>
      </c>
      <c r="AD224" s="294">
        <v>0</v>
      </c>
      <c r="AE224" s="281">
        <v>1.0469999999999999</v>
      </c>
      <c r="AF224" s="288">
        <v>1.02</v>
      </c>
      <c r="AG224" s="303">
        <v>0</v>
      </c>
      <c r="AH224" s="356">
        <v>0</v>
      </c>
      <c r="AI224" s="301">
        <f t="shared" si="13"/>
        <v>-0.20600000000000041</v>
      </c>
      <c r="AK224" s="437" t="s">
        <v>158</v>
      </c>
    </row>
    <row r="225" spans="1:248" ht="45" customHeight="1" thickBot="1" x14ac:dyDescent="0.25">
      <c r="A225" s="444">
        <v>8709</v>
      </c>
      <c r="B225" s="445" t="s">
        <v>84</v>
      </c>
      <c r="C225" s="455" t="s">
        <v>85</v>
      </c>
      <c r="D225" s="445"/>
      <c r="E225" s="445" t="s">
        <v>644</v>
      </c>
      <c r="F225" s="445" t="s">
        <v>142</v>
      </c>
      <c r="G225" s="445"/>
      <c r="H225" s="448" t="s">
        <v>55</v>
      </c>
      <c r="I225" s="451">
        <f>SUMIF('Wege im Detail'!$A:$A,"08709",'Wege im Detail'!$P:$P)</f>
        <v>4.4400000000000004</v>
      </c>
      <c r="J225" s="514" t="s">
        <v>645</v>
      </c>
      <c r="L225" s="209">
        <v>16</v>
      </c>
      <c r="M225" s="197">
        <v>90</v>
      </c>
      <c r="N225" s="198">
        <v>10</v>
      </c>
      <c r="O225" s="213">
        <v>0</v>
      </c>
      <c r="P225" s="350">
        <v>0</v>
      </c>
      <c r="R225" s="275">
        <v>0</v>
      </c>
      <c r="S225" s="276">
        <v>0.125</v>
      </c>
      <c r="T225" s="277">
        <v>3.5129999999999999</v>
      </c>
      <c r="U225" s="276">
        <v>0.55549999999999999</v>
      </c>
      <c r="V225" s="277">
        <v>0.51300000000000001</v>
      </c>
      <c r="W225" s="276">
        <v>0.16800000000000001</v>
      </c>
      <c r="X225" s="277">
        <v>0</v>
      </c>
      <c r="Y225" s="278">
        <f t="shared" si="14"/>
        <v>4.8745000000000003</v>
      </c>
      <c r="Z225" s="282"/>
      <c r="AA225" s="280">
        <v>0</v>
      </c>
      <c r="AB225" s="281">
        <v>2.12</v>
      </c>
      <c r="AC225" s="280">
        <v>1.621</v>
      </c>
      <c r="AD225" s="294">
        <v>0</v>
      </c>
      <c r="AE225" s="281">
        <v>0.49</v>
      </c>
      <c r="AF225" s="288">
        <v>0.16800000000000001</v>
      </c>
      <c r="AG225" s="303">
        <v>0</v>
      </c>
      <c r="AH225" s="356">
        <v>0</v>
      </c>
      <c r="AI225" s="301">
        <f t="shared" si="13"/>
        <v>0.43449999999999989</v>
      </c>
      <c r="AJ225" s="187"/>
      <c r="AK225" s="437" t="s">
        <v>50</v>
      </c>
      <c r="AL225" s="427"/>
      <c r="AM225" s="428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</row>
    <row r="226" spans="1:248" ht="45" customHeight="1" thickBot="1" x14ac:dyDescent="0.3">
      <c r="A226" s="444">
        <v>8710</v>
      </c>
      <c r="B226" s="445" t="s">
        <v>84</v>
      </c>
      <c r="C226" s="455" t="s">
        <v>85</v>
      </c>
      <c r="D226" s="445"/>
      <c r="E226" s="445" t="s">
        <v>646</v>
      </c>
      <c r="F226" s="445" t="s">
        <v>172</v>
      </c>
      <c r="G226" s="445"/>
      <c r="H226" s="448" t="s">
        <v>55</v>
      </c>
      <c r="I226" s="451">
        <f>SUMIF('Wege im Detail'!$A:$A,"08710",'Wege im Detail'!$P:$P)</f>
        <v>11.631</v>
      </c>
      <c r="J226" s="514" t="s">
        <v>647</v>
      </c>
      <c r="L226" s="209">
        <v>61</v>
      </c>
      <c r="M226" s="197">
        <v>87</v>
      </c>
      <c r="N226" s="198">
        <v>13</v>
      </c>
      <c r="O226" s="213">
        <v>0</v>
      </c>
      <c r="P226" s="350">
        <v>0</v>
      </c>
      <c r="R226" s="275">
        <v>0</v>
      </c>
      <c r="S226" s="276">
        <v>0.217</v>
      </c>
      <c r="T226" s="277">
        <v>3.08</v>
      </c>
      <c r="U226" s="276">
        <v>1.37</v>
      </c>
      <c r="V226" s="277">
        <v>5.64</v>
      </c>
      <c r="W226" s="276">
        <v>0.97899999999999998</v>
      </c>
      <c r="X226" s="277">
        <v>0.31</v>
      </c>
      <c r="Y226" s="278">
        <f t="shared" si="14"/>
        <v>11.595999999999998</v>
      </c>
      <c r="Z226" s="279"/>
      <c r="AA226" s="280">
        <v>0</v>
      </c>
      <c r="AB226" s="281">
        <v>1.27</v>
      </c>
      <c r="AC226" s="280">
        <v>4.34</v>
      </c>
      <c r="AD226" s="294">
        <v>0.55549999999999999</v>
      </c>
      <c r="AE226" s="281">
        <v>4.72</v>
      </c>
      <c r="AF226" s="288">
        <v>1.23</v>
      </c>
      <c r="AG226" s="303">
        <v>0</v>
      </c>
      <c r="AH226" s="356">
        <v>0</v>
      </c>
      <c r="AI226" s="301">
        <f t="shared" si="13"/>
        <v>-3.5000000000001918E-2</v>
      </c>
      <c r="AK226" s="437" t="s">
        <v>50</v>
      </c>
    </row>
    <row r="227" spans="1:248" ht="45" customHeight="1" thickBot="1" x14ac:dyDescent="0.3">
      <c r="A227" s="444">
        <v>8711</v>
      </c>
      <c r="B227" s="445" t="s">
        <v>84</v>
      </c>
      <c r="C227" s="455" t="s">
        <v>85</v>
      </c>
      <c r="D227" s="445"/>
      <c r="E227" s="445" t="s">
        <v>648</v>
      </c>
      <c r="F227" s="445" t="s">
        <v>138</v>
      </c>
      <c r="G227" s="445"/>
      <c r="H227" s="448" t="s">
        <v>55</v>
      </c>
      <c r="I227" s="451">
        <f>SUMIF('Wege im Detail'!$A:$A,"08711",'Wege im Detail'!$P:$P)</f>
        <v>9.5920000000000005</v>
      </c>
      <c r="J227" s="508" t="s">
        <v>649</v>
      </c>
      <c r="L227" s="209">
        <v>32</v>
      </c>
      <c r="M227" s="197">
        <v>100</v>
      </c>
      <c r="N227" s="198">
        <v>0</v>
      </c>
      <c r="O227" s="213">
        <v>0</v>
      </c>
      <c r="P227" s="350">
        <v>0</v>
      </c>
      <c r="R227" s="275">
        <v>0</v>
      </c>
      <c r="S227" s="276">
        <v>1.85</v>
      </c>
      <c r="T227" s="277">
        <v>4.72</v>
      </c>
      <c r="U227" s="276">
        <v>0</v>
      </c>
      <c r="V227" s="277">
        <v>1.639</v>
      </c>
      <c r="W227" s="276">
        <v>1.2789999999999999</v>
      </c>
      <c r="X227" s="277">
        <v>0</v>
      </c>
      <c r="Y227" s="278">
        <f t="shared" si="14"/>
        <v>9.4879999999999995</v>
      </c>
      <c r="Z227" s="279"/>
      <c r="AA227" s="280">
        <v>0</v>
      </c>
      <c r="AB227" s="281">
        <v>1.39</v>
      </c>
      <c r="AC227" s="280">
        <v>6.27</v>
      </c>
      <c r="AD227" s="294">
        <v>0</v>
      </c>
      <c r="AE227" s="281">
        <v>1.24</v>
      </c>
      <c r="AF227" s="288">
        <v>0.109</v>
      </c>
      <c r="AG227" s="303">
        <v>0</v>
      </c>
      <c r="AH227" s="356">
        <v>0</v>
      </c>
      <c r="AI227" s="301">
        <f t="shared" si="13"/>
        <v>-0.10400000000000098</v>
      </c>
      <c r="AK227" s="437" t="s">
        <v>50</v>
      </c>
    </row>
    <row r="228" spans="1:248" ht="45" customHeight="1" thickBot="1" x14ac:dyDescent="0.3">
      <c r="A228" s="444">
        <v>8714</v>
      </c>
      <c r="B228" s="445" t="s">
        <v>84</v>
      </c>
      <c r="C228" s="455" t="s">
        <v>85</v>
      </c>
      <c r="D228" s="445"/>
      <c r="E228" s="445" t="s">
        <v>651</v>
      </c>
      <c r="F228" s="445" t="s">
        <v>142</v>
      </c>
      <c r="G228" s="445"/>
      <c r="H228" s="448" t="s">
        <v>55</v>
      </c>
      <c r="I228" s="451">
        <f>SUMIF('Wege im Detail'!$A:$A,"08714",'Wege im Detail'!$P:$P)</f>
        <v>7.9630000000000001</v>
      </c>
      <c r="J228" s="508" t="s">
        <v>652</v>
      </c>
      <c r="L228" s="209">
        <v>16</v>
      </c>
      <c r="M228" s="197">
        <v>88</v>
      </c>
      <c r="N228" s="198">
        <v>12</v>
      </c>
      <c r="O228" s="213">
        <v>0</v>
      </c>
      <c r="P228" s="350">
        <v>0</v>
      </c>
      <c r="R228" s="275">
        <v>0</v>
      </c>
      <c r="S228" s="276">
        <v>0.28799999999999998</v>
      </c>
      <c r="T228" s="277">
        <v>4.1399999999999997</v>
      </c>
      <c r="U228" s="276">
        <v>1.46</v>
      </c>
      <c r="V228" s="277">
        <v>1.286</v>
      </c>
      <c r="W228" s="276">
        <v>0.57099999999999995</v>
      </c>
      <c r="X228" s="277">
        <v>0</v>
      </c>
      <c r="Y228" s="278">
        <f t="shared" si="14"/>
        <v>7.7449999999999992</v>
      </c>
      <c r="Z228" s="279"/>
      <c r="AA228" s="280">
        <v>0</v>
      </c>
      <c r="AB228" s="281">
        <v>0</v>
      </c>
      <c r="AC228" s="280">
        <v>6.51</v>
      </c>
      <c r="AD228" s="294">
        <v>0</v>
      </c>
      <c r="AE228" s="281">
        <v>0.158</v>
      </c>
      <c r="AF228" s="288">
        <v>1.133</v>
      </c>
      <c r="AG228" s="303">
        <v>0</v>
      </c>
      <c r="AH228" s="356">
        <v>0</v>
      </c>
      <c r="AI228" s="301">
        <f t="shared" si="13"/>
        <v>-0.21800000000000086</v>
      </c>
      <c r="AK228" s="437" t="s">
        <v>50</v>
      </c>
    </row>
    <row r="229" spans="1:248" ht="45" customHeight="1" thickBot="1" x14ac:dyDescent="0.3">
      <c r="A229" s="444">
        <v>8715</v>
      </c>
      <c r="B229" s="445" t="s">
        <v>84</v>
      </c>
      <c r="C229" s="455" t="s">
        <v>85</v>
      </c>
      <c r="D229" s="479"/>
      <c r="E229" s="445" t="s">
        <v>653</v>
      </c>
      <c r="F229" s="445" t="s">
        <v>147</v>
      </c>
      <c r="G229" s="445"/>
      <c r="H229" s="448" t="s">
        <v>55</v>
      </c>
      <c r="I229" s="451">
        <f>SUMIF('Wege im Detail'!$A:$A,"08715",'Wege im Detail'!$P:$P)</f>
        <v>6.9420000000000002</v>
      </c>
      <c r="J229" s="508" t="s">
        <v>654</v>
      </c>
      <c r="L229" s="209">
        <v>36</v>
      </c>
      <c r="M229" s="197">
        <v>98</v>
      </c>
      <c r="N229" s="198">
        <v>1</v>
      </c>
      <c r="O229" s="213">
        <v>1</v>
      </c>
      <c r="P229" s="350">
        <v>0</v>
      </c>
      <c r="R229" s="275">
        <v>0</v>
      </c>
      <c r="S229" s="276">
        <v>4.12</v>
      </c>
      <c r="T229" s="277">
        <v>0</v>
      </c>
      <c r="U229" s="276">
        <v>0.38600000000000001</v>
      </c>
      <c r="V229" s="277">
        <v>1.63</v>
      </c>
      <c r="W229" s="276">
        <v>0.79300000000000004</v>
      </c>
      <c r="X229" s="277">
        <v>0</v>
      </c>
      <c r="Y229" s="278">
        <f t="shared" si="14"/>
        <v>6.9290000000000003</v>
      </c>
      <c r="Z229" s="279"/>
      <c r="AA229" s="280">
        <v>0</v>
      </c>
      <c r="AB229" s="281">
        <v>0</v>
      </c>
      <c r="AC229" s="280">
        <v>4.55</v>
      </c>
      <c r="AD229" s="294">
        <v>0</v>
      </c>
      <c r="AE229" s="281">
        <v>0.35199999999999998</v>
      </c>
      <c r="AF229" s="288">
        <v>2.0299999999999998</v>
      </c>
      <c r="AG229" s="303">
        <v>0</v>
      </c>
      <c r="AH229" s="356">
        <v>0</v>
      </c>
      <c r="AI229" s="301">
        <f t="shared" si="13"/>
        <v>-1.2999999999999901E-2</v>
      </c>
      <c r="AK229" s="437" t="s">
        <v>50</v>
      </c>
    </row>
    <row r="230" spans="1:248" ht="45" customHeight="1" thickBot="1" x14ac:dyDescent="0.3">
      <c r="A230" s="444">
        <v>8716</v>
      </c>
      <c r="B230" s="445" t="s">
        <v>84</v>
      </c>
      <c r="C230" s="455" t="s">
        <v>85</v>
      </c>
      <c r="D230" s="479"/>
      <c r="E230" s="445" t="s">
        <v>655</v>
      </c>
      <c r="F230" s="445" t="s">
        <v>138</v>
      </c>
      <c r="G230" s="445"/>
      <c r="H230" s="448" t="s">
        <v>55</v>
      </c>
      <c r="I230" s="451">
        <f>SUMIF('Wege im Detail'!$A:$A,"08716",'Wege im Detail'!$P:$P)</f>
        <v>8.7539999999999996</v>
      </c>
      <c r="J230" s="508" t="s">
        <v>657</v>
      </c>
      <c r="L230" s="209">
        <v>48</v>
      </c>
      <c r="M230" s="197">
        <v>95</v>
      </c>
      <c r="N230" s="198">
        <v>3</v>
      </c>
      <c r="O230" s="213">
        <v>2</v>
      </c>
      <c r="P230" s="350">
        <v>0</v>
      </c>
      <c r="R230" s="275">
        <v>0</v>
      </c>
      <c r="S230" s="276">
        <v>2.4500000000000002</v>
      </c>
      <c r="T230" s="277">
        <v>1.87</v>
      </c>
      <c r="U230" s="276">
        <v>0</v>
      </c>
      <c r="V230" s="277">
        <v>2.9159999999999999</v>
      </c>
      <c r="W230" s="276">
        <v>1.498</v>
      </c>
      <c r="X230" s="277">
        <v>0</v>
      </c>
      <c r="Y230" s="278">
        <f t="shared" si="14"/>
        <v>8.734</v>
      </c>
      <c r="Z230" s="279"/>
      <c r="AA230" s="280">
        <v>0</v>
      </c>
      <c r="AB230" s="281">
        <v>0.55549999999999999</v>
      </c>
      <c r="AC230" s="280">
        <v>7.141</v>
      </c>
      <c r="AD230" s="294">
        <v>0</v>
      </c>
      <c r="AE230" s="281">
        <v>0.216</v>
      </c>
      <c r="AF230" s="288">
        <v>1.28</v>
      </c>
      <c r="AG230" s="303">
        <v>0</v>
      </c>
      <c r="AH230" s="356">
        <v>0</v>
      </c>
      <c r="AI230" s="301">
        <f t="shared" si="13"/>
        <v>-1.9999999999999574E-2</v>
      </c>
      <c r="AK230" s="437" t="s">
        <v>50</v>
      </c>
    </row>
    <row r="231" spans="1:248" ht="45" customHeight="1" thickBot="1" x14ac:dyDescent="0.3">
      <c r="A231" s="444">
        <v>8717</v>
      </c>
      <c r="B231" s="445" t="s">
        <v>84</v>
      </c>
      <c r="C231" s="455" t="s">
        <v>85</v>
      </c>
      <c r="D231" s="445"/>
      <c r="E231" s="445" t="s">
        <v>658</v>
      </c>
      <c r="F231" s="445" t="s">
        <v>147</v>
      </c>
      <c r="G231" s="445"/>
      <c r="H231" s="448" t="s">
        <v>55</v>
      </c>
      <c r="I231" s="451">
        <f>SUMIF('Wege im Detail'!$A:$A,"08717",'Wege im Detail'!$P:$P)</f>
        <v>4.5129999999999999</v>
      </c>
      <c r="J231" s="508" t="s">
        <v>659</v>
      </c>
      <c r="L231" s="209">
        <v>5</v>
      </c>
      <c r="M231" s="197">
        <v>100</v>
      </c>
      <c r="N231" s="198">
        <v>0</v>
      </c>
      <c r="O231" s="213">
        <v>0</v>
      </c>
      <c r="P231" s="350">
        <v>0</v>
      </c>
      <c r="R231" s="275">
        <v>0</v>
      </c>
      <c r="S231" s="276">
        <v>0</v>
      </c>
      <c r="T231" s="277">
        <v>4.24</v>
      </c>
      <c r="U231" s="276">
        <v>0</v>
      </c>
      <c r="V231" s="277">
        <v>0.55549999999999999</v>
      </c>
      <c r="W231" s="276">
        <v>0.20100000000000001</v>
      </c>
      <c r="X231" s="277">
        <v>0</v>
      </c>
      <c r="Y231" s="278">
        <f t="shared" si="14"/>
        <v>4.9965000000000002</v>
      </c>
      <c r="Z231" s="279"/>
      <c r="AA231" s="280">
        <v>0</v>
      </c>
      <c r="AB231" s="281">
        <v>0</v>
      </c>
      <c r="AC231" s="280">
        <v>4.24</v>
      </c>
      <c r="AD231" s="294">
        <v>0</v>
      </c>
      <c r="AE231" s="281">
        <v>0.254</v>
      </c>
      <c r="AF231" s="288">
        <v>0</v>
      </c>
      <c r="AG231" s="303">
        <v>0</v>
      </c>
      <c r="AH231" s="356">
        <v>0</v>
      </c>
      <c r="AI231" s="301">
        <f t="shared" si="13"/>
        <v>0.48350000000000026</v>
      </c>
      <c r="AK231" s="437" t="s">
        <v>50</v>
      </c>
    </row>
    <row r="232" spans="1:248" s="35" customFormat="1" ht="45" customHeight="1" thickBot="1" x14ac:dyDescent="0.3">
      <c r="A232" s="444">
        <v>8718</v>
      </c>
      <c r="B232" s="445" t="s">
        <v>84</v>
      </c>
      <c r="C232" s="455" t="s">
        <v>85</v>
      </c>
      <c r="D232" s="445"/>
      <c r="E232" s="445" t="s">
        <v>660</v>
      </c>
      <c r="F232" s="445" t="s">
        <v>133</v>
      </c>
      <c r="G232" s="445"/>
      <c r="H232" s="448" t="s">
        <v>55</v>
      </c>
      <c r="I232" s="451">
        <f>SUMIF('Wege im Detail'!$A:$A,"08718",'Wege im Detail'!$P:$P)</f>
        <v>6.5709999999999997</v>
      </c>
      <c r="J232" s="508" t="s">
        <v>661</v>
      </c>
      <c r="K232" s="237"/>
      <c r="L232" s="209">
        <v>3</v>
      </c>
      <c r="M232" s="197">
        <v>99</v>
      </c>
      <c r="N232" s="198">
        <v>0</v>
      </c>
      <c r="O232" s="213">
        <v>1</v>
      </c>
      <c r="P232" s="350">
        <v>0</v>
      </c>
      <c r="Q232" s="226"/>
      <c r="R232" s="275">
        <v>0</v>
      </c>
      <c r="S232" s="276">
        <v>0.14899999999999999</v>
      </c>
      <c r="T232" s="277">
        <v>6.14</v>
      </c>
      <c r="U232" s="276">
        <v>0</v>
      </c>
      <c r="V232" s="277">
        <v>0.55549999999999999</v>
      </c>
      <c r="W232" s="276">
        <v>0.55549999999999999</v>
      </c>
      <c r="X232" s="277">
        <v>0</v>
      </c>
      <c r="Y232" s="278">
        <f t="shared" si="14"/>
        <v>7.4</v>
      </c>
      <c r="Z232" s="279"/>
      <c r="AA232" s="280">
        <v>0</v>
      </c>
      <c r="AB232" s="281">
        <v>0.14899999999999999</v>
      </c>
      <c r="AC232" s="280">
        <v>6.14</v>
      </c>
      <c r="AD232" s="294">
        <v>0</v>
      </c>
      <c r="AE232" s="281">
        <v>0</v>
      </c>
      <c r="AF232" s="288">
        <v>0.16300000000000001</v>
      </c>
      <c r="AG232" s="303">
        <v>0</v>
      </c>
      <c r="AH232" s="356">
        <v>0</v>
      </c>
      <c r="AI232" s="301">
        <f t="shared" si="13"/>
        <v>0.82900000000000063</v>
      </c>
      <c r="AJ232" s="401"/>
      <c r="AK232" s="437" t="s">
        <v>50</v>
      </c>
      <c r="AL232" s="425"/>
      <c r="AM232" s="426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</row>
    <row r="233" spans="1:248" ht="45" customHeight="1" thickBot="1" x14ac:dyDescent="0.3">
      <c r="A233" s="444">
        <v>8719</v>
      </c>
      <c r="B233" s="445" t="s">
        <v>84</v>
      </c>
      <c r="C233" s="455" t="s">
        <v>85</v>
      </c>
      <c r="D233" s="479"/>
      <c r="E233" s="445" t="s">
        <v>662</v>
      </c>
      <c r="F233" s="448" t="s">
        <v>88</v>
      </c>
      <c r="G233" s="448"/>
      <c r="H233" s="448" t="s">
        <v>55</v>
      </c>
      <c r="I233" s="451">
        <f>SUMIF('Wege im Detail'!$A:$A,"08719",'Wege im Detail'!$P:$P)</f>
        <v>6.6539999999999999</v>
      </c>
      <c r="J233" s="508" t="s">
        <v>663</v>
      </c>
      <c r="L233" s="209">
        <v>33</v>
      </c>
      <c r="M233" s="197">
        <v>96</v>
      </c>
      <c r="N233" s="198">
        <v>0</v>
      </c>
      <c r="O233" s="213">
        <v>4</v>
      </c>
      <c r="P233" s="350">
        <v>0</v>
      </c>
      <c r="R233" s="275">
        <v>0</v>
      </c>
      <c r="S233" s="276">
        <v>0.46500000000000002</v>
      </c>
      <c r="T233" s="277">
        <v>3.71</v>
      </c>
      <c r="U233" s="276">
        <v>0.27800000000000002</v>
      </c>
      <c r="V233" s="277">
        <v>1.92</v>
      </c>
      <c r="W233" s="276">
        <v>0.254</v>
      </c>
      <c r="X233" s="277">
        <v>0</v>
      </c>
      <c r="Y233" s="278">
        <f t="shared" si="14"/>
        <v>6.6269999999999989</v>
      </c>
      <c r="Z233" s="279"/>
      <c r="AA233" s="280">
        <v>0</v>
      </c>
      <c r="AB233" s="281">
        <v>0.46500000000000002</v>
      </c>
      <c r="AC233" s="280">
        <v>4.21</v>
      </c>
      <c r="AD233" s="294">
        <v>0</v>
      </c>
      <c r="AE233" s="281">
        <v>0</v>
      </c>
      <c r="AF233" s="288">
        <v>1.95</v>
      </c>
      <c r="AG233" s="303">
        <v>0</v>
      </c>
      <c r="AH233" s="356">
        <v>0</v>
      </c>
      <c r="AI233" s="301">
        <f t="shared" si="13"/>
        <v>-2.7000000000001023E-2</v>
      </c>
      <c r="AK233" s="437" t="s">
        <v>50</v>
      </c>
    </row>
    <row r="234" spans="1:248" ht="45" customHeight="1" thickBot="1" x14ac:dyDescent="0.3">
      <c r="A234" s="444">
        <v>8720</v>
      </c>
      <c r="B234" s="445" t="s">
        <v>84</v>
      </c>
      <c r="C234" s="455" t="s">
        <v>85</v>
      </c>
      <c r="D234" s="479"/>
      <c r="E234" s="445" t="s">
        <v>664</v>
      </c>
      <c r="F234" s="448" t="s">
        <v>163</v>
      </c>
      <c r="G234" s="448"/>
      <c r="H234" s="448" t="s">
        <v>55</v>
      </c>
      <c r="I234" s="451">
        <f>SUMIF('Wege im Detail'!$A:$A,"08720",'Wege im Detail'!$P:$P)</f>
        <v>7.4489999999999998</v>
      </c>
      <c r="J234" s="508" t="s">
        <v>665</v>
      </c>
      <c r="L234" s="209">
        <v>17</v>
      </c>
      <c r="M234" s="197">
        <v>100</v>
      </c>
      <c r="N234" s="198">
        <v>0</v>
      </c>
      <c r="O234" s="213">
        <v>0</v>
      </c>
      <c r="P234" s="350">
        <v>0</v>
      </c>
      <c r="R234" s="275">
        <v>0</v>
      </c>
      <c r="S234" s="276">
        <v>0.193</v>
      </c>
      <c r="T234" s="277">
        <v>5.72</v>
      </c>
      <c r="U234" s="276">
        <v>0.27800000000000002</v>
      </c>
      <c r="V234" s="277">
        <v>0.91400000000000003</v>
      </c>
      <c r="W234" s="276">
        <v>0.26100000000000001</v>
      </c>
      <c r="X234" s="277">
        <v>0</v>
      </c>
      <c r="Y234" s="278">
        <f t="shared" si="14"/>
        <v>7.3659999999999988</v>
      </c>
      <c r="Z234" s="279"/>
      <c r="AA234" s="280">
        <v>0.128</v>
      </c>
      <c r="AB234" s="281">
        <v>0.20399999999999999</v>
      </c>
      <c r="AC234" s="280">
        <v>5.7</v>
      </c>
      <c r="AD234" s="294">
        <v>0.159</v>
      </c>
      <c r="AE234" s="281">
        <v>0.55549999999999999</v>
      </c>
      <c r="AF234" s="288">
        <v>1.175</v>
      </c>
      <c r="AG234" s="303">
        <v>0</v>
      </c>
      <c r="AH234" s="356">
        <v>0</v>
      </c>
      <c r="AI234" s="301">
        <f t="shared" si="13"/>
        <v>-8.3000000000001073E-2</v>
      </c>
      <c r="AK234" s="437" t="s">
        <v>50</v>
      </c>
    </row>
    <row r="235" spans="1:248" ht="45" customHeight="1" thickBot="1" x14ac:dyDescent="0.3">
      <c r="A235" s="444">
        <v>8721</v>
      </c>
      <c r="B235" s="445" t="s">
        <v>84</v>
      </c>
      <c r="C235" s="455" t="s">
        <v>85</v>
      </c>
      <c r="D235" s="445"/>
      <c r="E235" s="445" t="s">
        <v>667</v>
      </c>
      <c r="F235" s="445" t="s">
        <v>168</v>
      </c>
      <c r="G235" s="445"/>
      <c r="H235" s="448" t="s">
        <v>55</v>
      </c>
      <c r="I235" s="451">
        <f>SUMIF('Wege im Detail'!$A:$A,"08721",'Wege im Detail'!$P:$P)</f>
        <v>1.599</v>
      </c>
      <c r="J235" s="508" t="s">
        <v>668</v>
      </c>
      <c r="L235" s="209">
        <v>0</v>
      </c>
      <c r="M235" s="197">
        <v>100</v>
      </c>
      <c r="N235" s="198">
        <v>0</v>
      </c>
      <c r="O235" s="213">
        <v>0</v>
      </c>
      <c r="P235" s="350">
        <v>0</v>
      </c>
      <c r="R235" s="275">
        <v>0</v>
      </c>
      <c r="S235" s="276">
        <v>0.57399999999999995</v>
      </c>
      <c r="T235" s="277">
        <v>0.95899999999999996</v>
      </c>
      <c r="U235" s="276">
        <v>0</v>
      </c>
      <c r="V235" s="277">
        <v>0</v>
      </c>
      <c r="W235" s="276">
        <v>0</v>
      </c>
      <c r="X235" s="277">
        <v>0</v>
      </c>
      <c r="Y235" s="278">
        <f t="shared" si="14"/>
        <v>1.5329999999999999</v>
      </c>
      <c r="Z235" s="279"/>
      <c r="AA235" s="280">
        <v>0</v>
      </c>
      <c r="AB235" s="281">
        <v>0.57399999999999995</v>
      </c>
      <c r="AC235" s="280">
        <v>0.95899999999999996</v>
      </c>
      <c r="AD235" s="294">
        <v>0</v>
      </c>
      <c r="AE235" s="281">
        <v>0</v>
      </c>
      <c r="AF235" s="288">
        <v>0</v>
      </c>
      <c r="AG235" s="303">
        <v>0</v>
      </c>
      <c r="AH235" s="356">
        <v>0</v>
      </c>
      <c r="AI235" s="301">
        <f t="shared" si="13"/>
        <v>-6.6000000000000059E-2</v>
      </c>
      <c r="AK235" s="437" t="s">
        <v>50</v>
      </c>
    </row>
    <row r="236" spans="1:248" ht="45" customHeight="1" thickBot="1" x14ac:dyDescent="0.3">
      <c r="A236" s="444">
        <v>8722</v>
      </c>
      <c r="B236" s="445" t="s">
        <v>84</v>
      </c>
      <c r="C236" s="455" t="s">
        <v>85</v>
      </c>
      <c r="D236" s="479"/>
      <c r="E236" s="445" t="s">
        <v>669</v>
      </c>
      <c r="F236" s="448" t="s">
        <v>133</v>
      </c>
      <c r="G236" s="448"/>
      <c r="H236" s="448" t="s">
        <v>55</v>
      </c>
      <c r="I236" s="451">
        <f>SUMIF('Wege im Detail'!$A:$A,"08722",'Wege im Detail'!$P:$P)</f>
        <v>9.9819999999999993</v>
      </c>
      <c r="J236" s="514" t="s">
        <v>670</v>
      </c>
      <c r="L236" s="209">
        <v>20</v>
      </c>
      <c r="M236" s="197">
        <v>88</v>
      </c>
      <c r="N236" s="198">
        <v>12</v>
      </c>
      <c r="O236" s="213">
        <v>0</v>
      </c>
      <c r="P236" s="350">
        <v>0</v>
      </c>
      <c r="R236" s="275">
        <v>0</v>
      </c>
      <c r="S236" s="276">
        <v>0.73499999999999999</v>
      </c>
      <c r="T236" s="277">
        <v>3.75</v>
      </c>
      <c r="U236" s="276">
        <v>3.37</v>
      </c>
      <c r="V236" s="277">
        <v>0</v>
      </c>
      <c r="W236" s="276">
        <v>1.994</v>
      </c>
      <c r="X236" s="277">
        <v>0</v>
      </c>
      <c r="Y236" s="278">
        <f t="shared" si="14"/>
        <v>9.8490000000000002</v>
      </c>
      <c r="Z236" s="279"/>
      <c r="AA236" s="280">
        <v>0</v>
      </c>
      <c r="AB236" s="281">
        <v>0.73499999999999999</v>
      </c>
      <c r="AC236" s="280">
        <v>7.15</v>
      </c>
      <c r="AD236" s="294">
        <v>0.55549999999999999</v>
      </c>
      <c r="AE236" s="281">
        <v>0.55549999999999999</v>
      </c>
      <c r="AF236" s="288">
        <v>1.931</v>
      </c>
      <c r="AG236" s="303">
        <v>0</v>
      </c>
      <c r="AH236" s="356">
        <v>0</v>
      </c>
      <c r="AI236" s="301">
        <f t="shared" si="13"/>
        <v>-0.13299999999999912</v>
      </c>
      <c r="AK236" s="437" t="s">
        <v>50</v>
      </c>
    </row>
    <row r="237" spans="1:248" ht="45" customHeight="1" thickBot="1" x14ac:dyDescent="0.3">
      <c r="A237" s="444">
        <v>8723</v>
      </c>
      <c r="B237" s="445" t="s">
        <v>84</v>
      </c>
      <c r="C237" s="455" t="s">
        <v>85</v>
      </c>
      <c r="D237" s="445"/>
      <c r="E237" s="445" t="s">
        <v>671</v>
      </c>
      <c r="F237" s="445" t="s">
        <v>142</v>
      </c>
      <c r="G237" s="445"/>
      <c r="H237" s="448" t="s">
        <v>55</v>
      </c>
      <c r="I237" s="451">
        <f>SUMIF('Wege im Detail'!$A:$A,"08723",'Wege im Detail'!$P:$P)</f>
        <v>7.68</v>
      </c>
      <c r="J237" s="514" t="s">
        <v>672</v>
      </c>
      <c r="L237" s="209">
        <v>28</v>
      </c>
      <c r="M237" s="197">
        <v>98</v>
      </c>
      <c r="N237" s="198">
        <v>2</v>
      </c>
      <c r="O237" s="213">
        <v>0</v>
      </c>
      <c r="P237" s="350">
        <v>0</v>
      </c>
      <c r="R237" s="275">
        <v>0</v>
      </c>
      <c r="S237" s="276">
        <v>0</v>
      </c>
      <c r="T237" s="277">
        <v>5.49</v>
      </c>
      <c r="U237" s="276">
        <v>0</v>
      </c>
      <c r="V237" s="277">
        <v>1.47</v>
      </c>
      <c r="W237" s="276">
        <v>0.64200000000000002</v>
      </c>
      <c r="X237" s="277">
        <v>0.55549999999999999</v>
      </c>
      <c r="Y237" s="278">
        <f t="shared" si="14"/>
        <v>8.1575000000000006</v>
      </c>
      <c r="Z237" s="279"/>
      <c r="AA237" s="280">
        <v>0</v>
      </c>
      <c r="AB237" s="281">
        <v>0.621</v>
      </c>
      <c r="AC237" s="280">
        <v>4.87</v>
      </c>
      <c r="AD237" s="294">
        <v>0</v>
      </c>
      <c r="AE237" s="281">
        <v>0.33300000000000002</v>
      </c>
      <c r="AF237" s="288">
        <v>1.85</v>
      </c>
      <c r="AG237" s="303">
        <v>0</v>
      </c>
      <c r="AH237" s="356">
        <v>0</v>
      </c>
      <c r="AI237" s="301">
        <f t="shared" ref="AI237:AI265" si="15">Y237-I237</f>
        <v>0.47750000000000092</v>
      </c>
      <c r="AK237" s="437" t="s">
        <v>158</v>
      </c>
    </row>
    <row r="238" spans="1:248" ht="45" customHeight="1" thickBot="1" x14ac:dyDescent="0.3">
      <c r="A238" s="444">
        <v>8724</v>
      </c>
      <c r="B238" s="445" t="s">
        <v>84</v>
      </c>
      <c r="C238" s="455" t="s">
        <v>85</v>
      </c>
      <c r="D238" s="445"/>
      <c r="E238" s="445" t="s">
        <v>673</v>
      </c>
      <c r="F238" s="445" t="s">
        <v>147</v>
      </c>
      <c r="G238" s="445"/>
      <c r="H238" s="448" t="s">
        <v>55</v>
      </c>
      <c r="I238" s="451">
        <f>SUMIF('Wege im Detail'!$A:$A,"08724",'Wege im Detail'!$P:$P)</f>
        <v>9.8079999999999998</v>
      </c>
      <c r="J238" s="508" t="s">
        <v>674</v>
      </c>
      <c r="L238" s="209">
        <v>24</v>
      </c>
      <c r="M238" s="197">
        <v>92</v>
      </c>
      <c r="N238" s="198">
        <v>8</v>
      </c>
      <c r="O238" s="213">
        <v>0</v>
      </c>
      <c r="P238" s="350">
        <v>0</v>
      </c>
      <c r="R238" s="275">
        <v>0</v>
      </c>
      <c r="S238" s="276">
        <v>0.30399999999999999</v>
      </c>
      <c r="T238" s="277">
        <v>6.85</v>
      </c>
      <c r="U238" s="276">
        <v>0</v>
      </c>
      <c r="V238" s="277">
        <v>2.64</v>
      </c>
      <c r="W238" s="276">
        <v>0</v>
      </c>
      <c r="X238" s="277">
        <v>0</v>
      </c>
      <c r="Y238" s="278">
        <f t="shared" si="14"/>
        <v>9.7940000000000005</v>
      </c>
      <c r="Z238" s="279"/>
      <c r="AA238" s="280">
        <v>0</v>
      </c>
      <c r="AB238" s="281">
        <v>0.30399999999999999</v>
      </c>
      <c r="AC238" s="280">
        <v>7.01</v>
      </c>
      <c r="AD238" s="294">
        <v>0</v>
      </c>
      <c r="AE238" s="281">
        <v>0.98699999999999999</v>
      </c>
      <c r="AF238" s="288">
        <v>1.5</v>
      </c>
      <c r="AG238" s="303">
        <v>0</v>
      </c>
      <c r="AH238" s="356">
        <v>0</v>
      </c>
      <c r="AI238" s="301">
        <f t="shared" si="15"/>
        <v>-1.3999999999999346E-2</v>
      </c>
      <c r="AK238" s="437" t="s">
        <v>50</v>
      </c>
    </row>
    <row r="239" spans="1:248" ht="45" customHeight="1" thickBot="1" x14ac:dyDescent="0.3">
      <c r="A239" s="444">
        <v>8725</v>
      </c>
      <c r="B239" s="445" t="s">
        <v>84</v>
      </c>
      <c r="C239" s="455" t="s">
        <v>85</v>
      </c>
      <c r="D239" s="445"/>
      <c r="E239" s="445" t="s">
        <v>675</v>
      </c>
      <c r="F239" s="445" t="s">
        <v>133</v>
      </c>
      <c r="G239" s="445"/>
      <c r="H239" s="448" t="s">
        <v>55</v>
      </c>
      <c r="I239" s="451">
        <f>SUMIF('Wege im Detail'!$A:$A,"08725",'Wege im Detail'!$P:$P)</f>
        <v>10.605</v>
      </c>
      <c r="J239" s="514" t="s">
        <v>676</v>
      </c>
      <c r="L239" s="209">
        <v>16</v>
      </c>
      <c r="M239" s="197">
        <v>95</v>
      </c>
      <c r="N239" s="198">
        <v>5</v>
      </c>
      <c r="O239" s="213">
        <v>0</v>
      </c>
      <c r="P239" s="350">
        <v>0</v>
      </c>
      <c r="R239" s="275">
        <v>0</v>
      </c>
      <c r="S239" s="276">
        <v>0.30399999999999999</v>
      </c>
      <c r="T239" s="277">
        <v>9.07</v>
      </c>
      <c r="U239" s="276">
        <v>0</v>
      </c>
      <c r="V239" s="277">
        <v>1.72</v>
      </c>
      <c r="W239" s="276">
        <v>0</v>
      </c>
      <c r="X239" s="277">
        <v>0.55549999999999999</v>
      </c>
      <c r="Y239" s="278">
        <f t="shared" si="14"/>
        <v>11.649500000000002</v>
      </c>
      <c r="Z239" s="279"/>
      <c r="AA239" s="280">
        <v>0</v>
      </c>
      <c r="AB239" s="281">
        <v>0.755</v>
      </c>
      <c r="AC239" s="280">
        <v>8.6199999999999992</v>
      </c>
      <c r="AD239" s="294">
        <v>0</v>
      </c>
      <c r="AE239" s="281">
        <v>0.20899999999999999</v>
      </c>
      <c r="AF239" s="288">
        <v>1.58</v>
      </c>
      <c r="AG239" s="303">
        <v>0</v>
      </c>
      <c r="AH239" s="356">
        <v>0</v>
      </c>
      <c r="AI239" s="301">
        <f t="shared" si="15"/>
        <v>1.0445000000000011</v>
      </c>
      <c r="AK239" s="437" t="s">
        <v>50</v>
      </c>
    </row>
    <row r="240" spans="1:248" ht="45" customHeight="1" thickBot="1" x14ac:dyDescent="0.25">
      <c r="A240" s="444">
        <v>8726</v>
      </c>
      <c r="B240" s="445" t="s">
        <v>84</v>
      </c>
      <c r="C240" s="455" t="s">
        <v>85</v>
      </c>
      <c r="D240" s="479"/>
      <c r="E240" s="445" t="s">
        <v>677</v>
      </c>
      <c r="F240" s="445" t="s">
        <v>133</v>
      </c>
      <c r="G240" s="445"/>
      <c r="H240" s="448" t="s">
        <v>55</v>
      </c>
      <c r="I240" s="451">
        <f>SUMIF('Wege im Detail'!$A:$A,"08726",'Wege im Detail'!$P:$P)</f>
        <v>8.5640000000000001</v>
      </c>
      <c r="J240" s="508" t="s">
        <v>678</v>
      </c>
      <c r="L240" s="209">
        <v>61</v>
      </c>
      <c r="M240" s="197">
        <v>94</v>
      </c>
      <c r="N240" s="198">
        <v>6</v>
      </c>
      <c r="O240" s="213">
        <v>1</v>
      </c>
      <c r="P240" s="350">
        <v>0</v>
      </c>
      <c r="R240" s="275">
        <v>0</v>
      </c>
      <c r="S240" s="276">
        <v>2.76</v>
      </c>
      <c r="T240" s="277">
        <v>0</v>
      </c>
      <c r="U240" s="276">
        <v>0.24099999999999999</v>
      </c>
      <c r="V240" s="277">
        <v>2.27</v>
      </c>
      <c r="W240" s="276">
        <v>2.91</v>
      </c>
      <c r="X240" s="277">
        <v>0.377</v>
      </c>
      <c r="Y240" s="278">
        <f t="shared" si="14"/>
        <v>8.5580000000000016</v>
      </c>
      <c r="Z240" s="282"/>
      <c r="AA240" s="280">
        <v>0</v>
      </c>
      <c r="AB240" s="281">
        <v>0</v>
      </c>
      <c r="AC240" s="280">
        <v>4.99</v>
      </c>
      <c r="AD240" s="294">
        <v>0</v>
      </c>
      <c r="AE240" s="281">
        <v>1.1599999999999999</v>
      </c>
      <c r="AF240" s="288">
        <v>2.04</v>
      </c>
      <c r="AG240" s="303">
        <v>0</v>
      </c>
      <c r="AH240" s="356">
        <v>0.377</v>
      </c>
      <c r="AI240" s="301">
        <f t="shared" si="15"/>
        <v>-5.999999999998451E-3</v>
      </c>
      <c r="AJ240" s="187"/>
      <c r="AK240" s="437" t="s">
        <v>50</v>
      </c>
      <c r="AL240" s="427"/>
      <c r="AM240" s="428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</row>
    <row r="241" spans="1:248" ht="45" customHeight="1" thickBot="1" x14ac:dyDescent="0.3">
      <c r="A241" s="444">
        <v>8727</v>
      </c>
      <c r="B241" s="445" t="s">
        <v>84</v>
      </c>
      <c r="C241" s="455" t="s">
        <v>85</v>
      </c>
      <c r="D241" s="479"/>
      <c r="E241" s="445" t="s">
        <v>679</v>
      </c>
      <c r="F241" s="445" t="s">
        <v>147</v>
      </c>
      <c r="G241" s="445"/>
      <c r="H241" s="448" t="s">
        <v>55</v>
      </c>
      <c r="I241" s="451">
        <f>SUMIF('Wege im Detail'!$A:$A,"08727",'Wege im Detail'!$P:$P)</f>
        <v>9.0220000000000002</v>
      </c>
      <c r="J241" s="508" t="s">
        <v>680</v>
      </c>
      <c r="L241" s="209">
        <v>57</v>
      </c>
      <c r="M241" s="197">
        <v>81</v>
      </c>
      <c r="N241" s="198">
        <v>19</v>
      </c>
      <c r="O241" s="213">
        <v>0</v>
      </c>
      <c r="P241" s="350">
        <v>0</v>
      </c>
      <c r="R241" s="275">
        <v>0</v>
      </c>
      <c r="S241" s="276">
        <v>3.15</v>
      </c>
      <c r="T241" s="277">
        <v>0.53600000000000003</v>
      </c>
      <c r="U241" s="276">
        <v>0.70299999999999996</v>
      </c>
      <c r="V241" s="277">
        <v>4.2300000000000004</v>
      </c>
      <c r="W241" s="276">
        <v>0.36399999999999999</v>
      </c>
      <c r="X241" s="277">
        <v>0</v>
      </c>
      <c r="Y241" s="278">
        <f t="shared" si="14"/>
        <v>8.9830000000000005</v>
      </c>
      <c r="Z241" s="279"/>
      <c r="AA241" s="280">
        <v>0</v>
      </c>
      <c r="AB241" s="281">
        <v>0</v>
      </c>
      <c r="AC241" s="280">
        <v>5.0599999999999996</v>
      </c>
      <c r="AD241" s="294">
        <v>0.55549999999999999</v>
      </c>
      <c r="AE241" s="281">
        <v>0.59599999999999997</v>
      </c>
      <c r="AF241" s="288">
        <v>3.25</v>
      </c>
      <c r="AG241" s="303">
        <v>0</v>
      </c>
      <c r="AH241" s="356">
        <v>0</v>
      </c>
      <c r="AI241" s="301">
        <f t="shared" si="15"/>
        <v>-3.8999999999999702E-2</v>
      </c>
      <c r="AK241" s="437" t="s">
        <v>158</v>
      </c>
    </row>
    <row r="242" spans="1:248" ht="45" customHeight="1" thickBot="1" x14ac:dyDescent="0.3">
      <c r="A242" s="438">
        <v>8728</v>
      </c>
      <c r="B242" s="445" t="s">
        <v>84</v>
      </c>
      <c r="C242" s="455" t="s">
        <v>85</v>
      </c>
      <c r="D242" s="479"/>
      <c r="E242" s="445" t="s">
        <v>681</v>
      </c>
      <c r="F242" s="445" t="s">
        <v>142</v>
      </c>
      <c r="G242" s="445"/>
      <c r="H242" s="448" t="s">
        <v>55</v>
      </c>
      <c r="I242" s="451">
        <f>SUMIF('Wege im Detail'!$A:$A,"08728",'Wege im Detail'!$P:$P)</f>
        <v>5.94</v>
      </c>
      <c r="J242" s="508" t="s">
        <v>682</v>
      </c>
      <c r="L242" s="209">
        <v>61</v>
      </c>
      <c r="M242" s="197">
        <v>98</v>
      </c>
      <c r="N242" s="198">
        <v>1</v>
      </c>
      <c r="O242" s="213">
        <v>1</v>
      </c>
      <c r="P242" s="350">
        <v>0</v>
      </c>
      <c r="R242" s="275">
        <v>0</v>
      </c>
      <c r="S242" s="276">
        <v>1.99</v>
      </c>
      <c r="T242" s="277">
        <v>0.63100000000000001</v>
      </c>
      <c r="U242" s="276">
        <v>0</v>
      </c>
      <c r="V242" s="277">
        <v>2.6269999999999998</v>
      </c>
      <c r="W242" s="276">
        <v>0.42599999999999999</v>
      </c>
      <c r="X242" s="277">
        <v>0.28100000000000003</v>
      </c>
      <c r="Y242" s="278">
        <f t="shared" si="14"/>
        <v>5.9549999999999992</v>
      </c>
      <c r="Z242" s="279"/>
      <c r="AA242" s="280">
        <v>0</v>
      </c>
      <c r="AB242" s="281">
        <v>0</v>
      </c>
      <c r="AC242" s="280">
        <v>4.55</v>
      </c>
      <c r="AD242" s="294">
        <v>0</v>
      </c>
      <c r="AE242" s="281">
        <v>0.84899999999999998</v>
      </c>
      <c r="AF242" s="288">
        <v>0.55800000000000005</v>
      </c>
      <c r="AG242" s="303">
        <v>0</v>
      </c>
      <c r="AH242" s="356">
        <v>0</v>
      </c>
      <c r="AI242" s="301">
        <f t="shared" si="15"/>
        <v>1.4999999999998792E-2</v>
      </c>
      <c r="AK242" s="437" t="s">
        <v>158</v>
      </c>
    </row>
    <row r="243" spans="1:248" ht="45" customHeight="1" thickBot="1" x14ac:dyDescent="0.3">
      <c r="A243" s="444">
        <v>8729</v>
      </c>
      <c r="B243" s="445" t="s">
        <v>84</v>
      </c>
      <c r="C243" s="455" t="s">
        <v>85</v>
      </c>
      <c r="D243" s="479"/>
      <c r="E243" s="445" t="s">
        <v>684</v>
      </c>
      <c r="F243" s="448"/>
      <c r="G243" s="448"/>
      <c r="H243" s="448" t="s">
        <v>55</v>
      </c>
      <c r="I243" s="451">
        <f>SUMIF('Wege im Detail'!$A:$A,"08729",'Wege im Detail'!$P:$P)</f>
        <v>9.6199999999999992</v>
      </c>
      <c r="J243" s="508" t="s">
        <v>685</v>
      </c>
      <c r="L243" s="209">
        <v>57</v>
      </c>
      <c r="M243" s="197">
        <v>83</v>
      </c>
      <c r="N243" s="198">
        <v>15</v>
      </c>
      <c r="O243" s="213">
        <v>1</v>
      </c>
      <c r="P243" s="350">
        <v>1</v>
      </c>
      <c r="R243" s="275">
        <v>0</v>
      </c>
      <c r="S243" s="276">
        <v>0.14599999999999999</v>
      </c>
      <c r="T243" s="277">
        <v>2.46</v>
      </c>
      <c r="U243" s="276">
        <v>0.88200000000000001</v>
      </c>
      <c r="V243" s="277">
        <v>3.0649999999999999</v>
      </c>
      <c r="W243" s="276">
        <v>2.0209999999999999</v>
      </c>
      <c r="X243" s="277">
        <v>0.97099999999999997</v>
      </c>
      <c r="Y243" s="278">
        <f t="shared" si="14"/>
        <v>9.5449999999999999</v>
      </c>
      <c r="Z243" s="279"/>
      <c r="AA243" s="280">
        <v>0</v>
      </c>
      <c r="AB243" s="281">
        <v>0.24</v>
      </c>
      <c r="AC243" s="280">
        <v>3.76</v>
      </c>
      <c r="AD243" s="294">
        <v>0</v>
      </c>
      <c r="AE243" s="281">
        <v>2.1720000000000002</v>
      </c>
      <c r="AF243" s="288">
        <v>2.56</v>
      </c>
      <c r="AG243" s="303">
        <v>0</v>
      </c>
      <c r="AH243" s="356">
        <v>0.78</v>
      </c>
      <c r="AI243" s="301">
        <f t="shared" si="15"/>
        <v>-7.4999999999999289E-2</v>
      </c>
      <c r="AK243" s="437" t="s">
        <v>50</v>
      </c>
    </row>
    <row r="244" spans="1:248" ht="45" customHeight="1" thickBot="1" x14ac:dyDescent="0.3">
      <c r="A244" s="444">
        <v>8731</v>
      </c>
      <c r="B244" s="445" t="s">
        <v>84</v>
      </c>
      <c r="C244" s="455" t="s">
        <v>85</v>
      </c>
      <c r="D244" s="445"/>
      <c r="E244" s="445" t="s">
        <v>686</v>
      </c>
      <c r="F244" s="445" t="s">
        <v>147</v>
      </c>
      <c r="G244" s="445"/>
      <c r="H244" s="448" t="s">
        <v>55</v>
      </c>
      <c r="I244" s="451">
        <f>SUMIF('Wege im Detail'!$A:$A,"08731",'Wege im Detail'!$P:$P)</f>
        <v>9.6210000000000004</v>
      </c>
      <c r="J244" s="508" t="s">
        <v>687</v>
      </c>
      <c r="L244" s="209">
        <v>34</v>
      </c>
      <c r="M244" s="197">
        <v>89</v>
      </c>
      <c r="N244" s="198">
        <v>5</v>
      </c>
      <c r="O244" s="213">
        <v>6</v>
      </c>
      <c r="P244" s="350">
        <v>0</v>
      </c>
      <c r="R244" s="275">
        <v>0</v>
      </c>
      <c r="S244" s="276">
        <v>0</v>
      </c>
      <c r="T244" s="277">
        <v>6.5</v>
      </c>
      <c r="U244" s="276">
        <v>0</v>
      </c>
      <c r="V244" s="277">
        <v>1.5</v>
      </c>
      <c r="W244" s="276">
        <v>1.4990000000000001</v>
      </c>
      <c r="X244" s="277">
        <v>0.13900000000000001</v>
      </c>
      <c r="Y244" s="278">
        <f t="shared" si="14"/>
        <v>9.6379999999999999</v>
      </c>
      <c r="Z244" s="279"/>
      <c r="AA244" s="280">
        <v>0</v>
      </c>
      <c r="AB244" s="281">
        <v>1.1499999999999999</v>
      </c>
      <c r="AC244" s="280">
        <v>5.47</v>
      </c>
      <c r="AD244" s="294">
        <v>0.54400000000000004</v>
      </c>
      <c r="AE244" s="281">
        <v>1.61</v>
      </c>
      <c r="AF244" s="288">
        <v>0.82399999999999995</v>
      </c>
      <c r="AG244" s="303">
        <v>0</v>
      </c>
      <c r="AH244" s="356">
        <v>0</v>
      </c>
      <c r="AI244" s="301">
        <f t="shared" si="15"/>
        <v>1.699999999999946E-2</v>
      </c>
      <c r="AK244" s="437" t="s">
        <v>50</v>
      </c>
    </row>
    <row r="245" spans="1:248" ht="45" customHeight="1" thickBot="1" x14ac:dyDescent="0.3">
      <c r="A245" s="444">
        <v>8734</v>
      </c>
      <c r="B245" s="445" t="s">
        <v>84</v>
      </c>
      <c r="C245" s="455" t="s">
        <v>85</v>
      </c>
      <c r="D245" s="511"/>
      <c r="E245" s="445" t="s">
        <v>688</v>
      </c>
      <c r="F245" s="445" t="s">
        <v>88</v>
      </c>
      <c r="G245" s="445"/>
      <c r="H245" s="448" t="s">
        <v>55</v>
      </c>
      <c r="I245" s="451">
        <f>SUMIF('Wege im Detail'!$A:$A,"08734",'Wege im Detail'!$P:$P)</f>
        <v>3.177</v>
      </c>
      <c r="J245" s="508" t="s">
        <v>689</v>
      </c>
      <c r="L245" s="209">
        <v>19</v>
      </c>
      <c r="M245" s="197">
        <v>100</v>
      </c>
      <c r="N245" s="198">
        <v>0</v>
      </c>
      <c r="O245" s="213">
        <v>0</v>
      </c>
      <c r="P245" s="350">
        <v>0</v>
      </c>
      <c r="R245" s="275">
        <v>0</v>
      </c>
      <c r="S245" s="276">
        <v>0</v>
      </c>
      <c r="T245" s="277">
        <v>1.9</v>
      </c>
      <c r="U245" s="276">
        <v>0.55600000000000005</v>
      </c>
      <c r="V245" s="277">
        <v>0.60399999999999998</v>
      </c>
      <c r="W245" s="276">
        <v>0</v>
      </c>
      <c r="X245" s="277">
        <v>0.55549999999999999</v>
      </c>
      <c r="Y245" s="278">
        <f t="shared" si="14"/>
        <v>3.6154999999999999</v>
      </c>
      <c r="Z245" s="279"/>
      <c r="AA245" s="280">
        <v>0</v>
      </c>
      <c r="AB245" s="281">
        <v>0.45400000000000001</v>
      </c>
      <c r="AC245" s="280">
        <v>1.53</v>
      </c>
      <c r="AD245" s="294">
        <v>0</v>
      </c>
      <c r="AE245" s="281">
        <v>1.01</v>
      </c>
      <c r="AF245" s="288">
        <v>0.15</v>
      </c>
      <c r="AG245" s="303">
        <v>0</v>
      </c>
      <c r="AH245" s="356">
        <v>0</v>
      </c>
      <c r="AI245" s="301">
        <f t="shared" si="15"/>
        <v>0.43849999999999989</v>
      </c>
      <c r="AK245" s="437" t="s">
        <v>50</v>
      </c>
    </row>
    <row r="246" spans="1:248" ht="45" customHeight="1" thickBot="1" x14ac:dyDescent="0.25">
      <c r="A246" s="444">
        <v>8735</v>
      </c>
      <c r="B246" s="445" t="s">
        <v>84</v>
      </c>
      <c r="C246" s="455" t="s">
        <v>85</v>
      </c>
      <c r="D246" s="511"/>
      <c r="E246" s="445" t="s">
        <v>690</v>
      </c>
      <c r="F246" s="445" t="s">
        <v>133</v>
      </c>
      <c r="G246" s="445"/>
      <c r="H246" s="448" t="s">
        <v>55</v>
      </c>
      <c r="I246" s="451">
        <f>SUMIF('Wege im Detail'!$A:$A,"08735",'Wege im Detail'!$P:$P)</f>
        <v>5.0510000000000002</v>
      </c>
      <c r="J246" s="508" t="s">
        <v>691</v>
      </c>
      <c r="L246" s="209">
        <v>21</v>
      </c>
      <c r="M246" s="197">
        <v>100</v>
      </c>
      <c r="N246" s="198">
        <v>0</v>
      </c>
      <c r="O246" s="213">
        <v>0</v>
      </c>
      <c r="P246" s="350">
        <v>0</v>
      </c>
      <c r="R246" s="275">
        <v>0</v>
      </c>
      <c r="S246" s="276">
        <v>0</v>
      </c>
      <c r="T246" s="277">
        <v>3.19</v>
      </c>
      <c r="U246" s="276">
        <v>0.123</v>
      </c>
      <c r="V246" s="277">
        <v>1.59</v>
      </c>
      <c r="W246" s="276">
        <v>0</v>
      </c>
      <c r="X246" s="277">
        <v>0</v>
      </c>
      <c r="Y246" s="278">
        <f t="shared" si="14"/>
        <v>4.9029999999999996</v>
      </c>
      <c r="Z246" s="282"/>
      <c r="AA246" s="280">
        <v>0</v>
      </c>
      <c r="AB246" s="281">
        <v>1.67</v>
      </c>
      <c r="AC246" s="280">
        <v>1.3879999999999999</v>
      </c>
      <c r="AD246" s="294">
        <v>0.34799999999999998</v>
      </c>
      <c r="AE246" s="281">
        <v>0.55549999999999999</v>
      </c>
      <c r="AF246" s="288">
        <v>1.52</v>
      </c>
      <c r="AG246" s="303">
        <v>0</v>
      </c>
      <c r="AH246" s="356">
        <v>0</v>
      </c>
      <c r="AI246" s="301">
        <f t="shared" si="15"/>
        <v>-0.14800000000000058</v>
      </c>
      <c r="AJ246" s="187"/>
      <c r="AK246" s="437" t="s">
        <v>50</v>
      </c>
      <c r="AL246" s="427"/>
      <c r="AM246" s="428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</row>
    <row r="247" spans="1:248" ht="45" customHeight="1" thickBot="1" x14ac:dyDescent="0.3">
      <c r="A247" s="444">
        <v>8737</v>
      </c>
      <c r="B247" s="445" t="s">
        <v>84</v>
      </c>
      <c r="C247" s="455" t="s">
        <v>85</v>
      </c>
      <c r="D247" s="511"/>
      <c r="E247" s="445" t="s">
        <v>692</v>
      </c>
      <c r="F247" s="445" t="s">
        <v>142</v>
      </c>
      <c r="G247" s="445"/>
      <c r="H247" s="448" t="s">
        <v>55</v>
      </c>
      <c r="I247" s="451">
        <f>SUMIF('Wege im Detail'!$A:$A,"08737",'Wege im Detail'!$P:$P)</f>
        <v>5.048</v>
      </c>
      <c r="J247" s="508" t="s">
        <v>693</v>
      </c>
      <c r="L247" s="209">
        <v>17</v>
      </c>
      <c r="M247" s="197">
        <v>100</v>
      </c>
      <c r="N247" s="198">
        <v>0</v>
      </c>
      <c r="O247" s="213">
        <v>0</v>
      </c>
      <c r="P247" s="350">
        <v>0</v>
      </c>
      <c r="R247" s="275">
        <v>0</v>
      </c>
      <c r="S247" s="276">
        <v>0</v>
      </c>
      <c r="T247" s="277">
        <v>3.43</v>
      </c>
      <c r="U247" s="276">
        <v>0.25600000000000001</v>
      </c>
      <c r="V247" s="277">
        <v>1.32</v>
      </c>
      <c r="W247" s="276">
        <v>0</v>
      </c>
      <c r="X247" s="277">
        <v>0</v>
      </c>
      <c r="Y247" s="278">
        <f t="shared" si="14"/>
        <v>5.0060000000000002</v>
      </c>
      <c r="Z247" s="279"/>
      <c r="AA247" s="280">
        <v>0</v>
      </c>
      <c r="AB247" s="281">
        <v>0.44600000000000001</v>
      </c>
      <c r="AC247" s="280">
        <v>3.61</v>
      </c>
      <c r="AD247" s="294">
        <v>0.34799999999999998</v>
      </c>
      <c r="AE247" s="281">
        <v>0.60699999999999998</v>
      </c>
      <c r="AF247" s="288">
        <v>0</v>
      </c>
      <c r="AG247" s="303">
        <v>0</v>
      </c>
      <c r="AH247" s="356">
        <v>0</v>
      </c>
      <c r="AI247" s="301">
        <f t="shared" si="15"/>
        <v>-4.1999999999999815E-2</v>
      </c>
      <c r="AK247" s="437" t="s">
        <v>50</v>
      </c>
    </row>
    <row r="248" spans="1:248" ht="45" customHeight="1" thickBot="1" x14ac:dyDescent="0.25">
      <c r="A248" s="444">
        <v>8738</v>
      </c>
      <c r="B248" s="445" t="s">
        <v>84</v>
      </c>
      <c r="C248" s="455" t="s">
        <v>85</v>
      </c>
      <c r="D248" s="511"/>
      <c r="E248" s="445" t="s">
        <v>694</v>
      </c>
      <c r="F248" s="445" t="s">
        <v>147</v>
      </c>
      <c r="G248" s="445"/>
      <c r="H248" s="448" t="s">
        <v>55</v>
      </c>
      <c r="I248" s="451">
        <f>SUMIF('Wege im Detail'!$A:$A,"08738",'Wege im Detail'!$P:$P)</f>
        <v>5.2530000000000001</v>
      </c>
      <c r="J248" s="508" t="s">
        <v>695</v>
      </c>
      <c r="L248" s="209">
        <v>16</v>
      </c>
      <c r="M248" s="197">
        <v>100</v>
      </c>
      <c r="N248" s="198">
        <v>0</v>
      </c>
      <c r="O248" s="213">
        <v>0</v>
      </c>
      <c r="P248" s="350">
        <v>0</v>
      </c>
      <c r="R248" s="275">
        <v>0</v>
      </c>
      <c r="S248" s="276">
        <v>0</v>
      </c>
      <c r="T248" s="277">
        <v>3.7280000000000002</v>
      </c>
      <c r="U248" s="276">
        <v>0</v>
      </c>
      <c r="V248" s="277">
        <v>1.506</v>
      </c>
      <c r="W248" s="276">
        <v>0</v>
      </c>
      <c r="X248" s="277">
        <v>0</v>
      </c>
      <c r="Y248" s="278">
        <f t="shared" si="14"/>
        <v>5.234</v>
      </c>
      <c r="Z248" s="282"/>
      <c r="AA248" s="280">
        <v>0</v>
      </c>
      <c r="AB248" s="281">
        <v>0.55549999999999999</v>
      </c>
      <c r="AC248" s="280">
        <v>4.806</v>
      </c>
      <c r="AD248" s="294">
        <v>0.34799999999999998</v>
      </c>
      <c r="AE248" s="281">
        <v>0</v>
      </c>
      <c r="AF248" s="288">
        <v>0</v>
      </c>
      <c r="AG248" s="303">
        <v>0</v>
      </c>
      <c r="AH248" s="356">
        <v>0</v>
      </c>
      <c r="AI248" s="301">
        <f t="shared" si="15"/>
        <v>-1.9000000000000128E-2</v>
      </c>
      <c r="AJ248" s="187"/>
      <c r="AK248" s="437" t="s">
        <v>50</v>
      </c>
      <c r="AL248" s="427"/>
      <c r="AM248" s="428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</row>
    <row r="249" spans="1:248" ht="45" customHeight="1" thickBot="1" x14ac:dyDescent="0.25">
      <c r="A249" s="444">
        <v>8739</v>
      </c>
      <c r="B249" s="445" t="s">
        <v>84</v>
      </c>
      <c r="C249" s="455" t="s">
        <v>85</v>
      </c>
      <c r="D249" s="511"/>
      <c r="E249" s="445" t="s">
        <v>696</v>
      </c>
      <c r="F249" s="445" t="s">
        <v>138</v>
      </c>
      <c r="G249" s="445"/>
      <c r="H249" s="448" t="s">
        <v>55</v>
      </c>
      <c r="I249" s="451">
        <f>SUMIF('Wege im Detail'!$A:$A,"08739",'Wege im Detail'!$P:$P)</f>
        <v>3.8450000000000002</v>
      </c>
      <c r="J249" s="508" t="s">
        <v>697</v>
      </c>
      <c r="L249" s="209">
        <v>30</v>
      </c>
      <c r="M249" s="197">
        <v>100</v>
      </c>
      <c r="N249" s="198">
        <v>0</v>
      </c>
      <c r="O249" s="213">
        <v>0</v>
      </c>
      <c r="P249" s="350">
        <v>0</v>
      </c>
      <c r="R249" s="275">
        <v>0</v>
      </c>
      <c r="S249" s="276">
        <v>0.161</v>
      </c>
      <c r="T249" s="277">
        <v>0.46500000000000002</v>
      </c>
      <c r="U249" s="276">
        <v>1.55</v>
      </c>
      <c r="V249" s="277">
        <v>1.66</v>
      </c>
      <c r="W249" s="276">
        <v>0</v>
      </c>
      <c r="X249" s="277">
        <v>0</v>
      </c>
      <c r="Y249" s="278">
        <f t="shared" si="14"/>
        <v>3.8360000000000003</v>
      </c>
      <c r="Z249" s="282"/>
      <c r="AA249" s="280">
        <v>0</v>
      </c>
      <c r="AB249" s="281">
        <v>0.161</v>
      </c>
      <c r="AC249" s="280">
        <v>2.63</v>
      </c>
      <c r="AD249" s="294">
        <v>0</v>
      </c>
      <c r="AE249" s="281">
        <v>1.04</v>
      </c>
      <c r="AF249" s="288">
        <v>0</v>
      </c>
      <c r="AG249" s="303">
        <v>0</v>
      </c>
      <c r="AH249" s="356">
        <v>0</v>
      </c>
      <c r="AI249" s="301">
        <f t="shared" si="15"/>
        <v>-8.999999999999897E-3</v>
      </c>
      <c r="AJ249" s="187"/>
      <c r="AK249" s="437" t="s">
        <v>50</v>
      </c>
      <c r="AL249" s="427"/>
      <c r="AM249" s="428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</row>
    <row r="250" spans="1:248" ht="45" customHeight="1" thickBot="1" x14ac:dyDescent="0.3">
      <c r="A250" s="444">
        <v>8740</v>
      </c>
      <c r="B250" s="445" t="s">
        <v>84</v>
      </c>
      <c r="C250" s="455" t="s">
        <v>85</v>
      </c>
      <c r="D250" s="445"/>
      <c r="E250" s="445" t="s">
        <v>699</v>
      </c>
      <c r="F250" s="445" t="s">
        <v>147</v>
      </c>
      <c r="G250" s="445"/>
      <c r="H250" s="448" t="s">
        <v>55</v>
      </c>
      <c r="I250" s="451">
        <f>SUMIF('Wege im Detail'!$A:$A,"08740",'Wege im Detail'!$P:$P)</f>
        <v>5.33</v>
      </c>
      <c r="J250" s="508" t="s">
        <v>700</v>
      </c>
      <c r="L250" s="209">
        <v>34</v>
      </c>
      <c r="M250" s="197">
        <v>98</v>
      </c>
      <c r="N250" s="198">
        <v>2</v>
      </c>
      <c r="O250" s="213">
        <v>0</v>
      </c>
      <c r="P250" s="350">
        <v>0</v>
      </c>
      <c r="R250" s="275">
        <v>0</v>
      </c>
      <c r="S250" s="276">
        <v>0</v>
      </c>
      <c r="T250" s="277">
        <v>3.34</v>
      </c>
      <c r="U250" s="276">
        <v>0</v>
      </c>
      <c r="V250" s="277">
        <v>0</v>
      </c>
      <c r="W250" s="276">
        <v>0.60499999999999998</v>
      </c>
      <c r="X250" s="277">
        <v>0.55549999999999999</v>
      </c>
      <c r="Y250" s="278">
        <f t="shared" si="14"/>
        <v>4.5004999999999997</v>
      </c>
      <c r="Z250" s="279"/>
      <c r="AA250" s="280">
        <v>0</v>
      </c>
      <c r="AB250" s="281">
        <v>0.32700000000000001</v>
      </c>
      <c r="AC250" s="280">
        <v>3.39</v>
      </c>
      <c r="AD250" s="294">
        <v>0</v>
      </c>
      <c r="AE250" s="281">
        <v>0.17</v>
      </c>
      <c r="AF250" s="288">
        <v>1.43</v>
      </c>
      <c r="AG250" s="303">
        <v>0</v>
      </c>
      <c r="AH250" s="356">
        <v>0</v>
      </c>
      <c r="AI250" s="301">
        <f t="shared" si="15"/>
        <v>-0.82950000000000035</v>
      </c>
      <c r="AK250" s="437" t="s">
        <v>50</v>
      </c>
    </row>
    <row r="251" spans="1:248" ht="45" customHeight="1" thickBot="1" x14ac:dyDescent="0.3">
      <c r="A251" s="444">
        <v>8741</v>
      </c>
      <c r="B251" s="445" t="s">
        <v>84</v>
      </c>
      <c r="C251" s="455" t="s">
        <v>85</v>
      </c>
      <c r="D251" s="445"/>
      <c r="E251" s="445" t="s">
        <v>702</v>
      </c>
      <c r="F251" s="445" t="s">
        <v>133</v>
      </c>
      <c r="G251" s="445"/>
      <c r="H251" s="448" t="s">
        <v>55</v>
      </c>
      <c r="I251" s="451">
        <f>SUMIF('Wege im Detail'!$A:$A,"08741",'Wege im Detail'!$P:$P)</f>
        <v>5.9459999999999997</v>
      </c>
      <c r="J251" s="508" t="s">
        <v>703</v>
      </c>
      <c r="L251" s="209">
        <v>21</v>
      </c>
      <c r="M251" s="197">
        <v>98</v>
      </c>
      <c r="N251" s="198">
        <v>2</v>
      </c>
      <c r="O251" s="213">
        <v>0</v>
      </c>
      <c r="P251" s="350">
        <v>0</v>
      </c>
      <c r="R251" s="275">
        <v>0</v>
      </c>
      <c r="S251" s="276">
        <v>0.55549999999999999</v>
      </c>
      <c r="T251" s="277">
        <v>4.17</v>
      </c>
      <c r="U251" s="276">
        <v>1.17</v>
      </c>
      <c r="V251" s="277">
        <v>0.55549999999999999</v>
      </c>
      <c r="W251" s="276">
        <v>0.34200000000000003</v>
      </c>
      <c r="X251" s="277">
        <v>0.115</v>
      </c>
      <c r="Y251" s="278">
        <f t="shared" si="14"/>
        <v>6.9080000000000004</v>
      </c>
      <c r="Z251" s="279"/>
      <c r="AA251" s="280">
        <v>0</v>
      </c>
      <c r="AB251" s="281">
        <v>0</v>
      </c>
      <c r="AC251" s="280">
        <v>5.01</v>
      </c>
      <c r="AD251" s="294">
        <v>0</v>
      </c>
      <c r="AE251" s="281">
        <v>0.60399999999999998</v>
      </c>
      <c r="AF251" s="288">
        <v>0.34200000000000003</v>
      </c>
      <c r="AG251" s="303">
        <v>0</v>
      </c>
      <c r="AH251" s="356">
        <v>0</v>
      </c>
      <c r="AI251" s="301">
        <f t="shared" si="15"/>
        <v>0.96200000000000063</v>
      </c>
      <c r="AK251" s="437" t="s">
        <v>50</v>
      </c>
    </row>
    <row r="252" spans="1:248" ht="45" customHeight="1" thickBot="1" x14ac:dyDescent="0.25">
      <c r="A252" s="444">
        <v>8742</v>
      </c>
      <c r="B252" s="445" t="s">
        <v>84</v>
      </c>
      <c r="C252" s="455" t="s">
        <v>85</v>
      </c>
      <c r="D252" s="445"/>
      <c r="E252" s="445" t="s">
        <v>705</v>
      </c>
      <c r="F252" s="445" t="s">
        <v>138</v>
      </c>
      <c r="G252" s="445"/>
      <c r="H252" s="448" t="s">
        <v>55</v>
      </c>
      <c r="I252" s="451">
        <f>SUMIF('Wege im Detail'!$A:$A,"08742",'Wege im Detail'!$P:$P)</f>
        <v>2.516</v>
      </c>
      <c r="J252" s="508" t="s">
        <v>706</v>
      </c>
      <c r="L252" s="209">
        <v>38</v>
      </c>
      <c r="M252" s="197">
        <v>95</v>
      </c>
      <c r="N252" s="198">
        <v>5</v>
      </c>
      <c r="O252" s="213">
        <v>0</v>
      </c>
      <c r="P252" s="350">
        <v>0</v>
      </c>
      <c r="R252" s="275">
        <v>0</v>
      </c>
      <c r="S252" s="276">
        <v>0</v>
      </c>
      <c r="T252" s="277">
        <v>0.93300000000000005</v>
      </c>
      <c r="U252" s="276">
        <v>0</v>
      </c>
      <c r="V252" s="277">
        <v>1.25</v>
      </c>
      <c r="W252" s="276">
        <v>0</v>
      </c>
      <c r="X252" s="277">
        <v>0.28499999999999998</v>
      </c>
      <c r="Y252" s="278">
        <f t="shared" si="14"/>
        <v>2.468</v>
      </c>
      <c r="Z252" s="282"/>
      <c r="AA252" s="280">
        <v>0</v>
      </c>
      <c r="AB252" s="281">
        <v>0</v>
      </c>
      <c r="AC252" s="280">
        <v>1.85</v>
      </c>
      <c r="AD252" s="294">
        <v>0</v>
      </c>
      <c r="AE252" s="281">
        <v>0.626</v>
      </c>
      <c r="AF252" s="288">
        <v>0</v>
      </c>
      <c r="AG252" s="303">
        <v>0</v>
      </c>
      <c r="AH252" s="356">
        <v>0</v>
      </c>
      <c r="AI252" s="301">
        <f t="shared" si="15"/>
        <v>-4.8000000000000043E-2</v>
      </c>
      <c r="AJ252" s="187"/>
      <c r="AK252" s="437" t="s">
        <v>50</v>
      </c>
      <c r="AL252" s="427"/>
      <c r="AM252" s="428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</row>
    <row r="253" spans="1:248" ht="45" customHeight="1" thickBot="1" x14ac:dyDescent="0.3">
      <c r="A253" s="444">
        <v>8743</v>
      </c>
      <c r="B253" s="445" t="s">
        <v>84</v>
      </c>
      <c r="C253" s="455" t="s">
        <v>85</v>
      </c>
      <c r="D253" s="445"/>
      <c r="E253" s="445" t="s">
        <v>708</v>
      </c>
      <c r="F253" s="445" t="s">
        <v>172</v>
      </c>
      <c r="G253" s="445"/>
      <c r="H253" s="448" t="s">
        <v>55</v>
      </c>
      <c r="I253" s="451">
        <f>SUMIF('Wege im Detail'!$A:$A,"08743",'Wege im Detail'!$P:$P)</f>
        <v>5.2649999999999997</v>
      </c>
      <c r="J253" s="508" t="s">
        <v>709</v>
      </c>
      <c r="L253" s="209">
        <v>17</v>
      </c>
      <c r="M253" s="197">
        <v>99</v>
      </c>
      <c r="N253" s="198">
        <v>0</v>
      </c>
      <c r="O253" s="213">
        <v>1</v>
      </c>
      <c r="P253" s="350">
        <v>0</v>
      </c>
      <c r="R253" s="275">
        <v>0</v>
      </c>
      <c r="S253" s="276">
        <v>0.246</v>
      </c>
      <c r="T253" s="277">
        <v>3.91</v>
      </c>
      <c r="U253" s="276">
        <v>0.35</v>
      </c>
      <c r="V253" s="277">
        <v>0.754</v>
      </c>
      <c r="W253" s="276">
        <v>0</v>
      </c>
      <c r="X253" s="277">
        <v>0</v>
      </c>
      <c r="Y253" s="278">
        <f t="shared" si="14"/>
        <v>5.26</v>
      </c>
      <c r="Z253" s="279"/>
      <c r="AA253" s="280">
        <v>0</v>
      </c>
      <c r="AB253" s="281">
        <v>0.25600000000000001</v>
      </c>
      <c r="AC253" s="280">
        <v>4.91</v>
      </c>
      <c r="AD253" s="294">
        <v>0</v>
      </c>
      <c r="AE253" s="281">
        <v>0.55549999999999999</v>
      </c>
      <c r="AF253" s="288">
        <v>0.55549999999999999</v>
      </c>
      <c r="AG253" s="303">
        <v>0</v>
      </c>
      <c r="AH253" s="356">
        <v>0</v>
      </c>
      <c r="AI253" s="301">
        <f t="shared" si="15"/>
        <v>-4.9999999999998934E-3</v>
      </c>
      <c r="AK253" s="437" t="s">
        <v>50</v>
      </c>
    </row>
    <row r="254" spans="1:248" ht="45" customHeight="1" thickBot="1" x14ac:dyDescent="0.3">
      <c r="A254" s="444">
        <v>8745</v>
      </c>
      <c r="B254" s="445" t="s">
        <v>84</v>
      </c>
      <c r="C254" s="455" t="s">
        <v>85</v>
      </c>
      <c r="D254" s="445"/>
      <c r="E254" s="445" t="s">
        <v>710</v>
      </c>
      <c r="F254" s="445" t="s">
        <v>711</v>
      </c>
      <c r="G254" s="445"/>
      <c r="H254" s="448" t="s">
        <v>55</v>
      </c>
      <c r="I254" s="451">
        <f>SUMIF('Wege im Detail'!$A:$A,"08745",'Wege im Detail'!$P:$P)</f>
        <v>6.0579999999999998</v>
      </c>
      <c r="J254" s="508" t="s">
        <v>712</v>
      </c>
      <c r="L254" s="209">
        <v>17</v>
      </c>
      <c r="M254" s="197">
        <v>100</v>
      </c>
      <c r="N254" s="198">
        <v>0</v>
      </c>
      <c r="O254" s="213">
        <v>0</v>
      </c>
      <c r="P254" s="350">
        <v>0</v>
      </c>
      <c r="R254" s="275">
        <v>0</v>
      </c>
      <c r="S254" s="276">
        <v>0.20200000000000001</v>
      </c>
      <c r="T254" s="277">
        <v>4.58</v>
      </c>
      <c r="U254" s="276">
        <v>0</v>
      </c>
      <c r="V254" s="277">
        <v>0.98299999999999998</v>
      </c>
      <c r="W254" s="276">
        <v>0</v>
      </c>
      <c r="X254" s="277">
        <v>0.21099999999999999</v>
      </c>
      <c r="Y254" s="278">
        <f t="shared" si="14"/>
        <v>5.976</v>
      </c>
      <c r="Z254" s="279"/>
      <c r="AA254" s="280">
        <v>0</v>
      </c>
      <c r="AB254" s="281">
        <v>0.20200000000000001</v>
      </c>
      <c r="AC254" s="280">
        <v>4.95</v>
      </c>
      <c r="AD254" s="294">
        <v>0</v>
      </c>
      <c r="AE254" s="281">
        <v>0.28599999999999998</v>
      </c>
      <c r="AF254" s="288">
        <v>0.54</v>
      </c>
      <c r="AG254" s="303">
        <v>0</v>
      </c>
      <c r="AH254" s="356">
        <v>0</v>
      </c>
      <c r="AI254" s="301">
        <f t="shared" si="15"/>
        <v>-8.1999999999999851E-2</v>
      </c>
      <c r="AK254" s="437" t="s">
        <v>50</v>
      </c>
    </row>
    <row r="255" spans="1:248" ht="45" customHeight="1" thickBot="1" x14ac:dyDescent="0.3">
      <c r="A255" s="444">
        <v>8746</v>
      </c>
      <c r="B255" s="445" t="s">
        <v>84</v>
      </c>
      <c r="C255" s="455" t="s">
        <v>85</v>
      </c>
      <c r="D255" s="479"/>
      <c r="E255" s="445" t="s">
        <v>714</v>
      </c>
      <c r="F255" s="448" t="s">
        <v>147</v>
      </c>
      <c r="G255" s="448"/>
      <c r="H255" s="448" t="s">
        <v>55</v>
      </c>
      <c r="I255" s="451">
        <f>SUMIF('Wege im Detail'!$A:$A,"08746",'Wege im Detail'!$P:$P)</f>
        <v>0.80300000000000005</v>
      </c>
      <c r="J255" s="508" t="s">
        <v>715</v>
      </c>
      <c r="L255" s="209">
        <v>0</v>
      </c>
      <c r="M255" s="197">
        <v>100</v>
      </c>
      <c r="N255" s="198">
        <v>0</v>
      </c>
      <c r="O255" s="213">
        <v>0</v>
      </c>
      <c r="P255" s="350">
        <v>10</v>
      </c>
      <c r="R255" s="275">
        <v>0</v>
      </c>
      <c r="S255" s="276">
        <v>0.22900000000000001</v>
      </c>
      <c r="T255" s="277">
        <v>0.157</v>
      </c>
      <c r="U255" s="276">
        <v>0.41899999999999998</v>
      </c>
      <c r="V255" s="277">
        <v>0.55549999999999999</v>
      </c>
      <c r="W255" s="276">
        <v>0</v>
      </c>
      <c r="X255" s="277">
        <v>0</v>
      </c>
      <c r="Y255" s="278">
        <f t="shared" si="14"/>
        <v>1.3605</v>
      </c>
      <c r="Z255" s="279"/>
      <c r="AA255" s="280">
        <v>0</v>
      </c>
      <c r="AB255" s="281">
        <v>0.64800000000000002</v>
      </c>
      <c r="AC255" s="280">
        <v>0.157</v>
      </c>
      <c r="AD255" s="294">
        <v>0.55549999999999999</v>
      </c>
      <c r="AE255" s="281">
        <v>0</v>
      </c>
      <c r="AF255" s="288">
        <v>0</v>
      </c>
      <c r="AG255" s="303">
        <v>0</v>
      </c>
      <c r="AH255" s="356">
        <v>0</v>
      </c>
      <c r="AI255" s="301">
        <f t="shared" si="15"/>
        <v>0.5575</v>
      </c>
      <c r="AK255" s="437" t="s">
        <v>50</v>
      </c>
    </row>
    <row r="256" spans="1:248" ht="45" customHeight="1" thickBot="1" x14ac:dyDescent="0.3">
      <c r="A256" s="444">
        <v>8748</v>
      </c>
      <c r="B256" s="445" t="s">
        <v>84</v>
      </c>
      <c r="C256" s="455" t="s">
        <v>85</v>
      </c>
      <c r="D256" s="445"/>
      <c r="E256" s="445" t="s">
        <v>716</v>
      </c>
      <c r="F256" s="445" t="s">
        <v>142</v>
      </c>
      <c r="G256" s="445"/>
      <c r="H256" s="448" t="s">
        <v>55</v>
      </c>
      <c r="I256" s="451">
        <f>SUMIF('Wege im Detail'!$A:$A,"08748",'Wege im Detail'!$P:$P)</f>
        <v>5.48</v>
      </c>
      <c r="J256" s="508" t="s">
        <v>717</v>
      </c>
      <c r="L256" s="209">
        <v>0</v>
      </c>
      <c r="M256" s="197">
        <v>100</v>
      </c>
      <c r="N256" s="198">
        <v>0</v>
      </c>
      <c r="O256" s="213">
        <v>0</v>
      </c>
      <c r="P256" s="350">
        <v>0</v>
      </c>
      <c r="R256" s="275">
        <v>0</v>
      </c>
      <c r="S256" s="276">
        <v>0.55549999999999999</v>
      </c>
      <c r="T256" s="277">
        <v>5.27</v>
      </c>
      <c r="U256" s="276">
        <v>0</v>
      </c>
      <c r="V256" s="277">
        <v>0.16500000000000001</v>
      </c>
      <c r="W256" s="276">
        <v>0</v>
      </c>
      <c r="X256" s="277">
        <v>0</v>
      </c>
      <c r="Y256" s="278">
        <f t="shared" si="14"/>
        <v>5.9904999999999999</v>
      </c>
      <c r="Z256" s="279"/>
      <c r="AA256" s="280">
        <v>0</v>
      </c>
      <c r="AB256" s="281">
        <v>0</v>
      </c>
      <c r="AC256" s="280">
        <v>5.31</v>
      </c>
      <c r="AD256" s="294">
        <v>0</v>
      </c>
      <c r="AE256" s="281">
        <v>0.16500000000000001</v>
      </c>
      <c r="AF256" s="288">
        <v>0</v>
      </c>
      <c r="AG256" s="303">
        <v>0</v>
      </c>
      <c r="AH256" s="356">
        <v>0</v>
      </c>
      <c r="AI256" s="301">
        <f t="shared" si="15"/>
        <v>0.51049999999999951</v>
      </c>
      <c r="AK256" s="437" t="s">
        <v>50</v>
      </c>
    </row>
    <row r="257" spans="1:248" ht="45" customHeight="1" thickBot="1" x14ac:dyDescent="0.3">
      <c r="A257" s="444">
        <v>8753</v>
      </c>
      <c r="B257" s="445" t="s">
        <v>84</v>
      </c>
      <c r="C257" s="455" t="s">
        <v>85</v>
      </c>
      <c r="D257" s="479"/>
      <c r="E257" s="445" t="s">
        <v>718</v>
      </c>
      <c r="F257" s="448" t="s">
        <v>142</v>
      </c>
      <c r="G257" s="448"/>
      <c r="H257" s="448" t="s">
        <v>55</v>
      </c>
      <c r="I257" s="451">
        <f>SUMIF('Wege im Detail'!$A:$A,"08753",'Wege im Detail'!$P:$P)</f>
        <v>6.202</v>
      </c>
      <c r="J257" s="508" t="s">
        <v>719</v>
      </c>
      <c r="L257" s="209">
        <v>62</v>
      </c>
      <c r="M257" s="197">
        <v>93</v>
      </c>
      <c r="N257" s="198">
        <v>2</v>
      </c>
      <c r="O257" s="213">
        <v>5</v>
      </c>
      <c r="P257" s="350">
        <v>0</v>
      </c>
      <c r="R257" s="275">
        <v>0</v>
      </c>
      <c r="S257" s="276">
        <v>1.01</v>
      </c>
      <c r="T257" s="277">
        <v>0.58399999999999996</v>
      </c>
      <c r="U257" s="276">
        <v>0.59699999999999998</v>
      </c>
      <c r="V257" s="277">
        <v>2.86</v>
      </c>
      <c r="W257" s="276">
        <v>0.86399999999999999</v>
      </c>
      <c r="X257" s="277">
        <v>0.26400000000000001</v>
      </c>
      <c r="Y257" s="278">
        <f t="shared" si="14"/>
        <v>6.1790000000000003</v>
      </c>
      <c r="Z257" s="279"/>
      <c r="AA257" s="280">
        <v>0</v>
      </c>
      <c r="AB257" s="281">
        <v>1.3</v>
      </c>
      <c r="AC257" s="280">
        <v>1.52</v>
      </c>
      <c r="AD257" s="294">
        <v>0</v>
      </c>
      <c r="AE257" s="281">
        <v>0.89100000000000001</v>
      </c>
      <c r="AF257" s="288">
        <v>2.4700000000000002</v>
      </c>
      <c r="AG257" s="303">
        <v>0</v>
      </c>
      <c r="AH257" s="356">
        <v>0</v>
      </c>
      <c r="AI257" s="301">
        <f t="shared" si="15"/>
        <v>-2.2999999999999687E-2</v>
      </c>
      <c r="AK257" s="437" t="s">
        <v>50</v>
      </c>
    </row>
    <row r="258" spans="1:248" ht="45" customHeight="1" thickBot="1" x14ac:dyDescent="0.3">
      <c r="A258" s="444">
        <v>8754</v>
      </c>
      <c r="B258" s="445" t="s">
        <v>84</v>
      </c>
      <c r="C258" s="455" t="s">
        <v>85</v>
      </c>
      <c r="D258" s="479"/>
      <c r="E258" s="445" t="s">
        <v>720</v>
      </c>
      <c r="F258" s="448" t="s">
        <v>147</v>
      </c>
      <c r="G258" s="448"/>
      <c r="H258" s="448" t="s">
        <v>55</v>
      </c>
      <c r="I258" s="451">
        <f>SUMIF('Wege im Detail'!$A:$A,"08754",'Wege im Detail'!$P:$P)</f>
        <v>4.327</v>
      </c>
      <c r="J258" s="508" t="s">
        <v>721</v>
      </c>
      <c r="L258" s="209">
        <v>48</v>
      </c>
      <c r="M258" s="197">
        <v>93</v>
      </c>
      <c r="N258" s="198">
        <v>0</v>
      </c>
      <c r="O258" s="213">
        <v>7</v>
      </c>
      <c r="P258" s="350">
        <v>0</v>
      </c>
      <c r="R258" s="275">
        <v>0</v>
      </c>
      <c r="S258" s="276">
        <v>0.61599999999999999</v>
      </c>
      <c r="T258" s="277">
        <v>0.55549999999999999</v>
      </c>
      <c r="U258" s="276">
        <v>1.06</v>
      </c>
      <c r="V258" s="277">
        <v>2.12</v>
      </c>
      <c r="W258" s="276">
        <v>0.314</v>
      </c>
      <c r="X258" s="277">
        <v>0.55549999999999999</v>
      </c>
      <c r="Y258" s="278">
        <f t="shared" si="14"/>
        <v>5.2210000000000001</v>
      </c>
      <c r="Z258" s="279"/>
      <c r="AA258" s="280">
        <v>0</v>
      </c>
      <c r="AB258" s="281">
        <v>1.01</v>
      </c>
      <c r="AC258" s="280">
        <v>1.1100000000000001</v>
      </c>
      <c r="AD258" s="294">
        <v>0</v>
      </c>
      <c r="AE258" s="281">
        <v>0.12</v>
      </c>
      <c r="AF258" s="288">
        <v>2.0099999999999998</v>
      </c>
      <c r="AG258" s="303">
        <v>0</v>
      </c>
      <c r="AH258" s="356">
        <v>0</v>
      </c>
      <c r="AI258" s="301">
        <f t="shared" si="15"/>
        <v>0.89400000000000013</v>
      </c>
      <c r="AK258" s="437" t="s">
        <v>50</v>
      </c>
    </row>
    <row r="259" spans="1:248" ht="45" customHeight="1" thickBot="1" x14ac:dyDescent="0.3">
      <c r="A259" s="444">
        <v>8775</v>
      </c>
      <c r="B259" s="445" t="s">
        <v>84</v>
      </c>
      <c r="C259" s="455" t="s">
        <v>85</v>
      </c>
      <c r="D259" s="479"/>
      <c r="E259" s="445" t="s">
        <v>723</v>
      </c>
      <c r="F259" s="448" t="s">
        <v>138</v>
      </c>
      <c r="G259" s="448"/>
      <c r="H259" s="448" t="s">
        <v>55</v>
      </c>
      <c r="I259" s="451">
        <f>SUMIF('Wege im Detail'!$A:$A,"08775",'Wege im Detail'!$P:$P)</f>
        <v>6.9459999999999997</v>
      </c>
      <c r="J259" s="508" t="s">
        <v>724</v>
      </c>
      <c r="L259" s="209">
        <v>41</v>
      </c>
      <c r="M259" s="197">
        <v>85</v>
      </c>
      <c r="N259" s="198">
        <v>10</v>
      </c>
      <c r="O259" s="213">
        <v>4</v>
      </c>
      <c r="P259" s="350">
        <v>0</v>
      </c>
      <c r="R259" s="275">
        <v>0</v>
      </c>
      <c r="S259" s="276">
        <v>0</v>
      </c>
      <c r="T259" s="277">
        <v>2.52</v>
      </c>
      <c r="U259" s="276">
        <v>0.79100000000000004</v>
      </c>
      <c r="V259" s="277">
        <v>1.72</v>
      </c>
      <c r="W259" s="276">
        <v>1.85</v>
      </c>
      <c r="X259" s="277">
        <v>0</v>
      </c>
      <c r="Y259" s="278">
        <f t="shared" si="14"/>
        <v>6.8810000000000002</v>
      </c>
      <c r="Z259" s="279"/>
      <c r="AA259" s="280">
        <v>0</v>
      </c>
      <c r="AB259" s="281">
        <v>0.46500000000000002</v>
      </c>
      <c r="AC259" s="280">
        <v>3.07</v>
      </c>
      <c r="AD259" s="294">
        <v>0</v>
      </c>
      <c r="AE259" s="281">
        <v>0.55549999999999999</v>
      </c>
      <c r="AF259" s="288">
        <v>3.35</v>
      </c>
      <c r="AG259" s="303">
        <v>0</v>
      </c>
      <c r="AH259" s="356">
        <v>0</v>
      </c>
      <c r="AI259" s="301">
        <f t="shared" si="15"/>
        <v>-6.4999999999999503E-2</v>
      </c>
      <c r="AK259" s="437" t="s">
        <v>50</v>
      </c>
    </row>
    <row r="260" spans="1:248" ht="45" customHeight="1" thickBot="1" x14ac:dyDescent="0.3">
      <c r="A260" s="444">
        <v>8777</v>
      </c>
      <c r="B260" s="445" t="s">
        <v>84</v>
      </c>
      <c r="C260" s="455" t="s">
        <v>85</v>
      </c>
      <c r="D260" s="479"/>
      <c r="E260" s="445" t="s">
        <v>726</v>
      </c>
      <c r="F260" s="448" t="s">
        <v>172</v>
      </c>
      <c r="G260" s="448"/>
      <c r="H260" s="448" t="s">
        <v>55</v>
      </c>
      <c r="I260" s="451">
        <f>SUMIF('Wege im Detail'!$A:$A,"08777",'Wege im Detail'!$P:$P)</f>
        <v>4.7569999999999997</v>
      </c>
      <c r="J260" s="508" t="s">
        <v>727</v>
      </c>
      <c r="L260" s="209">
        <v>78</v>
      </c>
      <c r="M260" s="197">
        <v>77</v>
      </c>
      <c r="N260" s="198">
        <v>15</v>
      </c>
      <c r="O260" s="213">
        <v>8</v>
      </c>
      <c r="P260" s="350">
        <v>0</v>
      </c>
      <c r="R260" s="275">
        <v>0</v>
      </c>
      <c r="S260" s="276">
        <v>0.158</v>
      </c>
      <c r="T260" s="277">
        <v>0.33300000000000002</v>
      </c>
      <c r="U260" s="276">
        <v>0.32700000000000001</v>
      </c>
      <c r="V260" s="277">
        <v>2.391</v>
      </c>
      <c r="W260" s="276">
        <v>0.76100000000000001</v>
      </c>
      <c r="X260" s="277">
        <v>0.24399999999999999</v>
      </c>
      <c r="Y260" s="278">
        <f t="shared" si="14"/>
        <v>4.2140000000000004</v>
      </c>
      <c r="Z260" s="279"/>
      <c r="AA260" s="280">
        <v>0</v>
      </c>
      <c r="AB260" s="281">
        <v>0.32700000000000001</v>
      </c>
      <c r="AC260" s="280">
        <v>0.36899999999999999</v>
      </c>
      <c r="AD260" s="294">
        <v>0.84799999999999998</v>
      </c>
      <c r="AE260" s="281">
        <v>2.4820000000000002</v>
      </c>
      <c r="AF260" s="288">
        <v>0.434</v>
      </c>
      <c r="AG260" s="303">
        <v>0</v>
      </c>
      <c r="AH260" s="356">
        <v>0</v>
      </c>
      <c r="AI260" s="301">
        <f t="shared" si="15"/>
        <v>-0.54299999999999926</v>
      </c>
      <c r="AK260" s="437" t="s">
        <v>50</v>
      </c>
    </row>
    <row r="261" spans="1:248" ht="45" customHeight="1" thickBot="1" x14ac:dyDescent="0.3">
      <c r="A261" s="444">
        <v>8778</v>
      </c>
      <c r="B261" s="445" t="s">
        <v>84</v>
      </c>
      <c r="C261" s="455" t="s">
        <v>85</v>
      </c>
      <c r="D261" s="479"/>
      <c r="E261" s="445" t="s">
        <v>729</v>
      </c>
      <c r="F261" s="448" t="s">
        <v>142</v>
      </c>
      <c r="G261" s="448"/>
      <c r="H261" s="448" t="s">
        <v>55</v>
      </c>
      <c r="I261" s="451">
        <f>SUMIF('Wege im Detail'!$A:$A,"08778",'Wege im Detail'!$P:$P)</f>
        <v>6.7489999999999997</v>
      </c>
      <c r="J261" s="508" t="s">
        <v>730</v>
      </c>
      <c r="L261" s="209">
        <v>27</v>
      </c>
      <c r="M261" s="197">
        <v>95</v>
      </c>
      <c r="N261" s="198">
        <v>0</v>
      </c>
      <c r="O261" s="213">
        <v>5</v>
      </c>
      <c r="P261" s="350">
        <v>0</v>
      </c>
      <c r="R261" s="275">
        <v>0</v>
      </c>
      <c r="S261" s="276">
        <v>4.05</v>
      </c>
      <c r="T261" s="277">
        <v>0.65300000000000002</v>
      </c>
      <c r="U261" s="276">
        <v>0.16900000000000001</v>
      </c>
      <c r="V261" s="277">
        <v>1.31</v>
      </c>
      <c r="W261" s="276">
        <v>0.48</v>
      </c>
      <c r="X261" s="277">
        <v>0.55549999999999999</v>
      </c>
      <c r="Y261" s="278">
        <f t="shared" si="14"/>
        <v>7.2174999999999994</v>
      </c>
      <c r="Z261" s="279"/>
      <c r="AA261" s="280">
        <v>0</v>
      </c>
      <c r="AB261" s="281">
        <v>1.79</v>
      </c>
      <c r="AC261" s="280">
        <v>2.1800000000000002</v>
      </c>
      <c r="AD261" s="294">
        <v>1.43</v>
      </c>
      <c r="AE261" s="281">
        <v>0.89400000000000002</v>
      </c>
      <c r="AF261" s="288">
        <v>0.38500000000000001</v>
      </c>
      <c r="AG261" s="303">
        <v>0</v>
      </c>
      <c r="AH261" s="356">
        <v>0</v>
      </c>
      <c r="AI261" s="301">
        <f t="shared" si="15"/>
        <v>0.46849999999999969</v>
      </c>
      <c r="AK261" s="437" t="s">
        <v>50</v>
      </c>
    </row>
    <row r="262" spans="1:248" ht="45" customHeight="1" thickBot="1" x14ac:dyDescent="0.3">
      <c r="A262" s="444">
        <v>8779</v>
      </c>
      <c r="B262" s="445" t="s">
        <v>84</v>
      </c>
      <c r="C262" s="455" t="s">
        <v>85</v>
      </c>
      <c r="D262" s="479"/>
      <c r="E262" s="445" t="s">
        <v>732</v>
      </c>
      <c r="F262" s="448" t="s">
        <v>133</v>
      </c>
      <c r="G262" s="448"/>
      <c r="H262" s="448" t="s">
        <v>55</v>
      </c>
      <c r="I262" s="451">
        <f>SUMIF('Wege im Detail'!$A:$A,"08779",'Wege im Detail'!$P:$P)</f>
        <v>4.0250000000000004</v>
      </c>
      <c r="J262" s="508" t="s">
        <v>733</v>
      </c>
      <c r="L262" s="209">
        <v>9</v>
      </c>
      <c r="M262" s="197">
        <v>99</v>
      </c>
      <c r="N262" s="198">
        <v>1</v>
      </c>
      <c r="O262" s="213">
        <v>0</v>
      </c>
      <c r="P262" s="350">
        <v>0</v>
      </c>
      <c r="R262" s="275">
        <v>0</v>
      </c>
      <c r="S262" s="276">
        <v>1.8</v>
      </c>
      <c r="T262" s="277">
        <v>0.72199999999999998</v>
      </c>
      <c r="U262" s="276">
        <v>1.1499999999999999</v>
      </c>
      <c r="V262" s="277">
        <v>0.308</v>
      </c>
      <c r="W262" s="276">
        <v>0.55549999999999999</v>
      </c>
      <c r="X262" s="277">
        <v>0</v>
      </c>
      <c r="Y262" s="278">
        <f t="shared" si="14"/>
        <v>4.5354999999999999</v>
      </c>
      <c r="Z262" s="279"/>
      <c r="AA262" s="280">
        <v>0</v>
      </c>
      <c r="AB262" s="281">
        <v>0.77700000000000002</v>
      </c>
      <c r="AC262" s="280">
        <v>2.89</v>
      </c>
      <c r="AD262" s="294">
        <v>0</v>
      </c>
      <c r="AE262" s="281">
        <v>0.308</v>
      </c>
      <c r="AF262" s="288">
        <v>0.55549999999999999</v>
      </c>
      <c r="AG262" s="303">
        <v>0</v>
      </c>
      <c r="AH262" s="356">
        <v>0</v>
      </c>
      <c r="AI262" s="301">
        <f t="shared" si="15"/>
        <v>0.51049999999999951</v>
      </c>
      <c r="AK262" s="437" t="s">
        <v>50</v>
      </c>
    </row>
    <row r="263" spans="1:248" ht="45" customHeight="1" thickBot="1" x14ac:dyDescent="0.3">
      <c r="A263" s="444">
        <v>8780</v>
      </c>
      <c r="B263" s="445" t="s">
        <v>84</v>
      </c>
      <c r="C263" s="455" t="s">
        <v>85</v>
      </c>
      <c r="D263" s="479"/>
      <c r="E263" s="445" t="s">
        <v>735</v>
      </c>
      <c r="F263" s="448" t="s">
        <v>147</v>
      </c>
      <c r="G263" s="448"/>
      <c r="H263" s="448" t="s">
        <v>55</v>
      </c>
      <c r="I263" s="451">
        <f>SUMIF('Wege im Detail'!$A:$A,"08780",'Wege im Detail'!$P:$P)</f>
        <v>6.0540000000000003</v>
      </c>
      <c r="J263" s="508" t="s">
        <v>736</v>
      </c>
      <c r="L263" s="209">
        <v>0</v>
      </c>
      <c r="M263" s="197">
        <v>100</v>
      </c>
      <c r="N263" s="198">
        <v>0</v>
      </c>
      <c r="O263" s="213">
        <v>0</v>
      </c>
      <c r="P263" s="350">
        <v>0</v>
      </c>
      <c r="R263" s="275">
        <v>0</v>
      </c>
      <c r="S263" s="276">
        <v>0.86899999999999999</v>
      </c>
      <c r="T263" s="277">
        <v>3.67</v>
      </c>
      <c r="U263" s="276">
        <v>1.52</v>
      </c>
      <c r="V263" s="277">
        <v>0</v>
      </c>
      <c r="W263" s="276">
        <v>0</v>
      </c>
      <c r="X263" s="277">
        <v>0</v>
      </c>
      <c r="Y263" s="278">
        <f t="shared" si="14"/>
        <v>6.0589999999999993</v>
      </c>
      <c r="Z263" s="279"/>
      <c r="AA263" s="280">
        <v>0</v>
      </c>
      <c r="AB263" s="281">
        <v>0.39700000000000002</v>
      </c>
      <c r="AC263" s="280">
        <v>5.58</v>
      </c>
      <c r="AD263" s="294">
        <v>0</v>
      </c>
      <c r="AE263" s="281">
        <v>0.55549999999999999</v>
      </c>
      <c r="AF263" s="288">
        <v>0</v>
      </c>
      <c r="AG263" s="303">
        <v>0</v>
      </c>
      <c r="AH263" s="356">
        <v>0</v>
      </c>
      <c r="AI263" s="301">
        <f t="shared" si="15"/>
        <v>4.9999999999990052E-3</v>
      </c>
      <c r="AK263" s="437" t="s">
        <v>50</v>
      </c>
    </row>
    <row r="264" spans="1:248" ht="45" customHeight="1" thickBot="1" x14ac:dyDescent="0.3">
      <c r="A264" s="444">
        <v>8781</v>
      </c>
      <c r="B264" s="445" t="s">
        <v>84</v>
      </c>
      <c r="C264" s="455" t="s">
        <v>85</v>
      </c>
      <c r="D264" s="479"/>
      <c r="E264" s="445" t="s">
        <v>738</v>
      </c>
      <c r="F264" s="448" t="s">
        <v>138</v>
      </c>
      <c r="G264" s="448"/>
      <c r="H264" s="448" t="s">
        <v>55</v>
      </c>
      <c r="I264" s="451">
        <f>SUMIF('Wege im Detail'!$A:$A,"08781",'Wege im Detail'!$P:$P)</f>
        <v>6.3029999999999999</v>
      </c>
      <c r="J264" s="508" t="s">
        <v>739</v>
      </c>
      <c r="L264" s="209">
        <v>1</v>
      </c>
      <c r="M264" s="197">
        <v>99</v>
      </c>
      <c r="N264" s="198">
        <v>1</v>
      </c>
      <c r="O264" s="213">
        <v>0</v>
      </c>
      <c r="P264" s="350">
        <v>0</v>
      </c>
      <c r="R264" s="275">
        <v>0</v>
      </c>
      <c r="S264" s="276">
        <v>2.68</v>
      </c>
      <c r="T264" s="277">
        <v>0</v>
      </c>
      <c r="U264" s="276">
        <v>3.58</v>
      </c>
      <c r="V264" s="277">
        <v>0</v>
      </c>
      <c r="W264" s="276">
        <v>0</v>
      </c>
      <c r="X264" s="277">
        <v>0</v>
      </c>
      <c r="Y264" s="278">
        <f t="shared" si="14"/>
        <v>6.26</v>
      </c>
      <c r="Z264" s="279"/>
      <c r="AA264" s="280">
        <v>0</v>
      </c>
      <c r="AB264" s="281">
        <v>0.94699999999999995</v>
      </c>
      <c r="AC264" s="280">
        <v>5.31</v>
      </c>
      <c r="AD264" s="294">
        <v>0</v>
      </c>
      <c r="AE264" s="281">
        <v>0</v>
      </c>
      <c r="AF264" s="288">
        <v>0.55549999999999999</v>
      </c>
      <c r="AG264" s="303">
        <v>0</v>
      </c>
      <c r="AH264" s="356">
        <v>0</v>
      </c>
      <c r="AI264" s="301">
        <f t="shared" si="15"/>
        <v>-4.3000000000000149E-2</v>
      </c>
      <c r="AK264" s="437" t="s">
        <v>50</v>
      </c>
    </row>
    <row r="265" spans="1:248" ht="45" customHeight="1" thickBot="1" x14ac:dyDescent="0.3">
      <c r="A265" s="444">
        <v>8869</v>
      </c>
      <c r="B265" s="445" t="s">
        <v>51</v>
      </c>
      <c r="C265" s="445" t="s">
        <v>91</v>
      </c>
      <c r="D265" s="445"/>
      <c r="E265" s="445">
        <v>133</v>
      </c>
      <c r="F265" s="445"/>
      <c r="G265" s="445"/>
      <c r="H265" s="448" t="s">
        <v>55</v>
      </c>
      <c r="I265" s="451">
        <f>SUMIF('Wege im Detail'!$A:$A,"08869",'Wege im Detail'!$P:$P)</f>
        <v>3.8140000000000001</v>
      </c>
      <c r="J265" s="508" t="s">
        <v>740</v>
      </c>
      <c r="L265" s="209" t="s">
        <v>289</v>
      </c>
      <c r="M265" s="197">
        <v>100</v>
      </c>
      <c r="N265" s="198">
        <v>0</v>
      </c>
      <c r="O265" s="213">
        <v>0</v>
      </c>
      <c r="P265" s="350">
        <v>0</v>
      </c>
      <c r="R265" s="275">
        <v>0</v>
      </c>
      <c r="S265" s="276">
        <v>1.24</v>
      </c>
      <c r="T265" s="277">
        <v>0.39300000000000002</v>
      </c>
      <c r="U265" s="276">
        <v>2.15</v>
      </c>
      <c r="V265" s="277">
        <v>0</v>
      </c>
      <c r="W265" s="276">
        <v>0</v>
      </c>
      <c r="X265" s="277">
        <v>0</v>
      </c>
      <c r="Y265" s="278">
        <f t="shared" si="14"/>
        <v>3.7829999999999999</v>
      </c>
      <c r="Z265" s="279"/>
      <c r="AA265" s="280">
        <v>0.34399999999999997</v>
      </c>
      <c r="AB265" s="281">
        <v>0.39300000000000002</v>
      </c>
      <c r="AC265" s="280">
        <v>3.05</v>
      </c>
      <c r="AD265" s="294">
        <v>0</v>
      </c>
      <c r="AE265" s="281">
        <v>0</v>
      </c>
      <c r="AF265" s="288">
        <v>0</v>
      </c>
      <c r="AG265" s="303">
        <v>0</v>
      </c>
      <c r="AH265" s="356">
        <v>0</v>
      </c>
      <c r="AI265" s="301">
        <f t="shared" si="15"/>
        <v>-3.1000000000000139E-2</v>
      </c>
      <c r="AK265" s="437" t="s">
        <v>50</v>
      </c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  <c r="HN265" s="167"/>
      <c r="HO265" s="167"/>
      <c r="HP265" s="167"/>
      <c r="HQ265" s="167"/>
      <c r="HR265" s="167"/>
      <c r="HS265" s="167"/>
      <c r="HT265" s="167"/>
      <c r="HU265" s="167"/>
      <c r="HV265" s="167"/>
      <c r="HW265" s="167"/>
      <c r="HX265" s="167"/>
      <c r="HY265" s="167"/>
      <c r="HZ265" s="167"/>
      <c r="IA265" s="167"/>
      <c r="IB265" s="167"/>
      <c r="IC265" s="167"/>
      <c r="ID265" s="167"/>
      <c r="IE265" s="167"/>
      <c r="IF265" s="167"/>
      <c r="IG265" s="167"/>
      <c r="IH265" s="167"/>
      <c r="II265" s="167"/>
      <c r="IJ265" s="167"/>
      <c r="IK265" s="167"/>
      <c r="IL265" s="167"/>
      <c r="IM265" s="167"/>
      <c r="IN265" s="167"/>
    </row>
    <row r="266" spans="1:248" ht="45" customHeight="1" thickBot="1" x14ac:dyDescent="0.3">
      <c r="A266" s="444">
        <v>8894</v>
      </c>
      <c r="B266" s="445" t="s">
        <v>84</v>
      </c>
      <c r="C266" s="455" t="s">
        <v>85</v>
      </c>
      <c r="D266" s="445"/>
      <c r="E266" s="445" t="s">
        <v>742</v>
      </c>
      <c r="F266" s="445" t="s">
        <v>88</v>
      </c>
      <c r="G266" s="445"/>
      <c r="H266" s="448" t="s">
        <v>55</v>
      </c>
      <c r="I266" s="451">
        <f>SUMIF('Wege im Detail'!$A:$A,"08894",'Wege im Detail'!$P:$P)</f>
        <v>5.2380000000000004</v>
      </c>
      <c r="J266" s="508" t="s">
        <v>743</v>
      </c>
      <c r="L266" s="209">
        <v>24</v>
      </c>
      <c r="M266" s="197">
        <v>97</v>
      </c>
      <c r="N266" s="198">
        <v>3</v>
      </c>
      <c r="O266" s="213">
        <v>0</v>
      </c>
      <c r="P266" s="350">
        <v>0</v>
      </c>
      <c r="R266" s="275">
        <v>0</v>
      </c>
      <c r="S266" s="276">
        <v>0</v>
      </c>
      <c r="T266" s="277">
        <v>3.18</v>
      </c>
      <c r="U266" s="276">
        <v>0</v>
      </c>
      <c r="V266" s="277">
        <v>1.39</v>
      </c>
      <c r="W266" s="276">
        <v>0</v>
      </c>
      <c r="X266" s="277">
        <v>0.52300000000000002</v>
      </c>
      <c r="Y266" s="278">
        <f t="shared" si="14"/>
        <v>5.093</v>
      </c>
      <c r="Z266" s="279"/>
      <c r="AA266" s="280">
        <v>0</v>
      </c>
      <c r="AB266" s="281">
        <v>0.38300000000000001</v>
      </c>
      <c r="AC266" s="280">
        <v>3.3</v>
      </c>
      <c r="AD266" s="294">
        <v>0</v>
      </c>
      <c r="AE266" s="281">
        <v>1.39</v>
      </c>
      <c r="AF266" s="288">
        <v>0.106</v>
      </c>
      <c r="AG266" s="303">
        <v>0</v>
      </c>
      <c r="AH266" s="356">
        <v>0</v>
      </c>
      <c r="AI266" s="301">
        <v>0</v>
      </c>
      <c r="AK266" s="437" t="s">
        <v>50</v>
      </c>
    </row>
    <row r="267" spans="1:248" ht="45" customHeight="1" thickBot="1" x14ac:dyDescent="0.3">
      <c r="A267" s="444">
        <v>8909</v>
      </c>
      <c r="B267" s="445" t="s">
        <v>84</v>
      </c>
      <c r="C267" s="455" t="s">
        <v>85</v>
      </c>
      <c r="D267" s="445"/>
      <c r="E267" s="445" t="s">
        <v>744</v>
      </c>
      <c r="F267" s="445" t="s">
        <v>142</v>
      </c>
      <c r="G267" s="445"/>
      <c r="H267" s="448" t="s">
        <v>55</v>
      </c>
      <c r="I267" s="451">
        <f>SUMIF('Wege im Detail'!$A:$A,"08909",'Wege im Detail'!$P:$P)</f>
        <v>9.1159999999999997</v>
      </c>
      <c r="J267" s="508" t="s">
        <v>745</v>
      </c>
      <c r="L267" s="209">
        <v>54</v>
      </c>
      <c r="M267" s="197">
        <v>99</v>
      </c>
      <c r="N267" s="198">
        <v>1</v>
      </c>
      <c r="O267" s="213">
        <v>0</v>
      </c>
      <c r="P267" s="350">
        <v>0</v>
      </c>
      <c r="R267" s="275">
        <v>0</v>
      </c>
      <c r="S267" s="276">
        <v>0</v>
      </c>
      <c r="T267" s="277">
        <v>5.0999999999999996</v>
      </c>
      <c r="U267" s="276">
        <v>0.1</v>
      </c>
      <c r="V267" s="277">
        <v>3.4</v>
      </c>
      <c r="W267" s="276">
        <v>1.81</v>
      </c>
      <c r="X267" s="277">
        <v>0.106</v>
      </c>
      <c r="Y267" s="278">
        <f t="shared" si="14"/>
        <v>10.516</v>
      </c>
      <c r="Z267" s="279"/>
      <c r="AA267" s="280">
        <v>2.87</v>
      </c>
      <c r="AB267" s="281">
        <v>3.93</v>
      </c>
      <c r="AC267" s="280">
        <v>2.34</v>
      </c>
      <c r="AD267" s="294">
        <v>0</v>
      </c>
      <c r="AE267" s="281">
        <v>0.85</v>
      </c>
      <c r="AF267" s="288">
        <v>0.63800000000000001</v>
      </c>
      <c r="AG267" s="303">
        <v>0</v>
      </c>
      <c r="AH267" s="356">
        <v>0</v>
      </c>
      <c r="AI267" s="301">
        <f t="shared" ref="AI267:AI295" si="16">Y267-I267</f>
        <v>1.4000000000000004</v>
      </c>
      <c r="AK267" s="435" t="s">
        <v>50</v>
      </c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0"/>
      <c r="DH267" s="180"/>
      <c r="DI267" s="180"/>
      <c r="DJ267" s="180"/>
      <c r="DK267" s="180"/>
      <c r="DL267" s="180"/>
      <c r="DM267" s="180"/>
      <c r="DN267" s="180"/>
      <c r="DO267" s="180"/>
      <c r="DP267" s="180"/>
      <c r="DQ267" s="180"/>
      <c r="DR267" s="180"/>
      <c r="DS267" s="180"/>
      <c r="DT267" s="180"/>
      <c r="DU267" s="180"/>
      <c r="DV267" s="180"/>
      <c r="DW267" s="180"/>
      <c r="DX267" s="180"/>
      <c r="DY267" s="180"/>
      <c r="DZ267" s="180"/>
      <c r="EA267" s="180"/>
      <c r="EB267" s="180"/>
      <c r="EC267" s="180"/>
      <c r="ED267" s="180"/>
      <c r="EE267" s="180"/>
      <c r="EF267" s="180"/>
      <c r="EG267" s="180"/>
      <c r="EH267" s="180"/>
      <c r="EI267" s="180"/>
      <c r="EJ267" s="180"/>
      <c r="EK267" s="180"/>
      <c r="EL267" s="180"/>
      <c r="EM267" s="180"/>
      <c r="EN267" s="180"/>
      <c r="EO267" s="180"/>
      <c r="EP267" s="180"/>
      <c r="EQ267" s="180"/>
      <c r="ER267" s="180"/>
      <c r="ES267" s="180"/>
      <c r="ET267" s="180"/>
      <c r="EU267" s="180"/>
      <c r="EV267" s="180"/>
      <c r="EW267" s="180"/>
      <c r="EX267" s="180"/>
      <c r="EY267" s="180"/>
      <c r="EZ267" s="180"/>
      <c r="FA267" s="180"/>
      <c r="FB267" s="180"/>
      <c r="FC267" s="180"/>
      <c r="FD267" s="180"/>
      <c r="FE267" s="180"/>
      <c r="FF267" s="180"/>
      <c r="FG267" s="180"/>
      <c r="FH267" s="180"/>
      <c r="FI267" s="180"/>
      <c r="FJ267" s="180"/>
      <c r="FK267" s="180"/>
      <c r="FL267" s="180"/>
      <c r="FM267" s="180"/>
      <c r="FN267" s="180"/>
      <c r="FO267" s="180"/>
      <c r="FP267" s="180"/>
      <c r="FQ267" s="180"/>
      <c r="FR267" s="180"/>
      <c r="FS267" s="180"/>
      <c r="FT267" s="180"/>
      <c r="FU267" s="180"/>
      <c r="FV267" s="180"/>
      <c r="FW267" s="180"/>
      <c r="FX267" s="180"/>
      <c r="FY267" s="180"/>
      <c r="FZ267" s="180"/>
      <c r="GA267" s="180"/>
      <c r="GB267" s="180"/>
      <c r="GC267" s="180"/>
      <c r="GD267" s="180"/>
      <c r="GE267" s="180"/>
      <c r="GF267" s="180"/>
      <c r="GG267" s="180"/>
      <c r="GH267" s="180"/>
      <c r="GI267" s="180"/>
      <c r="GJ267" s="180"/>
      <c r="GK267" s="180"/>
      <c r="GL267" s="180"/>
      <c r="GM267" s="180"/>
      <c r="GN267" s="180"/>
      <c r="GO267" s="180"/>
      <c r="GP267" s="180"/>
      <c r="GQ267" s="180"/>
      <c r="GR267" s="180"/>
      <c r="GS267" s="180"/>
      <c r="GT267" s="180"/>
      <c r="GU267" s="180"/>
      <c r="GV267" s="180"/>
      <c r="GW267" s="180"/>
      <c r="GX267" s="180"/>
      <c r="GY267" s="180"/>
      <c r="GZ267" s="180"/>
      <c r="HA267" s="180"/>
      <c r="HB267" s="180"/>
      <c r="HC267" s="180"/>
      <c r="HD267" s="180"/>
      <c r="HE267" s="180"/>
      <c r="HF267" s="180"/>
      <c r="HG267" s="180"/>
      <c r="HH267" s="180"/>
      <c r="HI267" s="180"/>
      <c r="HJ267" s="180"/>
      <c r="HK267" s="180"/>
      <c r="HL267" s="180"/>
      <c r="HM267" s="180"/>
      <c r="HN267" s="180"/>
      <c r="HO267" s="180"/>
      <c r="HP267" s="180"/>
      <c r="HQ267" s="180"/>
      <c r="HR267" s="180"/>
      <c r="HS267" s="180"/>
      <c r="HT267" s="180"/>
      <c r="HU267" s="180"/>
      <c r="HV267" s="180"/>
      <c r="HW267" s="180"/>
      <c r="HX267" s="180"/>
      <c r="HY267" s="180"/>
      <c r="HZ267" s="180"/>
      <c r="IA267" s="180"/>
      <c r="IB267" s="180"/>
      <c r="IC267" s="180"/>
      <c r="ID267" s="180"/>
      <c r="IE267" s="180"/>
      <c r="IF267" s="180"/>
      <c r="IG267" s="180"/>
      <c r="IH267" s="180"/>
      <c r="II267" s="180"/>
      <c r="IJ267" s="180"/>
      <c r="IK267" s="180"/>
      <c r="IL267" s="180"/>
      <c r="IM267" s="180"/>
      <c r="IN267" s="180"/>
    </row>
    <row r="268" spans="1:248" ht="45" customHeight="1" thickBot="1" x14ac:dyDescent="0.25">
      <c r="A268" s="444">
        <v>8910</v>
      </c>
      <c r="B268" s="445" t="s">
        <v>84</v>
      </c>
      <c r="C268" s="455" t="s">
        <v>85</v>
      </c>
      <c r="D268" s="445"/>
      <c r="E268" s="445" t="s">
        <v>746</v>
      </c>
      <c r="F268" s="445" t="s">
        <v>147</v>
      </c>
      <c r="G268" s="445"/>
      <c r="H268" s="448" t="s">
        <v>55</v>
      </c>
      <c r="I268" s="451">
        <f>SUMIF('Wege im Detail'!$A:$A,"08910",'Wege im Detail'!$P:$P)</f>
        <v>15.246</v>
      </c>
      <c r="J268" s="508" t="s">
        <v>747</v>
      </c>
      <c r="L268" s="209">
        <v>35</v>
      </c>
      <c r="M268" s="197">
        <v>98</v>
      </c>
      <c r="N268" s="198">
        <v>2</v>
      </c>
      <c r="O268" s="213">
        <v>0</v>
      </c>
      <c r="P268" s="350">
        <v>0</v>
      </c>
      <c r="R268" s="275">
        <v>0</v>
      </c>
      <c r="S268" s="276">
        <v>0</v>
      </c>
      <c r="T268" s="277">
        <v>10.6</v>
      </c>
      <c r="U268" s="276">
        <v>0</v>
      </c>
      <c r="V268" s="277">
        <v>2.8</v>
      </c>
      <c r="W268" s="276">
        <v>2.1800000000000002</v>
      </c>
      <c r="X268" s="277">
        <v>0.1</v>
      </c>
      <c r="Y268" s="278">
        <f t="shared" si="14"/>
        <v>15.679999999999998</v>
      </c>
      <c r="Z268" s="282"/>
      <c r="AA268" s="280">
        <v>4.67</v>
      </c>
      <c r="AB268" s="281">
        <v>7.17</v>
      </c>
      <c r="AC268" s="280">
        <v>2.34</v>
      </c>
      <c r="AD268" s="294">
        <v>0</v>
      </c>
      <c r="AE268" s="281">
        <v>0.312</v>
      </c>
      <c r="AF268" s="288">
        <v>0.93500000000000005</v>
      </c>
      <c r="AG268" s="303">
        <v>0</v>
      </c>
      <c r="AH268" s="356">
        <v>0</v>
      </c>
      <c r="AI268" s="301">
        <f t="shared" si="16"/>
        <v>0.4339999999999975</v>
      </c>
      <c r="AJ268" s="187"/>
      <c r="AK268" s="435" t="s">
        <v>50</v>
      </c>
      <c r="AL268" s="427"/>
      <c r="AM268" s="428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79"/>
      <c r="DX268" s="179"/>
      <c r="DY268" s="179"/>
      <c r="DZ268" s="179"/>
      <c r="EA268" s="179"/>
      <c r="EB268" s="179"/>
      <c r="EC268" s="179"/>
      <c r="ED268" s="179"/>
      <c r="EE268" s="179"/>
      <c r="EF268" s="179"/>
      <c r="EG268" s="179"/>
      <c r="EH268" s="179"/>
      <c r="EI268" s="179"/>
      <c r="EJ268" s="179"/>
      <c r="EK268" s="179"/>
      <c r="EL268" s="179"/>
      <c r="EM268" s="179"/>
      <c r="EN268" s="179"/>
      <c r="EO268" s="179"/>
      <c r="EP268" s="179"/>
      <c r="EQ268" s="179"/>
      <c r="ER268" s="179"/>
      <c r="ES268" s="179"/>
      <c r="ET268" s="179"/>
      <c r="EU268" s="179"/>
      <c r="EV268" s="179"/>
      <c r="EW268" s="179"/>
      <c r="EX268" s="179"/>
      <c r="EY268" s="179"/>
      <c r="EZ268" s="179"/>
      <c r="FA268" s="179"/>
      <c r="FB268" s="179"/>
      <c r="FC268" s="179"/>
      <c r="FD268" s="179"/>
      <c r="FE268" s="179"/>
      <c r="FF268" s="179"/>
      <c r="FG268" s="179"/>
      <c r="FH268" s="179"/>
      <c r="FI268" s="179"/>
      <c r="FJ268" s="179"/>
      <c r="FK268" s="179"/>
      <c r="FL268" s="179"/>
      <c r="FM268" s="179"/>
      <c r="FN268" s="179"/>
      <c r="FO268" s="179"/>
      <c r="FP268" s="179"/>
      <c r="FQ268" s="179"/>
      <c r="FR268" s="179"/>
      <c r="FS268" s="179"/>
      <c r="FT268" s="179"/>
      <c r="FU268" s="179"/>
      <c r="FV268" s="179"/>
      <c r="FW268" s="179"/>
      <c r="FX268" s="179"/>
      <c r="FY268" s="179"/>
      <c r="FZ268" s="179"/>
      <c r="GA268" s="179"/>
      <c r="GB268" s="179"/>
      <c r="GC268" s="179"/>
      <c r="GD268" s="179"/>
      <c r="GE268" s="179"/>
      <c r="GF268" s="179"/>
      <c r="GG268" s="179"/>
      <c r="GH268" s="179"/>
      <c r="GI268" s="179"/>
      <c r="GJ268" s="179"/>
      <c r="GK268" s="179"/>
      <c r="GL268" s="179"/>
      <c r="GM268" s="179"/>
      <c r="GN268" s="179"/>
      <c r="GO268" s="179"/>
      <c r="GP268" s="179"/>
      <c r="GQ268" s="179"/>
      <c r="GR268" s="179"/>
      <c r="GS268" s="179"/>
      <c r="GT268" s="179"/>
      <c r="GU268" s="179"/>
      <c r="GV268" s="179"/>
      <c r="GW268" s="179"/>
      <c r="GX268" s="179"/>
      <c r="GY268" s="179"/>
      <c r="GZ268" s="179"/>
      <c r="HA268" s="179"/>
      <c r="HB268" s="179"/>
      <c r="HC268" s="179"/>
      <c r="HD268" s="179"/>
      <c r="HE268" s="179"/>
      <c r="HF268" s="179"/>
      <c r="HG268" s="179"/>
      <c r="HH268" s="179"/>
      <c r="HI268" s="179"/>
      <c r="HJ268" s="179"/>
      <c r="HK268" s="179"/>
      <c r="HL268" s="179"/>
      <c r="HM268" s="179"/>
      <c r="HN268" s="179"/>
      <c r="HO268" s="179"/>
      <c r="HP268" s="179"/>
      <c r="HQ268" s="179"/>
      <c r="HR268" s="179"/>
      <c r="HS268" s="179"/>
      <c r="HT268" s="179"/>
      <c r="HU268" s="179"/>
      <c r="HV268" s="179"/>
      <c r="HW268" s="179"/>
      <c r="HX268" s="179"/>
      <c r="HY268" s="179"/>
      <c r="HZ268" s="179"/>
      <c r="IA268" s="179"/>
      <c r="IB268" s="179"/>
      <c r="IC268" s="179"/>
      <c r="ID268" s="179"/>
      <c r="IE268" s="179"/>
      <c r="IF268" s="179"/>
      <c r="IG268" s="179"/>
      <c r="IH268" s="179"/>
      <c r="II268" s="179"/>
      <c r="IJ268" s="179"/>
      <c r="IK268" s="179"/>
      <c r="IL268" s="179"/>
      <c r="IM268" s="179"/>
      <c r="IN268" s="179"/>
    </row>
    <row r="269" spans="1:248" ht="45" customHeight="1" thickBot="1" x14ac:dyDescent="0.25">
      <c r="A269" s="444">
        <v>8911</v>
      </c>
      <c r="B269" s="445" t="s">
        <v>84</v>
      </c>
      <c r="C269" s="455" t="s">
        <v>85</v>
      </c>
      <c r="D269" s="445"/>
      <c r="E269" s="445" t="s">
        <v>748</v>
      </c>
      <c r="F269" s="445" t="s">
        <v>133</v>
      </c>
      <c r="G269" s="445"/>
      <c r="H269" s="448" t="s">
        <v>55</v>
      </c>
      <c r="I269" s="451">
        <f>SUMIF('Wege im Detail'!$A:$A,"08911",'Wege im Detail'!$P:$P)</f>
        <v>8.7910000000000004</v>
      </c>
      <c r="J269" s="508" t="s">
        <v>749</v>
      </c>
      <c r="L269" s="209">
        <v>36</v>
      </c>
      <c r="M269" s="197">
        <v>92</v>
      </c>
      <c r="N269" s="198">
        <v>5</v>
      </c>
      <c r="O269" s="213">
        <v>3</v>
      </c>
      <c r="P269" s="350">
        <v>0</v>
      </c>
      <c r="R269" s="275">
        <v>0</v>
      </c>
      <c r="S269" s="276">
        <v>0.17599999999999999</v>
      </c>
      <c r="T269" s="277">
        <v>5.19</v>
      </c>
      <c r="U269" s="276">
        <v>0.26400000000000001</v>
      </c>
      <c r="V269" s="277">
        <v>2.2000000000000002</v>
      </c>
      <c r="W269" s="276">
        <v>0.96799999999999997</v>
      </c>
      <c r="X269" s="277">
        <v>0</v>
      </c>
      <c r="Y269" s="278">
        <f t="shared" si="14"/>
        <v>8.7980000000000018</v>
      </c>
      <c r="Z269" s="282">
        <v>2.99</v>
      </c>
      <c r="AA269" s="280">
        <v>2.99</v>
      </c>
      <c r="AB269" s="281">
        <v>4.75</v>
      </c>
      <c r="AC269" s="280">
        <v>0.35199999999999998</v>
      </c>
      <c r="AD269" s="294">
        <v>0</v>
      </c>
      <c r="AE269" s="281">
        <v>0.1</v>
      </c>
      <c r="AF269" s="288">
        <v>0.70399999999999996</v>
      </c>
      <c r="AG269" s="303">
        <v>0</v>
      </c>
      <c r="AH269" s="356">
        <v>0</v>
      </c>
      <c r="AI269" s="301">
        <f t="shared" si="16"/>
        <v>7.0000000000014495E-3</v>
      </c>
      <c r="AJ269" s="187"/>
      <c r="AK269" s="435" t="s">
        <v>50</v>
      </c>
      <c r="AL269" s="427"/>
      <c r="AM269" s="428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79"/>
      <c r="DX269" s="179"/>
      <c r="DY269" s="179"/>
      <c r="DZ269" s="179"/>
      <c r="EA269" s="179"/>
      <c r="EB269" s="179"/>
      <c r="EC269" s="179"/>
      <c r="ED269" s="179"/>
      <c r="EE269" s="179"/>
      <c r="EF269" s="179"/>
      <c r="EG269" s="179"/>
      <c r="EH269" s="179"/>
      <c r="EI269" s="179"/>
      <c r="EJ269" s="179"/>
      <c r="EK269" s="179"/>
      <c r="EL269" s="179"/>
      <c r="EM269" s="179"/>
      <c r="EN269" s="179"/>
      <c r="EO269" s="179"/>
      <c r="EP269" s="179"/>
      <c r="EQ269" s="179"/>
      <c r="ER269" s="179"/>
      <c r="ES269" s="179"/>
      <c r="ET269" s="179"/>
      <c r="EU269" s="179"/>
      <c r="EV269" s="179"/>
      <c r="EW269" s="179"/>
      <c r="EX269" s="179"/>
      <c r="EY269" s="179"/>
      <c r="EZ269" s="179"/>
      <c r="FA269" s="179"/>
      <c r="FB269" s="179"/>
      <c r="FC269" s="179"/>
      <c r="FD269" s="179"/>
      <c r="FE269" s="179"/>
      <c r="FF269" s="179"/>
      <c r="FG269" s="179"/>
      <c r="FH269" s="179"/>
      <c r="FI269" s="179"/>
      <c r="FJ269" s="179"/>
      <c r="FK269" s="179"/>
      <c r="FL269" s="179"/>
      <c r="FM269" s="179"/>
      <c r="FN269" s="179"/>
      <c r="FO269" s="179"/>
      <c r="FP269" s="179"/>
      <c r="FQ269" s="179"/>
      <c r="FR269" s="179"/>
      <c r="FS269" s="179"/>
      <c r="FT269" s="179"/>
      <c r="FU269" s="179"/>
      <c r="FV269" s="179"/>
      <c r="FW269" s="179"/>
      <c r="FX269" s="179"/>
      <c r="FY269" s="179"/>
      <c r="FZ269" s="179"/>
      <c r="GA269" s="179"/>
      <c r="GB269" s="179"/>
      <c r="GC269" s="179"/>
      <c r="GD269" s="179"/>
      <c r="GE269" s="179"/>
      <c r="GF269" s="179"/>
      <c r="GG269" s="179"/>
      <c r="GH269" s="179"/>
      <c r="GI269" s="179"/>
      <c r="GJ269" s="179"/>
      <c r="GK269" s="179"/>
      <c r="GL269" s="179"/>
      <c r="GM269" s="179"/>
      <c r="GN269" s="179"/>
      <c r="GO269" s="179"/>
      <c r="GP269" s="179"/>
      <c r="GQ269" s="179"/>
      <c r="GR269" s="179"/>
      <c r="GS269" s="179"/>
      <c r="GT269" s="179"/>
      <c r="GU269" s="179"/>
      <c r="GV269" s="179"/>
      <c r="GW269" s="179"/>
      <c r="GX269" s="179"/>
      <c r="GY269" s="179"/>
      <c r="GZ269" s="179"/>
      <c r="HA269" s="179"/>
      <c r="HB269" s="179"/>
      <c r="HC269" s="179"/>
      <c r="HD269" s="179"/>
      <c r="HE269" s="179"/>
      <c r="HF269" s="179"/>
      <c r="HG269" s="179"/>
      <c r="HH269" s="179"/>
      <c r="HI269" s="179"/>
      <c r="HJ269" s="179"/>
      <c r="HK269" s="179"/>
      <c r="HL269" s="179"/>
      <c r="HM269" s="179"/>
      <c r="HN269" s="179"/>
      <c r="HO269" s="179"/>
      <c r="HP269" s="179"/>
      <c r="HQ269" s="179"/>
      <c r="HR269" s="179"/>
      <c r="HS269" s="179"/>
      <c r="HT269" s="179"/>
      <c r="HU269" s="179"/>
      <c r="HV269" s="179"/>
      <c r="HW269" s="179"/>
      <c r="HX269" s="179"/>
      <c r="HY269" s="179"/>
      <c r="HZ269" s="179"/>
      <c r="IA269" s="179"/>
      <c r="IB269" s="179"/>
      <c r="IC269" s="179"/>
      <c r="ID269" s="179"/>
      <c r="IE269" s="179"/>
      <c r="IF269" s="179"/>
      <c r="IG269" s="179"/>
      <c r="IH269" s="179"/>
      <c r="II269" s="179"/>
      <c r="IJ269" s="179"/>
      <c r="IK269" s="179"/>
      <c r="IL269" s="179"/>
      <c r="IM269" s="179"/>
      <c r="IN269" s="179"/>
    </row>
    <row r="270" spans="1:248" s="180" customFormat="1" ht="45" customHeight="1" thickBot="1" x14ac:dyDescent="0.3">
      <c r="A270" s="444">
        <v>8926</v>
      </c>
      <c r="B270" s="445" t="s">
        <v>51</v>
      </c>
      <c r="C270" s="445" t="s">
        <v>91</v>
      </c>
      <c r="D270" s="445"/>
      <c r="E270" s="445">
        <v>131</v>
      </c>
      <c r="F270" s="445"/>
      <c r="G270" s="445"/>
      <c r="H270" s="448" t="s">
        <v>55</v>
      </c>
      <c r="I270" s="451">
        <f>SUMIF('Wege im Detail'!$A:$A,"08926",'Wege im Detail'!$P:$P)</f>
        <v>7.2069999999999999</v>
      </c>
      <c r="J270" s="508" t="s">
        <v>750</v>
      </c>
      <c r="K270" s="237"/>
      <c r="L270" s="209">
        <v>60</v>
      </c>
      <c r="M270" s="197">
        <v>95</v>
      </c>
      <c r="N270" s="198">
        <v>5</v>
      </c>
      <c r="O270" s="213">
        <v>0</v>
      </c>
      <c r="P270" s="350">
        <v>0</v>
      </c>
      <c r="Q270" s="226"/>
      <c r="R270" s="275">
        <v>0</v>
      </c>
      <c r="S270" s="276">
        <v>0</v>
      </c>
      <c r="T270" s="277">
        <v>2.82</v>
      </c>
      <c r="U270" s="276">
        <v>0</v>
      </c>
      <c r="V270" s="277">
        <v>2.0920000000000001</v>
      </c>
      <c r="W270" s="276">
        <v>2.0449999999999999</v>
      </c>
      <c r="X270" s="277">
        <v>0.156</v>
      </c>
      <c r="Y270" s="278">
        <f t="shared" si="14"/>
        <v>7.1129999999999995</v>
      </c>
      <c r="Z270" s="279"/>
      <c r="AA270" s="280">
        <v>0</v>
      </c>
      <c r="AB270" s="281">
        <v>0.50800000000000001</v>
      </c>
      <c r="AC270" s="280">
        <v>4.3159999999999998</v>
      </c>
      <c r="AD270" s="294">
        <v>0.35599999999999998</v>
      </c>
      <c r="AE270" s="281">
        <v>1.0649999999999999</v>
      </c>
      <c r="AF270" s="288">
        <v>0.86399999999999999</v>
      </c>
      <c r="AG270" s="303">
        <v>0</v>
      </c>
      <c r="AH270" s="356">
        <v>0</v>
      </c>
      <c r="AI270" s="301">
        <f t="shared" si="16"/>
        <v>-9.4000000000000306E-2</v>
      </c>
      <c r="AJ270" s="401"/>
      <c r="AK270" s="437" t="s">
        <v>50</v>
      </c>
      <c r="AL270" s="425"/>
      <c r="AM270" s="426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</row>
    <row r="271" spans="1:248" s="180" customFormat="1" ht="45" customHeight="1" thickBot="1" x14ac:dyDescent="0.25">
      <c r="A271" s="444">
        <v>9009</v>
      </c>
      <c r="B271" s="445" t="s">
        <v>84</v>
      </c>
      <c r="C271" s="455" t="s">
        <v>85</v>
      </c>
      <c r="D271" s="445"/>
      <c r="E271" s="445" t="s">
        <v>751</v>
      </c>
      <c r="F271" s="445" t="s">
        <v>133</v>
      </c>
      <c r="G271" s="445"/>
      <c r="H271" s="448" t="s">
        <v>55</v>
      </c>
      <c r="I271" s="451">
        <f>SUMIF('Wege im Detail'!$A:$A,"09009",'Wege im Detail'!$P:$P)</f>
        <v>7.7</v>
      </c>
      <c r="J271" s="508" t="s">
        <v>752</v>
      </c>
      <c r="K271" s="237"/>
      <c r="L271" s="209">
        <v>41</v>
      </c>
      <c r="M271" s="197">
        <v>86</v>
      </c>
      <c r="N271" s="198">
        <v>13</v>
      </c>
      <c r="O271" s="213">
        <v>0</v>
      </c>
      <c r="P271" s="350">
        <v>1</v>
      </c>
      <c r="Q271" s="226"/>
      <c r="R271" s="275">
        <v>0</v>
      </c>
      <c r="S271" s="276">
        <v>0</v>
      </c>
      <c r="T271" s="277">
        <v>4.54</v>
      </c>
      <c r="U271" s="276">
        <v>0</v>
      </c>
      <c r="V271" s="277">
        <v>2.6459999999999999</v>
      </c>
      <c r="W271" s="276">
        <v>0.59099999999999997</v>
      </c>
      <c r="X271" s="277">
        <v>0</v>
      </c>
      <c r="Y271" s="278">
        <f t="shared" si="14"/>
        <v>7.7770000000000001</v>
      </c>
      <c r="Z271" s="282"/>
      <c r="AA271" s="280">
        <v>0</v>
      </c>
      <c r="AB271" s="281">
        <v>0.80700000000000005</v>
      </c>
      <c r="AC271" s="280">
        <v>5</v>
      </c>
      <c r="AD271" s="294">
        <v>0.55300000000000005</v>
      </c>
      <c r="AE271" s="281">
        <v>0.495</v>
      </c>
      <c r="AF271" s="288">
        <v>0.91900000000000004</v>
      </c>
      <c r="AG271" s="303">
        <v>0</v>
      </c>
      <c r="AH271" s="356">
        <v>0</v>
      </c>
      <c r="AI271" s="301">
        <f t="shared" si="16"/>
        <v>7.6999999999999957E-2</v>
      </c>
      <c r="AJ271" s="187"/>
      <c r="AK271" s="437" t="s">
        <v>50</v>
      </c>
      <c r="AL271" s="427"/>
      <c r="AM271" s="428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</row>
    <row r="272" spans="1:248" s="180" customFormat="1" ht="45" customHeight="1" thickBot="1" x14ac:dyDescent="0.3">
      <c r="A272" s="444">
        <v>9010</v>
      </c>
      <c r="B272" s="445" t="s">
        <v>84</v>
      </c>
      <c r="C272" s="455" t="s">
        <v>85</v>
      </c>
      <c r="D272" s="445"/>
      <c r="E272" s="445" t="s">
        <v>753</v>
      </c>
      <c r="F272" s="445" t="s">
        <v>147</v>
      </c>
      <c r="G272" s="445"/>
      <c r="H272" s="448" t="s">
        <v>55</v>
      </c>
      <c r="I272" s="451">
        <f>SUMIF('Wege im Detail'!$A:$A,"09010",'Wege im Detail'!$P:$P)</f>
        <v>8.8879999999999999</v>
      </c>
      <c r="J272" s="508" t="s">
        <v>754</v>
      </c>
      <c r="K272" s="237"/>
      <c r="L272" s="209">
        <v>52</v>
      </c>
      <c r="M272" s="197">
        <v>96</v>
      </c>
      <c r="N272" s="198">
        <v>0</v>
      </c>
      <c r="O272" s="213">
        <v>4</v>
      </c>
      <c r="P272" s="350">
        <v>0</v>
      </c>
      <c r="Q272" s="226"/>
      <c r="R272" s="275">
        <v>0</v>
      </c>
      <c r="S272" s="276">
        <v>0</v>
      </c>
      <c r="T272" s="277">
        <v>3.71</v>
      </c>
      <c r="U272" s="276">
        <v>0.47199999999999998</v>
      </c>
      <c r="V272" s="277">
        <v>4.12</v>
      </c>
      <c r="W272" s="276">
        <v>0.27200000000000002</v>
      </c>
      <c r="X272" s="277">
        <v>0.28999999999999998</v>
      </c>
      <c r="Y272" s="278">
        <f t="shared" si="14"/>
        <v>8.863999999999999</v>
      </c>
      <c r="Z272" s="279"/>
      <c r="AA272" s="280">
        <v>0</v>
      </c>
      <c r="AB272" s="281">
        <v>0.47199999999999998</v>
      </c>
      <c r="AC272" s="280">
        <v>4.6399999999999997</v>
      </c>
      <c r="AD272" s="294">
        <v>0</v>
      </c>
      <c r="AE272" s="281">
        <v>1.08</v>
      </c>
      <c r="AF272" s="288">
        <v>2.66</v>
      </c>
      <c r="AG272" s="303">
        <v>0</v>
      </c>
      <c r="AH272" s="356">
        <v>0</v>
      </c>
      <c r="AI272" s="301">
        <f t="shared" si="16"/>
        <v>-2.4000000000000909E-2</v>
      </c>
      <c r="AJ272" s="401"/>
      <c r="AK272" s="437" t="s">
        <v>50</v>
      </c>
      <c r="AL272" s="425"/>
      <c r="AM272" s="426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</row>
    <row r="273" spans="1:248" s="35" customFormat="1" ht="45" customHeight="1" thickBot="1" x14ac:dyDescent="0.3">
      <c r="A273" s="444">
        <v>9011</v>
      </c>
      <c r="B273" s="445" t="s">
        <v>84</v>
      </c>
      <c r="C273" s="455" t="s">
        <v>85</v>
      </c>
      <c r="D273" s="445"/>
      <c r="E273" s="445" t="s">
        <v>755</v>
      </c>
      <c r="F273" s="445" t="s">
        <v>756</v>
      </c>
      <c r="G273" s="445"/>
      <c r="H273" s="448" t="s">
        <v>55</v>
      </c>
      <c r="I273" s="451">
        <f>SUMIF('Wege im Detail'!$A:$A,"09011",'Wege im Detail'!$P:$P)</f>
        <v>7.0030000000000001</v>
      </c>
      <c r="J273" s="508" t="s">
        <v>757</v>
      </c>
      <c r="K273" s="237"/>
      <c r="L273" s="209">
        <v>47</v>
      </c>
      <c r="M273" s="197">
        <v>85</v>
      </c>
      <c r="N273" s="198">
        <v>12</v>
      </c>
      <c r="O273" s="213">
        <v>3</v>
      </c>
      <c r="P273" s="350">
        <v>0</v>
      </c>
      <c r="Q273" s="226"/>
      <c r="R273" s="275">
        <v>0</v>
      </c>
      <c r="S273" s="276">
        <v>0</v>
      </c>
      <c r="T273" s="277">
        <v>3.09</v>
      </c>
      <c r="U273" s="276">
        <v>0.78200000000000003</v>
      </c>
      <c r="V273" s="277">
        <v>3.028</v>
      </c>
      <c r="W273" s="276">
        <v>0.10299999999999999</v>
      </c>
      <c r="X273" s="277">
        <v>0</v>
      </c>
      <c r="Y273" s="278">
        <f t="shared" si="14"/>
        <v>7.0030000000000001</v>
      </c>
      <c r="Z273" s="279"/>
      <c r="AA273" s="280">
        <v>0</v>
      </c>
      <c r="AB273" s="281">
        <v>0</v>
      </c>
      <c r="AC273" s="280">
        <v>5.29</v>
      </c>
      <c r="AD273" s="294">
        <v>0</v>
      </c>
      <c r="AE273" s="281">
        <v>0.745</v>
      </c>
      <c r="AF273" s="288">
        <v>0.94399999999999995</v>
      </c>
      <c r="AG273" s="303">
        <v>0</v>
      </c>
      <c r="AH273" s="356">
        <v>0</v>
      </c>
      <c r="AI273" s="301">
        <f t="shared" si="16"/>
        <v>0</v>
      </c>
      <c r="AJ273" s="401"/>
      <c r="AK273" s="437" t="s">
        <v>50</v>
      </c>
      <c r="AL273" s="425"/>
      <c r="AM273" s="426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</row>
    <row r="274" spans="1:248" s="35" customFormat="1" ht="45" customHeight="1" thickBot="1" x14ac:dyDescent="0.25">
      <c r="A274" s="444">
        <v>10503</v>
      </c>
      <c r="B274" s="445" t="s">
        <v>51</v>
      </c>
      <c r="C274" s="455" t="s">
        <v>52</v>
      </c>
      <c r="D274" s="479"/>
      <c r="E274" s="445">
        <v>610</v>
      </c>
      <c r="F274" s="445" t="s">
        <v>759</v>
      </c>
      <c r="G274" s="445"/>
      <c r="H274" s="448"/>
      <c r="I274" s="451">
        <f>SUMIF('Wege im Detail'!$A:$A,"10503",'Wege im Detail'!$P:$P)</f>
        <v>31.866</v>
      </c>
      <c r="J274" s="508" t="s">
        <v>760</v>
      </c>
      <c r="K274" s="237"/>
      <c r="L274" s="209" t="s">
        <v>761</v>
      </c>
      <c r="M274" s="197" t="s">
        <v>762</v>
      </c>
      <c r="N274" s="198" t="s">
        <v>763</v>
      </c>
      <c r="O274" s="213">
        <v>0</v>
      </c>
      <c r="P274" s="350">
        <v>0</v>
      </c>
      <c r="Q274" s="226"/>
      <c r="R274" s="275">
        <v>0</v>
      </c>
      <c r="S274" s="276">
        <v>3.24</v>
      </c>
      <c r="T274" s="277">
        <v>9.9</v>
      </c>
      <c r="U274" s="276">
        <v>4.7699999999999996</v>
      </c>
      <c r="V274" s="277">
        <v>5.94</v>
      </c>
      <c r="W274" s="276">
        <v>5.63</v>
      </c>
      <c r="X274" s="277">
        <v>2.5099999999999998</v>
      </c>
      <c r="Y274" s="278">
        <f t="shared" si="14"/>
        <v>31.990000000000002</v>
      </c>
      <c r="Z274" s="282"/>
      <c r="AA274" s="280">
        <v>0</v>
      </c>
      <c r="AB274" s="281">
        <v>2.81</v>
      </c>
      <c r="AC274" s="280">
        <v>19.2</v>
      </c>
      <c r="AD274" s="294">
        <v>3.49</v>
      </c>
      <c r="AE274" s="281">
        <v>3.74</v>
      </c>
      <c r="AF274" s="288">
        <v>2.2000000000000002</v>
      </c>
      <c r="AG274" s="303">
        <v>0.51600000000000001</v>
      </c>
      <c r="AH274" s="356">
        <v>0</v>
      </c>
      <c r="AI274" s="301">
        <f t="shared" si="16"/>
        <v>0.12400000000000233</v>
      </c>
      <c r="AJ274" s="417" t="s">
        <v>488</v>
      </c>
      <c r="AK274" s="437" t="s">
        <v>50</v>
      </c>
      <c r="AL274" s="427"/>
      <c r="AM274" s="428"/>
    </row>
    <row r="275" spans="1:248" ht="45" customHeight="1" thickBot="1" x14ac:dyDescent="0.3">
      <c r="A275" s="444">
        <v>10903</v>
      </c>
      <c r="B275" s="445" t="s">
        <v>84</v>
      </c>
      <c r="C275" s="455" t="s">
        <v>85</v>
      </c>
      <c r="D275" s="445"/>
      <c r="E275" s="445" t="s">
        <v>764</v>
      </c>
      <c r="F275" s="445" t="s">
        <v>142</v>
      </c>
      <c r="G275" s="445"/>
      <c r="H275" s="448" t="s">
        <v>55</v>
      </c>
      <c r="I275" s="451">
        <f>SUMIF('Wege im Detail'!$A:$A,"10903",'Wege im Detail'!$P:$P)</f>
        <v>8.9909999999999997</v>
      </c>
      <c r="J275" s="508" t="s">
        <v>765</v>
      </c>
      <c r="L275" s="209">
        <v>8</v>
      </c>
      <c r="M275" s="197">
        <v>100</v>
      </c>
      <c r="N275" s="198">
        <v>0</v>
      </c>
      <c r="O275" s="213">
        <v>0</v>
      </c>
      <c r="P275" s="350">
        <v>0</v>
      </c>
      <c r="R275" s="275">
        <v>0</v>
      </c>
      <c r="S275" s="276">
        <v>0.29699999999999999</v>
      </c>
      <c r="T275" s="277">
        <v>7.56</v>
      </c>
      <c r="U275" s="276">
        <v>0.63300000000000001</v>
      </c>
      <c r="V275" s="277">
        <v>0.502</v>
      </c>
      <c r="W275" s="276">
        <v>0</v>
      </c>
      <c r="X275" s="277">
        <v>0</v>
      </c>
      <c r="Y275" s="278">
        <f t="shared" si="14"/>
        <v>8.9919999999999991</v>
      </c>
      <c r="Z275" s="279"/>
      <c r="AA275" s="280">
        <v>0</v>
      </c>
      <c r="AB275" s="281">
        <v>0.29699999999999999</v>
      </c>
      <c r="AC275" s="280">
        <v>7.62</v>
      </c>
      <c r="AD275" s="294">
        <v>0.254</v>
      </c>
      <c r="AE275" s="281">
        <v>0.313</v>
      </c>
      <c r="AF275" s="288">
        <v>0.502</v>
      </c>
      <c r="AG275" s="303">
        <v>0</v>
      </c>
      <c r="AH275" s="356">
        <v>0</v>
      </c>
      <c r="AI275" s="301">
        <f t="shared" si="16"/>
        <v>9.9999999999944578E-4</v>
      </c>
      <c r="AK275" s="437" t="s">
        <v>50</v>
      </c>
    </row>
    <row r="276" spans="1:248" ht="45" customHeight="1" thickBot="1" x14ac:dyDescent="0.25">
      <c r="A276" s="444">
        <v>11739</v>
      </c>
      <c r="B276" s="445" t="s">
        <v>51</v>
      </c>
      <c r="C276" s="445" t="s">
        <v>286</v>
      </c>
      <c r="D276" s="470"/>
      <c r="E276" s="445">
        <v>500</v>
      </c>
      <c r="F276" s="445" t="s">
        <v>767</v>
      </c>
      <c r="G276" s="445" t="s">
        <v>286</v>
      </c>
      <c r="H276" s="448" t="s">
        <v>55</v>
      </c>
      <c r="I276" s="451">
        <f>SUMIF('Wege im Detail'!$A:$A,"11739",'Wege im Detail'!$P:$P)</f>
        <v>225.90599999999998</v>
      </c>
      <c r="J276" s="508" t="s">
        <v>768</v>
      </c>
      <c r="L276" s="211">
        <f>W276/(Y276/100)</f>
        <v>7.5288457254867014</v>
      </c>
      <c r="M276" s="197" t="s">
        <v>60</v>
      </c>
      <c r="N276" s="198" t="s">
        <v>60</v>
      </c>
      <c r="O276" s="213" t="s">
        <v>60</v>
      </c>
      <c r="R276" s="275">
        <v>0.94</v>
      </c>
      <c r="S276" s="276">
        <v>36.4</v>
      </c>
      <c r="T276" s="277">
        <v>107</v>
      </c>
      <c r="U276" s="276">
        <v>37.1</v>
      </c>
      <c r="V276" s="277">
        <v>22.6</v>
      </c>
      <c r="W276" s="276">
        <v>16.899999999999999</v>
      </c>
      <c r="X276" s="277">
        <v>3.53</v>
      </c>
      <c r="Y276" s="278">
        <f t="shared" si="14"/>
        <v>224.47</v>
      </c>
      <c r="Z276" s="284"/>
      <c r="AA276" s="285">
        <v>7.42</v>
      </c>
      <c r="AB276" s="286">
        <v>35.1</v>
      </c>
      <c r="AC276" s="285">
        <v>140</v>
      </c>
      <c r="AD276" s="295">
        <v>9.64</v>
      </c>
      <c r="AE276" s="286">
        <v>14.7</v>
      </c>
      <c r="AF276" s="289">
        <v>17.100000000000001</v>
      </c>
      <c r="AG276" s="304">
        <v>0.23</v>
      </c>
      <c r="AH276" s="357">
        <v>0.59799999999999998</v>
      </c>
      <c r="AI276" s="301">
        <f t="shared" si="16"/>
        <v>-1.4359999999999786</v>
      </c>
      <c r="AJ276" s="607" t="s">
        <v>769</v>
      </c>
      <c r="AK276" s="437" t="s">
        <v>50</v>
      </c>
      <c r="AL276" s="431"/>
      <c r="AM276" s="443"/>
      <c r="AN276" s="423"/>
    </row>
    <row r="277" spans="1:248" ht="45" customHeight="1" thickBot="1" x14ac:dyDescent="0.3">
      <c r="A277" s="444">
        <v>13342</v>
      </c>
      <c r="B277" s="445" t="s">
        <v>84</v>
      </c>
      <c r="C277" s="455" t="s">
        <v>85</v>
      </c>
      <c r="D277" s="445"/>
      <c r="E277" s="445" t="s">
        <v>771</v>
      </c>
      <c r="F277" s="445" t="s">
        <v>168</v>
      </c>
      <c r="G277" s="445"/>
      <c r="H277" s="448" t="s">
        <v>55</v>
      </c>
      <c r="I277" s="451">
        <f>SUMIF('Wege im Detail'!$A:$A,"13342",'Wege im Detail'!$P:$P)</f>
        <v>3.3050000000000002</v>
      </c>
      <c r="J277" s="508" t="s">
        <v>772</v>
      </c>
      <c r="L277" s="209">
        <v>72</v>
      </c>
      <c r="M277" s="197">
        <v>100</v>
      </c>
      <c r="N277" s="198">
        <v>0</v>
      </c>
      <c r="O277" s="213">
        <v>0</v>
      </c>
      <c r="P277" s="350">
        <v>0</v>
      </c>
      <c r="R277" s="275">
        <v>0</v>
      </c>
      <c r="S277" s="276">
        <v>0</v>
      </c>
      <c r="T277" s="277">
        <v>0.68</v>
      </c>
      <c r="U277" s="276">
        <v>0</v>
      </c>
      <c r="V277" s="277">
        <v>2.65</v>
      </c>
      <c r="W277" s="276">
        <v>0</v>
      </c>
      <c r="X277" s="277">
        <v>0</v>
      </c>
      <c r="Y277" s="278">
        <f t="shared" si="14"/>
        <v>3.33</v>
      </c>
      <c r="Z277" s="279"/>
      <c r="AA277" s="280">
        <v>0</v>
      </c>
      <c r="AB277" s="281">
        <v>0</v>
      </c>
      <c r="AC277" s="280">
        <v>0.68</v>
      </c>
      <c r="AD277" s="294">
        <v>0</v>
      </c>
      <c r="AE277" s="281">
        <v>2.64</v>
      </c>
      <c r="AF277" s="288">
        <v>0.55549999999999999</v>
      </c>
      <c r="AG277" s="303">
        <v>0</v>
      </c>
      <c r="AH277" s="356">
        <v>0</v>
      </c>
      <c r="AI277" s="301">
        <f t="shared" si="16"/>
        <v>2.4999999999999911E-2</v>
      </c>
      <c r="AK277" s="437" t="s">
        <v>50</v>
      </c>
    </row>
    <row r="278" spans="1:248" ht="45" customHeight="1" thickBot="1" x14ac:dyDescent="0.3">
      <c r="A278" s="444">
        <v>13343</v>
      </c>
      <c r="B278" s="445" t="s">
        <v>84</v>
      </c>
      <c r="C278" s="455" t="s">
        <v>85</v>
      </c>
      <c r="D278" s="445"/>
      <c r="E278" s="445" t="s">
        <v>774</v>
      </c>
      <c r="F278" s="445" t="s">
        <v>273</v>
      </c>
      <c r="G278" s="445"/>
      <c r="H278" s="448" t="s">
        <v>55</v>
      </c>
      <c r="I278" s="451">
        <f>SUMIF('Wege im Detail'!$A:$A,"13343",'Wege im Detail'!$P:$P)</f>
        <v>5.48</v>
      </c>
      <c r="J278" s="508" t="s">
        <v>775</v>
      </c>
      <c r="L278" s="209">
        <v>15</v>
      </c>
      <c r="M278" s="197">
        <v>99</v>
      </c>
      <c r="N278" s="198">
        <v>1</v>
      </c>
      <c r="O278" s="213">
        <v>0</v>
      </c>
      <c r="P278" s="350">
        <v>0</v>
      </c>
      <c r="R278" s="275">
        <v>0</v>
      </c>
      <c r="S278" s="276">
        <v>0.66800000000000004</v>
      </c>
      <c r="T278" s="277">
        <v>3.335</v>
      </c>
      <c r="U278" s="276">
        <v>0</v>
      </c>
      <c r="V278" s="277">
        <v>1.353</v>
      </c>
      <c r="W278" s="276">
        <v>0</v>
      </c>
      <c r="X278" s="277">
        <v>0</v>
      </c>
      <c r="Y278" s="278">
        <f t="shared" si="14"/>
        <v>5.3559999999999999</v>
      </c>
      <c r="Z278" s="279"/>
      <c r="AA278" s="280">
        <v>0</v>
      </c>
      <c r="AB278" s="281">
        <v>0</v>
      </c>
      <c r="AC278" s="280">
        <v>4.6509999999999998</v>
      </c>
      <c r="AD278" s="294">
        <v>0</v>
      </c>
      <c r="AE278" s="281">
        <v>0.68300000000000005</v>
      </c>
      <c r="AF278" s="288">
        <v>0.55549999999999999</v>
      </c>
      <c r="AG278" s="303">
        <v>0</v>
      </c>
      <c r="AH278" s="356">
        <v>0</v>
      </c>
      <c r="AI278" s="301">
        <f t="shared" si="16"/>
        <v>-0.12400000000000055</v>
      </c>
      <c r="AK278" s="437" t="s">
        <v>50</v>
      </c>
    </row>
    <row r="279" spans="1:248" ht="45" customHeight="1" thickBot="1" x14ac:dyDescent="0.3">
      <c r="A279" s="444">
        <v>14123</v>
      </c>
      <c r="B279" s="445" t="s">
        <v>51</v>
      </c>
      <c r="C279" s="445" t="s">
        <v>91</v>
      </c>
      <c r="D279" s="470"/>
      <c r="E279" s="445">
        <v>508</v>
      </c>
      <c r="F279" s="445" t="s">
        <v>777</v>
      </c>
      <c r="G279" s="445"/>
      <c r="H279" s="448" t="s">
        <v>55</v>
      </c>
      <c r="I279" s="451">
        <f>SUMIF('Wege im Detail'!$A:$A,"14123",'Wege im Detail'!$P:$P)</f>
        <v>2.5190000000000001</v>
      </c>
      <c r="J279" s="516" t="s">
        <v>778</v>
      </c>
      <c r="K279" s="238"/>
      <c r="L279" s="209">
        <v>61</v>
      </c>
      <c r="M279" s="195">
        <v>92</v>
      </c>
      <c r="N279" s="196">
        <v>6</v>
      </c>
      <c r="O279" s="212">
        <v>2</v>
      </c>
      <c r="P279" s="350">
        <v>0</v>
      </c>
      <c r="R279" s="275">
        <v>0</v>
      </c>
      <c r="S279" s="276">
        <v>0</v>
      </c>
      <c r="T279" s="277">
        <v>0.34399999999999997</v>
      </c>
      <c r="U279" s="276">
        <v>0</v>
      </c>
      <c r="V279" s="277">
        <v>1.5</v>
      </c>
      <c r="W279" s="276">
        <v>0.55549999999999999</v>
      </c>
      <c r="X279" s="277">
        <v>0.628</v>
      </c>
      <c r="Y279" s="278">
        <f t="shared" si="14"/>
        <v>3.0274999999999999</v>
      </c>
      <c r="Z279" s="279"/>
      <c r="AA279" s="280">
        <v>0</v>
      </c>
      <c r="AB279" s="281">
        <v>0.34399999999999997</v>
      </c>
      <c r="AC279" s="280">
        <v>0.53</v>
      </c>
      <c r="AD279" s="294">
        <v>0</v>
      </c>
      <c r="AE279" s="281">
        <v>0.69799999999999995</v>
      </c>
      <c r="AF279" s="288">
        <v>0.94</v>
      </c>
      <c r="AG279" s="303">
        <v>0</v>
      </c>
      <c r="AH279" s="356">
        <v>0</v>
      </c>
      <c r="AI279" s="301">
        <f t="shared" si="16"/>
        <v>0.50849999999999973</v>
      </c>
      <c r="AJ279" s="57"/>
      <c r="AK279" s="437" t="s">
        <v>50</v>
      </c>
      <c r="AN279" s="714"/>
    </row>
    <row r="280" spans="1:248" s="35" customFormat="1" ht="45" customHeight="1" thickBot="1" x14ac:dyDescent="0.25">
      <c r="A280" s="444">
        <v>14124</v>
      </c>
      <c r="B280" s="445" t="s">
        <v>51</v>
      </c>
      <c r="C280" s="445" t="s">
        <v>91</v>
      </c>
      <c r="D280" s="470"/>
      <c r="E280" s="445">
        <v>509</v>
      </c>
      <c r="F280" s="445" t="s">
        <v>777</v>
      </c>
      <c r="G280" s="445"/>
      <c r="H280" s="448" t="s">
        <v>55</v>
      </c>
      <c r="I280" s="451">
        <f>SUMIF('Wege im Detail'!$A:$A,"14124",'Wege im Detail'!$P:$P)</f>
        <v>5.81</v>
      </c>
      <c r="J280" s="516" t="s">
        <v>779</v>
      </c>
      <c r="K280" s="238"/>
      <c r="L280" s="209">
        <v>65</v>
      </c>
      <c r="M280" s="197">
        <v>88</v>
      </c>
      <c r="N280" s="198">
        <v>10</v>
      </c>
      <c r="O280" s="213">
        <v>2</v>
      </c>
      <c r="P280" s="350">
        <v>0</v>
      </c>
      <c r="Q280" s="226"/>
      <c r="R280" s="275">
        <v>0</v>
      </c>
      <c r="S280" s="276">
        <v>1.04</v>
      </c>
      <c r="T280" s="277">
        <v>0.52800000000000002</v>
      </c>
      <c r="U280" s="276">
        <v>0</v>
      </c>
      <c r="V280" s="277">
        <v>3.23</v>
      </c>
      <c r="W280" s="276">
        <v>0.56200000000000006</v>
      </c>
      <c r="X280" s="277">
        <v>0.44400000000000001</v>
      </c>
      <c r="Y280" s="278">
        <f t="shared" si="14"/>
        <v>5.8040000000000003</v>
      </c>
      <c r="Z280" s="282"/>
      <c r="AA280" s="280">
        <v>0</v>
      </c>
      <c r="AB280" s="281">
        <v>0.214</v>
      </c>
      <c r="AC280" s="280">
        <v>0.755</v>
      </c>
      <c r="AD280" s="294">
        <v>1.44</v>
      </c>
      <c r="AE280" s="281">
        <v>2.72</v>
      </c>
      <c r="AF280" s="288">
        <v>0.67200000000000004</v>
      </c>
      <c r="AG280" s="303">
        <v>0</v>
      </c>
      <c r="AH280" s="356">
        <v>0</v>
      </c>
      <c r="AI280" s="301">
        <f t="shared" si="16"/>
        <v>-5.9999999999993392E-3</v>
      </c>
      <c r="AJ280" s="713"/>
      <c r="AK280" s="437" t="s">
        <v>50</v>
      </c>
      <c r="AL280" s="427"/>
      <c r="AM280" s="428"/>
      <c r="AN280" s="428"/>
    </row>
    <row r="281" spans="1:248" s="35" customFormat="1" ht="45" customHeight="1" thickBot="1" x14ac:dyDescent="0.3">
      <c r="A281" s="444">
        <v>14160</v>
      </c>
      <c r="B281" s="445" t="s">
        <v>51</v>
      </c>
      <c r="C281" s="445" t="s">
        <v>91</v>
      </c>
      <c r="D281" s="470"/>
      <c r="E281" s="445">
        <v>501</v>
      </c>
      <c r="F281" s="445" t="s">
        <v>777</v>
      </c>
      <c r="G281" s="445"/>
      <c r="H281" s="448" t="s">
        <v>55</v>
      </c>
      <c r="I281" s="451">
        <f>SUMIF('Wege im Detail'!$A:$A,"14160",'Wege im Detail'!$P:$P)</f>
        <v>11.629000000000001</v>
      </c>
      <c r="J281" s="516" t="s">
        <v>780</v>
      </c>
      <c r="K281" s="237"/>
      <c r="L281" s="209">
        <v>18</v>
      </c>
      <c r="M281" s="197">
        <v>98</v>
      </c>
      <c r="N281" s="198">
        <v>1</v>
      </c>
      <c r="O281" s="213">
        <v>0</v>
      </c>
      <c r="P281" s="350">
        <v>1</v>
      </c>
      <c r="Q281" s="226"/>
      <c r="R281" s="275">
        <v>0</v>
      </c>
      <c r="S281" s="276">
        <v>1.06</v>
      </c>
      <c r="T281" s="277">
        <v>4.6500000000000004</v>
      </c>
      <c r="U281" s="276">
        <v>4.0199999999999996</v>
      </c>
      <c r="V281" s="277">
        <v>0.90500000000000003</v>
      </c>
      <c r="W281" s="276">
        <v>1.01</v>
      </c>
      <c r="X281" s="277">
        <v>0.55549999999999999</v>
      </c>
      <c r="Y281" s="278">
        <f t="shared" si="14"/>
        <v>12.2005</v>
      </c>
      <c r="Z281" s="279"/>
      <c r="AA281" s="280">
        <v>0</v>
      </c>
      <c r="AB281" s="281">
        <v>1.25</v>
      </c>
      <c r="AC281" s="280">
        <v>8.7799999999999994</v>
      </c>
      <c r="AD281" s="294">
        <v>0.55549999999999999</v>
      </c>
      <c r="AE281" s="281">
        <v>0.84499999999999997</v>
      </c>
      <c r="AF281" s="288">
        <v>0.75900000000000001</v>
      </c>
      <c r="AG281" s="303">
        <v>0</v>
      </c>
      <c r="AH281" s="356">
        <v>0</v>
      </c>
      <c r="AI281" s="301">
        <f t="shared" si="16"/>
        <v>0.57149999999999856</v>
      </c>
      <c r="AJ281" s="401"/>
      <c r="AK281" s="437" t="s">
        <v>50</v>
      </c>
      <c r="AL281" s="425"/>
      <c r="AM281" s="426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</row>
    <row r="282" spans="1:248" s="35" customFormat="1" ht="45" customHeight="1" thickBot="1" x14ac:dyDescent="0.3">
      <c r="A282" s="444">
        <v>14192</v>
      </c>
      <c r="B282" s="445" t="s">
        <v>51</v>
      </c>
      <c r="C282" s="445" t="s">
        <v>91</v>
      </c>
      <c r="D282" s="470"/>
      <c r="E282" s="445">
        <v>512</v>
      </c>
      <c r="F282" s="445" t="s">
        <v>777</v>
      </c>
      <c r="G282" s="445"/>
      <c r="H282" s="448" t="s">
        <v>55</v>
      </c>
      <c r="I282" s="451">
        <f>SUMIF('Wege im Detail'!$A:$A,"14192",'Wege im Detail'!$P:$P)</f>
        <v>2.4</v>
      </c>
      <c r="J282" s="516" t="s">
        <v>781</v>
      </c>
      <c r="K282" s="238"/>
      <c r="L282" s="209">
        <v>21</v>
      </c>
      <c r="M282" s="197">
        <v>90</v>
      </c>
      <c r="N282" s="198">
        <v>10</v>
      </c>
      <c r="O282" s="213">
        <v>0</v>
      </c>
      <c r="P282" s="350">
        <v>0</v>
      </c>
      <c r="Q282" s="226"/>
      <c r="R282" s="275">
        <v>0</v>
      </c>
      <c r="S282" s="276">
        <v>0</v>
      </c>
      <c r="T282" s="277">
        <v>1.85</v>
      </c>
      <c r="U282" s="276">
        <v>0.34</v>
      </c>
      <c r="V282" s="277">
        <v>0.55549999999999999</v>
      </c>
      <c r="W282" s="276">
        <v>0.246</v>
      </c>
      <c r="X282" s="277">
        <v>0.17199999999999999</v>
      </c>
      <c r="Y282" s="278">
        <f t="shared" si="14"/>
        <v>3.1635</v>
      </c>
      <c r="Z282" s="279"/>
      <c r="AA282" s="280">
        <v>0</v>
      </c>
      <c r="AB282" s="281">
        <v>0.13100000000000001</v>
      </c>
      <c r="AC282" s="280">
        <v>1.79</v>
      </c>
      <c r="AD282" s="294">
        <v>0.55549999999999999</v>
      </c>
      <c r="AE282" s="281">
        <v>0.35099999999999998</v>
      </c>
      <c r="AF282" s="288">
        <v>0.246</v>
      </c>
      <c r="AG282" s="303">
        <v>0</v>
      </c>
      <c r="AH282" s="356">
        <v>0</v>
      </c>
      <c r="AI282" s="301">
        <f t="shared" si="16"/>
        <v>0.76350000000000007</v>
      </c>
      <c r="AJ282" s="401"/>
      <c r="AK282" s="437" t="s">
        <v>50</v>
      </c>
      <c r="AL282" s="425"/>
      <c r="AM282" s="426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</row>
    <row r="283" spans="1:248" s="35" customFormat="1" ht="45" customHeight="1" thickBot="1" x14ac:dyDescent="0.3">
      <c r="A283" s="444">
        <v>14193</v>
      </c>
      <c r="B283" s="445" t="s">
        <v>51</v>
      </c>
      <c r="C283" s="445" t="s">
        <v>91</v>
      </c>
      <c r="D283" s="470"/>
      <c r="E283" s="445">
        <v>510</v>
      </c>
      <c r="F283" s="445" t="s">
        <v>777</v>
      </c>
      <c r="G283" s="445"/>
      <c r="H283" s="448" t="s">
        <v>55</v>
      </c>
      <c r="I283" s="451">
        <f>SUMIF('Wege im Detail'!$A:$A,"14193",'Wege im Detail'!$P:$P)</f>
        <v>2.4129999999999998</v>
      </c>
      <c r="J283" s="516" t="s">
        <v>782</v>
      </c>
      <c r="K283" s="238"/>
      <c r="L283" s="209">
        <v>34</v>
      </c>
      <c r="M283" s="197">
        <v>97</v>
      </c>
      <c r="N283" s="198">
        <v>0</v>
      </c>
      <c r="O283" s="213">
        <v>3</v>
      </c>
      <c r="P283" s="350">
        <v>0</v>
      </c>
      <c r="Q283" s="226"/>
      <c r="R283" s="275">
        <v>0</v>
      </c>
      <c r="S283" s="276">
        <v>1.59</v>
      </c>
      <c r="T283" s="277">
        <v>0</v>
      </c>
      <c r="U283" s="276">
        <v>0</v>
      </c>
      <c r="V283" s="277">
        <v>0.51300000000000001</v>
      </c>
      <c r="W283" s="276">
        <v>0.374</v>
      </c>
      <c r="X283" s="277">
        <v>0</v>
      </c>
      <c r="Y283" s="278">
        <f t="shared" si="14"/>
        <v>2.4770000000000003</v>
      </c>
      <c r="Z283" s="279"/>
      <c r="AA283" s="280">
        <v>0</v>
      </c>
      <c r="AB283" s="281">
        <v>0</v>
      </c>
      <c r="AC283" s="280">
        <v>1.59</v>
      </c>
      <c r="AD283" s="294">
        <v>0</v>
      </c>
      <c r="AE283" s="281">
        <v>0.70499999999999996</v>
      </c>
      <c r="AF283" s="288">
        <v>0.182</v>
      </c>
      <c r="AG283" s="303">
        <v>0</v>
      </c>
      <c r="AH283" s="356">
        <v>0</v>
      </c>
      <c r="AI283" s="301">
        <f t="shared" si="16"/>
        <v>6.4000000000000501E-2</v>
      </c>
      <c r="AJ283" s="401"/>
      <c r="AK283" s="437" t="s">
        <v>50</v>
      </c>
      <c r="AL283" s="425"/>
      <c r="AM283" s="426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</row>
    <row r="284" spans="1:248" ht="45" customHeight="1" thickBot="1" x14ac:dyDescent="0.3">
      <c r="A284" s="444">
        <v>14194</v>
      </c>
      <c r="B284" s="445" t="s">
        <v>51</v>
      </c>
      <c r="C284" s="445" t="s">
        <v>91</v>
      </c>
      <c r="D284" s="470"/>
      <c r="E284" s="445">
        <v>516</v>
      </c>
      <c r="F284" s="445" t="s">
        <v>777</v>
      </c>
      <c r="G284" s="445"/>
      <c r="H284" s="448" t="s">
        <v>55</v>
      </c>
      <c r="I284" s="451">
        <f>SUMIF('Wege im Detail'!$A:$A,"14194",'Wege im Detail'!$P:$P)</f>
        <v>2.6739999999999999</v>
      </c>
      <c r="J284" s="516" t="s">
        <v>783</v>
      </c>
      <c r="K284" s="238"/>
      <c r="L284" s="209">
        <v>22</v>
      </c>
      <c r="M284" s="197">
        <v>92</v>
      </c>
      <c r="N284" s="198">
        <v>8</v>
      </c>
      <c r="O284" s="213">
        <v>0</v>
      </c>
      <c r="P284" s="350">
        <v>0</v>
      </c>
      <c r="R284" s="275">
        <v>0</v>
      </c>
      <c r="S284" s="276">
        <v>0</v>
      </c>
      <c r="T284" s="277">
        <v>1.88</v>
      </c>
      <c r="U284" s="276">
        <v>0</v>
      </c>
      <c r="V284" s="277">
        <v>0.628</v>
      </c>
      <c r="W284" s="276">
        <v>0</v>
      </c>
      <c r="X284" s="277">
        <v>0.16900000000000001</v>
      </c>
      <c r="Y284" s="278">
        <f t="shared" si="14"/>
        <v>2.677</v>
      </c>
      <c r="Z284" s="279"/>
      <c r="AA284" s="280">
        <v>0</v>
      </c>
      <c r="AB284" s="281">
        <v>0</v>
      </c>
      <c r="AC284" s="280">
        <v>0.20499999999999999</v>
      </c>
      <c r="AD284" s="294">
        <v>0</v>
      </c>
      <c r="AE284" s="281">
        <v>0.44700000000000001</v>
      </c>
      <c r="AF284" s="288">
        <v>0.18099999999999999</v>
      </c>
      <c r="AG284" s="303">
        <v>0</v>
      </c>
      <c r="AH284" s="356">
        <v>0</v>
      </c>
      <c r="AI284" s="301">
        <f t="shared" si="16"/>
        <v>3.0000000000001137E-3</v>
      </c>
      <c r="AK284" s="437" t="s">
        <v>50</v>
      </c>
    </row>
    <row r="285" spans="1:248" ht="45" customHeight="1" thickBot="1" x14ac:dyDescent="0.3">
      <c r="A285" s="444">
        <v>14195</v>
      </c>
      <c r="B285" s="445" t="s">
        <v>51</v>
      </c>
      <c r="C285" s="445" t="s">
        <v>91</v>
      </c>
      <c r="D285" s="470"/>
      <c r="E285" s="445">
        <v>518</v>
      </c>
      <c r="F285" s="445" t="s">
        <v>777</v>
      </c>
      <c r="G285" s="445"/>
      <c r="H285" s="448" t="s">
        <v>55</v>
      </c>
      <c r="I285" s="451">
        <f>SUMIF('Wege im Detail'!$A:$A,"14195",'Wege im Detail'!$P:$P)</f>
        <v>13.849</v>
      </c>
      <c r="J285" s="516" t="s">
        <v>784</v>
      </c>
      <c r="K285" s="238"/>
      <c r="L285" s="209">
        <v>23</v>
      </c>
      <c r="M285" s="197">
        <v>97</v>
      </c>
      <c r="N285" s="198">
        <v>0</v>
      </c>
      <c r="O285" s="213">
        <v>3</v>
      </c>
      <c r="P285" s="350">
        <v>0</v>
      </c>
      <c r="R285" s="275">
        <v>0</v>
      </c>
      <c r="S285" s="276">
        <v>1.1859999999999999</v>
      </c>
      <c r="T285" s="277">
        <v>7.89</v>
      </c>
      <c r="U285" s="276">
        <v>0.83899999999999997</v>
      </c>
      <c r="V285" s="277">
        <v>2.069</v>
      </c>
      <c r="W285" s="276">
        <v>1.1739999999999999</v>
      </c>
      <c r="X285" s="277">
        <v>0.56699999999999995</v>
      </c>
      <c r="Y285" s="278">
        <f t="shared" ref="Y285:Y295" si="17">SUM(R285:X285)</f>
        <v>13.725000000000001</v>
      </c>
      <c r="Z285" s="279"/>
      <c r="AA285" s="280">
        <v>0</v>
      </c>
      <c r="AB285" s="281">
        <v>5.0019999999999998</v>
      </c>
      <c r="AC285" s="280">
        <v>4.82</v>
      </c>
      <c r="AD285" s="294">
        <v>0</v>
      </c>
      <c r="AE285" s="281">
        <v>2.5179999999999998</v>
      </c>
      <c r="AF285" s="288">
        <v>1.36</v>
      </c>
      <c r="AG285" s="303">
        <v>0</v>
      </c>
      <c r="AH285" s="356">
        <v>0</v>
      </c>
      <c r="AI285" s="301">
        <f t="shared" si="16"/>
        <v>-0.12399999999999878</v>
      </c>
      <c r="AK285" s="437" t="s">
        <v>50</v>
      </c>
    </row>
    <row r="286" spans="1:248" ht="45" customHeight="1" thickBot="1" x14ac:dyDescent="0.3">
      <c r="A286" s="444">
        <v>14196</v>
      </c>
      <c r="B286" s="445" t="s">
        <v>51</v>
      </c>
      <c r="C286" s="445" t="s">
        <v>91</v>
      </c>
      <c r="D286" s="470"/>
      <c r="E286" s="445">
        <v>507</v>
      </c>
      <c r="F286" s="445" t="s">
        <v>777</v>
      </c>
      <c r="G286" s="445"/>
      <c r="H286" s="448" t="s">
        <v>55</v>
      </c>
      <c r="I286" s="451">
        <f>SUMIF('Wege im Detail'!$A:$A,"14196",'Wege im Detail'!$P:$P)</f>
        <v>1.0569999999999999</v>
      </c>
      <c r="J286" s="516" t="s">
        <v>785</v>
      </c>
      <c r="K286" s="238"/>
      <c r="L286" s="209">
        <v>62</v>
      </c>
      <c r="M286" s="197">
        <v>97</v>
      </c>
      <c r="N286" s="198">
        <v>3</v>
      </c>
      <c r="O286" s="213">
        <v>0</v>
      </c>
      <c r="P286" s="350">
        <v>0</v>
      </c>
      <c r="R286" s="275">
        <v>0</v>
      </c>
      <c r="S286" s="276">
        <v>0</v>
      </c>
      <c r="T286" s="277">
        <v>0.39700000000000002</v>
      </c>
      <c r="U286" s="276">
        <v>0</v>
      </c>
      <c r="V286" s="277">
        <v>0.372</v>
      </c>
      <c r="W286" s="276">
        <v>0.28799999999999998</v>
      </c>
      <c r="X286" s="277">
        <v>0</v>
      </c>
      <c r="Y286" s="278">
        <f t="shared" si="17"/>
        <v>1.0569999999999999</v>
      </c>
      <c r="Z286" s="279"/>
      <c r="AA286" s="280">
        <v>0</v>
      </c>
      <c r="AB286" s="281">
        <v>0</v>
      </c>
      <c r="AC286" s="280">
        <v>0.39700000000000002</v>
      </c>
      <c r="AD286" s="294">
        <v>0.28799999999999998</v>
      </c>
      <c r="AE286" s="281">
        <v>0.34599999999999997</v>
      </c>
      <c r="AF286" s="288">
        <v>0.55549999999999999</v>
      </c>
      <c r="AG286" s="303">
        <v>0</v>
      </c>
      <c r="AH286" s="356">
        <v>0</v>
      </c>
      <c r="AI286" s="301">
        <f t="shared" si="16"/>
        <v>0</v>
      </c>
      <c r="AK286" s="437" t="s">
        <v>50</v>
      </c>
    </row>
    <row r="287" spans="1:248" ht="45" customHeight="1" thickBot="1" x14ac:dyDescent="0.3">
      <c r="A287" s="444">
        <v>14197</v>
      </c>
      <c r="B287" s="445" t="s">
        <v>51</v>
      </c>
      <c r="C287" s="445" t="s">
        <v>91</v>
      </c>
      <c r="D287" s="470"/>
      <c r="E287" s="445">
        <v>506</v>
      </c>
      <c r="F287" s="445" t="s">
        <v>777</v>
      </c>
      <c r="G287" s="445"/>
      <c r="H287" s="448" t="s">
        <v>55</v>
      </c>
      <c r="I287" s="451">
        <f>SUMIF('Wege im Detail'!$A:$A,"14197",'Wege im Detail'!$P:$P)</f>
        <v>3.6890000000000001</v>
      </c>
      <c r="J287" s="516" t="s">
        <v>786</v>
      </c>
      <c r="K287" s="238"/>
      <c r="L287" s="209">
        <v>43</v>
      </c>
      <c r="M287" s="197">
        <v>71</v>
      </c>
      <c r="N287" s="198">
        <v>0</v>
      </c>
      <c r="O287" s="213">
        <v>29</v>
      </c>
      <c r="P287" s="350">
        <v>0</v>
      </c>
      <c r="R287" s="275">
        <v>0</v>
      </c>
      <c r="S287" s="276">
        <v>0</v>
      </c>
      <c r="T287" s="277">
        <v>1.58</v>
      </c>
      <c r="U287" s="276">
        <v>0</v>
      </c>
      <c r="V287" s="277">
        <v>0.51900000000000002</v>
      </c>
      <c r="W287" s="276">
        <v>1.0900000000000001</v>
      </c>
      <c r="X287" s="277">
        <v>0.501</v>
      </c>
      <c r="Y287" s="278">
        <f t="shared" si="17"/>
        <v>3.69</v>
      </c>
      <c r="Z287" s="279"/>
      <c r="AA287" s="280">
        <v>0</v>
      </c>
      <c r="AB287" s="281">
        <v>0</v>
      </c>
      <c r="AC287" s="280">
        <v>1.65</v>
      </c>
      <c r="AD287" s="294">
        <v>0.42899999999999999</v>
      </c>
      <c r="AE287" s="281">
        <v>0.51900000000000002</v>
      </c>
      <c r="AF287" s="288">
        <v>1.0900000000000001</v>
      </c>
      <c r="AG287" s="303">
        <v>0</v>
      </c>
      <c r="AH287" s="356">
        <v>0</v>
      </c>
      <c r="AI287" s="301">
        <f t="shared" si="16"/>
        <v>9.9999999999988987E-4</v>
      </c>
      <c r="AK287" s="437" t="s">
        <v>50</v>
      </c>
    </row>
    <row r="288" spans="1:248" ht="45" customHeight="1" thickBot="1" x14ac:dyDescent="0.25">
      <c r="A288" s="444">
        <v>14225</v>
      </c>
      <c r="B288" s="445" t="s">
        <v>51</v>
      </c>
      <c r="C288" s="445" t="s">
        <v>91</v>
      </c>
      <c r="D288" s="470"/>
      <c r="E288" s="445">
        <v>513</v>
      </c>
      <c r="F288" s="445" t="s">
        <v>777</v>
      </c>
      <c r="G288" s="445"/>
      <c r="H288" s="448" t="s">
        <v>55</v>
      </c>
      <c r="I288" s="451">
        <f>SUMIF('Wege im Detail'!$A:$A,"14225",'Wege im Detail'!$P:$P)</f>
        <v>12.524000000000001</v>
      </c>
      <c r="J288" s="516" t="s">
        <v>787</v>
      </c>
      <c r="L288" s="209">
        <v>56</v>
      </c>
      <c r="M288" s="197">
        <v>86</v>
      </c>
      <c r="N288" s="198">
        <v>6</v>
      </c>
      <c r="O288" s="213">
        <v>7</v>
      </c>
      <c r="P288" s="350">
        <v>1</v>
      </c>
      <c r="R288" s="275">
        <v>0</v>
      </c>
      <c r="S288" s="276">
        <v>0.65900000000000003</v>
      </c>
      <c r="T288" s="277">
        <v>1.45</v>
      </c>
      <c r="U288" s="276">
        <v>3.63</v>
      </c>
      <c r="V288" s="277">
        <v>3.29</v>
      </c>
      <c r="W288" s="276">
        <v>3.49</v>
      </c>
      <c r="X288" s="277">
        <v>0.55549999999999999</v>
      </c>
      <c r="Y288" s="278">
        <f t="shared" si="17"/>
        <v>13.0745</v>
      </c>
      <c r="Z288" s="282"/>
      <c r="AA288" s="280">
        <v>0.65900000000000003</v>
      </c>
      <c r="AB288" s="281">
        <v>0.55549999999999999</v>
      </c>
      <c r="AC288" s="280">
        <v>4.43</v>
      </c>
      <c r="AD288" s="294">
        <v>2.83</v>
      </c>
      <c r="AE288" s="281">
        <v>0.83340000000000003</v>
      </c>
      <c r="AF288" s="288">
        <v>3.7</v>
      </c>
      <c r="AG288" s="303">
        <v>0</v>
      </c>
      <c r="AH288" s="356">
        <v>0</v>
      </c>
      <c r="AI288" s="301">
        <f t="shared" si="16"/>
        <v>0.55049999999999955</v>
      </c>
      <c r="AJ288" s="187"/>
      <c r="AK288" s="437" t="s">
        <v>50</v>
      </c>
      <c r="AL288" s="427"/>
      <c r="AM288" s="428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</row>
    <row r="289" spans="1:248" ht="45" customHeight="1" thickBot="1" x14ac:dyDescent="0.3">
      <c r="A289" s="444">
        <v>14257</v>
      </c>
      <c r="B289" s="445" t="s">
        <v>51</v>
      </c>
      <c r="C289" s="445" t="s">
        <v>91</v>
      </c>
      <c r="D289" s="470"/>
      <c r="E289" s="445">
        <v>514</v>
      </c>
      <c r="F289" s="445" t="s">
        <v>777</v>
      </c>
      <c r="G289" s="445"/>
      <c r="H289" s="448" t="s">
        <v>55</v>
      </c>
      <c r="I289" s="451">
        <f>SUMIF('Wege im Detail'!$A:$A,"14257",'Wege im Detail'!$P:$P)</f>
        <v>5.9619999999999997</v>
      </c>
      <c r="J289" s="516" t="s">
        <v>788</v>
      </c>
      <c r="K289" s="238"/>
      <c r="L289" s="209">
        <v>34</v>
      </c>
      <c r="M289" s="197">
        <v>99</v>
      </c>
      <c r="N289" s="198">
        <v>0</v>
      </c>
      <c r="O289" s="213">
        <v>1</v>
      </c>
      <c r="P289" s="350">
        <v>0</v>
      </c>
      <c r="R289" s="275">
        <v>0</v>
      </c>
      <c r="S289" s="276">
        <v>0.51100000000000001</v>
      </c>
      <c r="T289" s="277">
        <v>3.41</v>
      </c>
      <c r="U289" s="276">
        <v>0</v>
      </c>
      <c r="V289" s="277">
        <v>1.97</v>
      </c>
      <c r="W289" s="276">
        <v>0.55549999999999999</v>
      </c>
      <c r="X289" s="277">
        <v>0.55549999999999999</v>
      </c>
      <c r="Y289" s="278">
        <f t="shared" si="17"/>
        <v>7.0020000000000007</v>
      </c>
      <c r="Z289" s="279"/>
      <c r="AA289" s="280">
        <v>0</v>
      </c>
      <c r="AB289" s="281">
        <v>0.50700000000000001</v>
      </c>
      <c r="AC289" s="280">
        <v>3.41</v>
      </c>
      <c r="AD289" s="294">
        <v>0</v>
      </c>
      <c r="AE289" s="281">
        <v>0.23799999999999999</v>
      </c>
      <c r="AF289" s="288">
        <v>1.77</v>
      </c>
      <c r="AG289" s="303">
        <v>0</v>
      </c>
      <c r="AH289" s="356">
        <v>0</v>
      </c>
      <c r="AI289" s="301">
        <f t="shared" si="16"/>
        <v>1.0400000000000009</v>
      </c>
      <c r="AK289" s="437" t="s">
        <v>50</v>
      </c>
    </row>
    <row r="290" spans="1:248" ht="45" customHeight="1" thickBot="1" x14ac:dyDescent="0.3">
      <c r="A290" s="444">
        <v>14258</v>
      </c>
      <c r="B290" s="445" t="s">
        <v>51</v>
      </c>
      <c r="C290" s="445" t="s">
        <v>91</v>
      </c>
      <c r="D290" s="470"/>
      <c r="E290" s="445">
        <v>511</v>
      </c>
      <c r="F290" s="445" t="s">
        <v>777</v>
      </c>
      <c r="G290" s="445"/>
      <c r="H290" s="448" t="s">
        <v>55</v>
      </c>
      <c r="I290" s="451">
        <f>SUMIF('Wege im Detail'!$A:$A,"14258",'Wege im Detail'!$P:$P)</f>
        <v>6.83</v>
      </c>
      <c r="J290" s="516" t="s">
        <v>790</v>
      </c>
      <c r="K290" s="238"/>
      <c r="L290" s="209">
        <v>0</v>
      </c>
      <c r="M290" s="197">
        <v>100</v>
      </c>
      <c r="N290" s="198">
        <v>0</v>
      </c>
      <c r="O290" s="213">
        <v>0</v>
      </c>
      <c r="P290" s="350">
        <v>0</v>
      </c>
      <c r="R290" s="275">
        <v>0</v>
      </c>
      <c r="S290" s="276">
        <v>0.52100000000000002</v>
      </c>
      <c r="T290" s="277">
        <v>6.3</v>
      </c>
      <c r="U290" s="276">
        <v>0</v>
      </c>
      <c r="V290" s="277">
        <v>0</v>
      </c>
      <c r="W290" s="276">
        <v>0</v>
      </c>
      <c r="X290" s="277">
        <v>0</v>
      </c>
      <c r="Y290" s="278">
        <f t="shared" si="17"/>
        <v>6.8209999999999997</v>
      </c>
      <c r="Z290" s="279"/>
      <c r="AA290" s="280">
        <v>0</v>
      </c>
      <c r="AB290" s="281">
        <v>0.52100000000000002</v>
      </c>
      <c r="AC290" s="280">
        <v>6.3</v>
      </c>
      <c r="AD290" s="294">
        <v>0</v>
      </c>
      <c r="AE290" s="281">
        <v>0</v>
      </c>
      <c r="AF290" s="288">
        <v>0</v>
      </c>
      <c r="AG290" s="303">
        <v>0</v>
      </c>
      <c r="AH290" s="356">
        <v>0</v>
      </c>
      <c r="AI290" s="301">
        <f t="shared" si="16"/>
        <v>-9.0000000000003411E-3</v>
      </c>
      <c r="AK290" s="437" t="s">
        <v>50</v>
      </c>
    </row>
    <row r="291" spans="1:248" ht="45" customHeight="1" thickBot="1" x14ac:dyDescent="0.25">
      <c r="A291" s="444">
        <v>14259</v>
      </c>
      <c r="B291" s="445" t="s">
        <v>51</v>
      </c>
      <c r="C291" s="445" t="s">
        <v>91</v>
      </c>
      <c r="D291" s="470"/>
      <c r="E291" s="445">
        <v>504</v>
      </c>
      <c r="F291" s="445" t="s">
        <v>777</v>
      </c>
      <c r="G291" s="445"/>
      <c r="H291" s="448" t="s">
        <v>55</v>
      </c>
      <c r="I291" s="451">
        <f>SUMIF('Wege im Detail'!$A:$A,"14259",'Wege im Detail'!$P:$P)</f>
        <v>3.504</v>
      </c>
      <c r="J291" s="516" t="s">
        <v>791</v>
      </c>
      <c r="K291" s="238"/>
      <c r="L291" s="209">
        <v>32</v>
      </c>
      <c r="M291" s="197">
        <v>76</v>
      </c>
      <c r="N291" s="198">
        <v>24</v>
      </c>
      <c r="O291" s="213">
        <v>0</v>
      </c>
      <c r="P291" s="350">
        <v>0</v>
      </c>
      <c r="R291" s="275">
        <v>0</v>
      </c>
      <c r="S291" s="276">
        <v>0.17299999999999999</v>
      </c>
      <c r="T291" s="277">
        <v>1.78</v>
      </c>
      <c r="U291" s="276">
        <v>0.38200000000000001</v>
      </c>
      <c r="V291" s="277">
        <v>1.08</v>
      </c>
      <c r="W291" s="276">
        <v>0.55549999999999999</v>
      </c>
      <c r="X291" s="277">
        <v>0</v>
      </c>
      <c r="Y291" s="278">
        <f t="shared" si="17"/>
        <v>3.9704999999999999</v>
      </c>
      <c r="Z291" s="282"/>
      <c r="AA291" s="280">
        <v>0</v>
      </c>
      <c r="AB291" s="281">
        <v>0</v>
      </c>
      <c r="AC291" s="280">
        <v>2.39</v>
      </c>
      <c r="AD291" s="294">
        <v>0</v>
      </c>
      <c r="AE291" s="281">
        <v>0.158</v>
      </c>
      <c r="AF291" s="288">
        <v>0.96299999999999997</v>
      </c>
      <c r="AG291" s="303">
        <v>0</v>
      </c>
      <c r="AH291" s="356">
        <v>0</v>
      </c>
      <c r="AI291" s="301">
        <f t="shared" si="16"/>
        <v>0.46649999999999991</v>
      </c>
      <c r="AJ291" s="187"/>
      <c r="AK291" s="437" t="s">
        <v>50</v>
      </c>
      <c r="AL291" s="427"/>
      <c r="AM291" s="428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</row>
    <row r="292" spans="1:248" ht="45" customHeight="1" thickBot="1" x14ac:dyDescent="0.3">
      <c r="A292" s="444">
        <v>14260</v>
      </c>
      <c r="B292" s="445" t="s">
        <v>51</v>
      </c>
      <c r="C292" s="445" t="s">
        <v>91</v>
      </c>
      <c r="D292" s="470"/>
      <c r="E292" s="445">
        <v>505</v>
      </c>
      <c r="F292" s="445" t="s">
        <v>777</v>
      </c>
      <c r="G292" s="445"/>
      <c r="H292" s="448" t="s">
        <v>55</v>
      </c>
      <c r="I292" s="451">
        <f>SUMIF('Wege im Detail'!$A:$A,"14260",'Wege im Detail'!$P:$P)</f>
        <v>10.871</v>
      </c>
      <c r="J292" s="516" t="s">
        <v>792</v>
      </c>
      <c r="K292" s="238"/>
      <c r="L292" s="209">
        <v>36</v>
      </c>
      <c r="M292" s="197">
        <v>85</v>
      </c>
      <c r="N292" s="198">
        <v>15</v>
      </c>
      <c r="O292" s="213">
        <v>0</v>
      </c>
      <c r="P292" s="350">
        <v>0</v>
      </c>
      <c r="R292" s="275">
        <v>0</v>
      </c>
      <c r="S292" s="276">
        <v>1.78</v>
      </c>
      <c r="T292" s="277">
        <v>4.6100000000000003</v>
      </c>
      <c r="U292" s="276">
        <v>0</v>
      </c>
      <c r="V292" s="277">
        <v>2.36</v>
      </c>
      <c r="W292" s="276">
        <v>1.69</v>
      </c>
      <c r="X292" s="277">
        <v>0.45900000000000002</v>
      </c>
      <c r="Y292" s="278">
        <f t="shared" si="17"/>
        <v>10.898999999999999</v>
      </c>
      <c r="Z292" s="279"/>
      <c r="AA292" s="280">
        <v>0</v>
      </c>
      <c r="AB292" s="281">
        <v>1.4</v>
      </c>
      <c r="AC292" s="280">
        <v>6.03</v>
      </c>
      <c r="AD292" s="294">
        <v>0</v>
      </c>
      <c r="AE292" s="281">
        <v>1.68</v>
      </c>
      <c r="AF292" s="288">
        <v>1.8</v>
      </c>
      <c r="AG292" s="303">
        <v>0</v>
      </c>
      <c r="AH292" s="356">
        <v>0</v>
      </c>
      <c r="AI292" s="301">
        <f t="shared" si="16"/>
        <v>2.7999999999998693E-2</v>
      </c>
      <c r="AK292" s="437" t="s">
        <v>50</v>
      </c>
    </row>
    <row r="293" spans="1:248" ht="45" customHeight="1" thickBot="1" x14ac:dyDescent="0.3">
      <c r="A293" s="444">
        <v>14263</v>
      </c>
      <c r="B293" s="445" t="s">
        <v>51</v>
      </c>
      <c r="C293" s="445" t="s">
        <v>91</v>
      </c>
      <c r="D293" s="470"/>
      <c r="E293" s="445">
        <v>515</v>
      </c>
      <c r="F293" s="445" t="s">
        <v>777</v>
      </c>
      <c r="G293" s="445"/>
      <c r="H293" s="448" t="s">
        <v>55</v>
      </c>
      <c r="I293" s="451">
        <f>SUMIF('Wege im Detail'!$A:$A,"14263",'Wege im Detail'!$P:$P)</f>
        <v>0.85399999999999998</v>
      </c>
      <c r="J293" s="516" t="s">
        <v>793</v>
      </c>
      <c r="K293" s="238"/>
      <c r="L293" s="259">
        <v>100</v>
      </c>
      <c r="M293" s="203">
        <v>0</v>
      </c>
      <c r="N293" s="204">
        <v>100</v>
      </c>
      <c r="O293" s="217">
        <v>0</v>
      </c>
      <c r="P293" s="353">
        <v>0</v>
      </c>
      <c r="Q293" s="229"/>
      <c r="R293" s="275">
        <v>0</v>
      </c>
      <c r="S293" s="276">
        <v>0</v>
      </c>
      <c r="T293" s="277">
        <v>0</v>
      </c>
      <c r="U293" s="276">
        <v>0</v>
      </c>
      <c r="V293" s="277">
        <v>0.85399999999999998</v>
      </c>
      <c r="W293" s="276">
        <v>0</v>
      </c>
      <c r="X293" s="277">
        <v>0</v>
      </c>
      <c r="Y293" s="278">
        <f t="shared" si="17"/>
        <v>0.85399999999999998</v>
      </c>
      <c r="Z293" s="279"/>
      <c r="AA293" s="280">
        <v>0</v>
      </c>
      <c r="AB293" s="281">
        <v>0</v>
      </c>
      <c r="AC293" s="280">
        <v>0</v>
      </c>
      <c r="AD293" s="294">
        <v>0</v>
      </c>
      <c r="AE293" s="281">
        <v>0.85399999999999998</v>
      </c>
      <c r="AF293" s="288">
        <v>0</v>
      </c>
      <c r="AG293" s="303">
        <v>0</v>
      </c>
      <c r="AH293" s="356">
        <v>0</v>
      </c>
      <c r="AI293" s="301">
        <f t="shared" si="16"/>
        <v>0</v>
      </c>
      <c r="AK293" s="437" t="s">
        <v>50</v>
      </c>
    </row>
    <row r="294" spans="1:248" ht="45" customHeight="1" thickBot="1" x14ac:dyDescent="0.25">
      <c r="A294" s="444">
        <v>14265</v>
      </c>
      <c r="B294" s="445" t="s">
        <v>84</v>
      </c>
      <c r="C294" s="515" t="s">
        <v>320</v>
      </c>
      <c r="D294" s="470"/>
      <c r="E294" s="445" t="s">
        <v>794</v>
      </c>
      <c r="F294" s="445" t="s">
        <v>795</v>
      </c>
      <c r="G294" s="445"/>
      <c r="H294" s="448" t="s">
        <v>55</v>
      </c>
      <c r="I294" s="451">
        <f>SUMIF('Wege im Detail'!$A:$A,"14265",'Wege im Detail'!$P:$P)</f>
        <v>1.992</v>
      </c>
      <c r="J294" s="508" t="s">
        <v>796</v>
      </c>
      <c r="L294" s="209">
        <v>6</v>
      </c>
      <c r="M294" s="197">
        <v>100</v>
      </c>
      <c r="N294" s="198">
        <v>0</v>
      </c>
      <c r="O294" s="213">
        <v>0</v>
      </c>
      <c r="P294" s="350">
        <v>0</v>
      </c>
      <c r="R294" s="275">
        <v>0</v>
      </c>
      <c r="S294" s="276">
        <v>0.72599999999999998</v>
      </c>
      <c r="T294" s="277">
        <v>1.1100000000000001</v>
      </c>
      <c r="U294" s="276">
        <v>0</v>
      </c>
      <c r="V294" s="277">
        <v>0</v>
      </c>
      <c r="W294" s="276">
        <v>0.111</v>
      </c>
      <c r="X294" s="277">
        <v>0.55549999999999999</v>
      </c>
      <c r="Y294" s="278">
        <f t="shared" si="17"/>
        <v>2.5024999999999999</v>
      </c>
      <c r="Z294" s="282"/>
      <c r="AA294" s="280">
        <v>0</v>
      </c>
      <c r="AB294" s="281">
        <v>0.86399999999999999</v>
      </c>
      <c r="AC294" s="280">
        <v>0.96899999999999997</v>
      </c>
      <c r="AD294" s="294">
        <v>0</v>
      </c>
      <c r="AE294" s="281">
        <v>0.111</v>
      </c>
      <c r="AF294" s="288">
        <v>0</v>
      </c>
      <c r="AG294" s="303">
        <v>0</v>
      </c>
      <c r="AH294" s="356">
        <v>0</v>
      </c>
      <c r="AI294" s="301">
        <f t="shared" si="16"/>
        <v>0.51049999999999995</v>
      </c>
      <c r="AJ294" s="187"/>
      <c r="AK294" s="437" t="s">
        <v>50</v>
      </c>
      <c r="AL294" s="427"/>
      <c r="AM294" s="428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</row>
    <row r="295" spans="1:248" ht="45" customHeight="1" thickBot="1" x14ac:dyDescent="0.3">
      <c r="A295" s="444">
        <v>14266</v>
      </c>
      <c r="B295" s="445" t="s">
        <v>51</v>
      </c>
      <c r="C295" s="445" t="s">
        <v>91</v>
      </c>
      <c r="D295" s="470"/>
      <c r="E295" s="445">
        <v>503</v>
      </c>
      <c r="F295" s="445" t="s">
        <v>777</v>
      </c>
      <c r="G295" s="445"/>
      <c r="H295" s="448" t="s">
        <v>55</v>
      </c>
      <c r="I295" s="451">
        <f>SUMIF('Wege im Detail'!$A:$A,"14266",'Wege im Detail'!$P:$P)</f>
        <v>4.3079999999999998</v>
      </c>
      <c r="J295" s="516" t="s">
        <v>797</v>
      </c>
      <c r="K295" s="238"/>
      <c r="L295" s="209">
        <v>26</v>
      </c>
      <c r="M295" s="197">
        <v>100</v>
      </c>
      <c r="N295" s="198">
        <v>0</v>
      </c>
      <c r="O295" s="213">
        <v>0</v>
      </c>
      <c r="P295" s="350">
        <v>0</v>
      </c>
      <c r="R295" s="275">
        <v>0</v>
      </c>
      <c r="S295" s="276">
        <v>0.55549999999999999</v>
      </c>
      <c r="T295" s="277">
        <v>1.1599999999999999</v>
      </c>
      <c r="U295" s="276">
        <v>2</v>
      </c>
      <c r="V295" s="277">
        <v>1.1000000000000001</v>
      </c>
      <c r="W295" s="276">
        <v>0</v>
      </c>
      <c r="X295" s="277">
        <v>0</v>
      </c>
      <c r="Y295" s="278">
        <f t="shared" si="17"/>
        <v>4.8155000000000001</v>
      </c>
      <c r="Z295" s="279"/>
      <c r="AA295" s="280">
        <v>0.65300000000000002</v>
      </c>
      <c r="AB295" s="281">
        <v>0.55549999999999999</v>
      </c>
      <c r="AC295" s="280">
        <v>2.5099999999999998</v>
      </c>
      <c r="AD295" s="294">
        <v>0</v>
      </c>
      <c r="AE295" s="281">
        <v>0.55549999999999999</v>
      </c>
      <c r="AF295" s="288">
        <v>1.02</v>
      </c>
      <c r="AG295" s="303">
        <v>0</v>
      </c>
      <c r="AH295" s="356">
        <v>0</v>
      </c>
      <c r="AI295" s="301">
        <f t="shared" si="16"/>
        <v>0.50750000000000028</v>
      </c>
      <c r="AK295" s="437" t="s">
        <v>50</v>
      </c>
    </row>
    <row r="296" spans="1:248" ht="45" customHeight="1" thickBot="1" x14ac:dyDescent="0.3">
      <c r="A296" s="444">
        <v>15525</v>
      </c>
      <c r="B296" s="445" t="s">
        <v>51</v>
      </c>
      <c r="C296" s="445" t="s">
        <v>52</v>
      </c>
      <c r="D296" s="470"/>
      <c r="E296" s="445" t="s">
        <v>2272</v>
      </c>
      <c r="F296" s="445" t="s">
        <v>2274</v>
      </c>
      <c r="G296" s="445"/>
      <c r="H296" s="448" t="s">
        <v>55</v>
      </c>
      <c r="I296" s="451">
        <f>SUMIF('Wege im Detail'!$A:$A,"15525",'Wege im Detail'!$P:$P)</f>
        <v>70.3</v>
      </c>
      <c r="J296" s="516" t="s">
        <v>2271</v>
      </c>
      <c r="K296" s="238"/>
      <c r="L296" s="209"/>
      <c r="M296" s="197"/>
      <c r="N296" s="198"/>
      <c r="O296" s="213"/>
      <c r="R296" s="275"/>
      <c r="S296" s="276"/>
      <c r="T296" s="277"/>
      <c r="U296" s="276"/>
      <c r="V296" s="277"/>
      <c r="W296" s="276"/>
      <c r="X296" s="277"/>
      <c r="Y296" s="278"/>
      <c r="Z296" s="279"/>
      <c r="AA296" s="280"/>
      <c r="AB296" s="281"/>
      <c r="AC296" s="280"/>
      <c r="AD296" s="294"/>
      <c r="AE296" s="281"/>
      <c r="AF296" s="288"/>
      <c r="AG296" s="303"/>
      <c r="AH296" s="356"/>
      <c r="AI296" s="301"/>
    </row>
    <row r="297" spans="1:248" ht="45" customHeight="1" thickBot="1" x14ac:dyDescent="0.3">
      <c r="A297" s="444">
        <v>16613</v>
      </c>
      <c r="B297" s="445" t="s">
        <v>84</v>
      </c>
      <c r="C297" s="455" t="s">
        <v>85</v>
      </c>
      <c r="D297" s="479"/>
      <c r="E297" s="445" t="s">
        <v>798</v>
      </c>
      <c r="F297" s="445" t="s">
        <v>142</v>
      </c>
      <c r="G297" s="445"/>
      <c r="H297" s="448" t="s">
        <v>55</v>
      </c>
      <c r="I297" s="451">
        <f>SUMIF('Wege im Detail'!$A:$A,"16613",'Wege im Detail'!$P:$P)</f>
        <v>4.6060999999999996</v>
      </c>
      <c r="J297" s="508" t="s">
        <v>799</v>
      </c>
      <c r="L297" s="209">
        <v>40</v>
      </c>
      <c r="M297" s="197">
        <v>82</v>
      </c>
      <c r="N297" s="198">
        <v>17</v>
      </c>
      <c r="O297" s="213">
        <v>1</v>
      </c>
      <c r="P297" s="350">
        <v>0</v>
      </c>
      <c r="R297" s="275">
        <v>0</v>
      </c>
      <c r="S297" s="276">
        <v>0.51100000000000001</v>
      </c>
      <c r="T297" s="277">
        <v>2.3380000000000001</v>
      </c>
      <c r="U297" s="276">
        <v>0</v>
      </c>
      <c r="V297" s="277">
        <v>1.764</v>
      </c>
      <c r="W297" s="276">
        <v>0.55549999999999999</v>
      </c>
      <c r="X297" s="277">
        <v>0</v>
      </c>
      <c r="Y297" s="278">
        <f t="shared" ref="Y297:Y304" si="18">SUM(R297:X297)</f>
        <v>5.1685000000000008</v>
      </c>
      <c r="Z297" s="279"/>
      <c r="AA297" s="280">
        <v>0</v>
      </c>
      <c r="AB297" s="281">
        <v>0.50700000000000001</v>
      </c>
      <c r="AC297" s="280">
        <v>2.343</v>
      </c>
      <c r="AD297" s="294">
        <v>0</v>
      </c>
      <c r="AE297" s="281">
        <v>0.218</v>
      </c>
      <c r="AF297" s="288">
        <v>0.29399999999999998</v>
      </c>
      <c r="AG297" s="303">
        <v>0</v>
      </c>
      <c r="AH297" s="356">
        <v>0</v>
      </c>
      <c r="AI297" s="301">
        <f t="shared" ref="AI297:AI304" si="19">Y297-I297</f>
        <v>0.56240000000000112</v>
      </c>
      <c r="AK297" s="437" t="s">
        <v>50</v>
      </c>
    </row>
    <row r="298" spans="1:248" ht="45" customHeight="1" thickBot="1" x14ac:dyDescent="0.25">
      <c r="A298" s="444">
        <v>16614</v>
      </c>
      <c r="B298" s="445" t="s">
        <v>84</v>
      </c>
      <c r="C298" s="455" t="s">
        <v>85</v>
      </c>
      <c r="D298" s="445"/>
      <c r="E298" s="445" t="s">
        <v>801</v>
      </c>
      <c r="F298" s="445" t="s">
        <v>172</v>
      </c>
      <c r="G298" s="445"/>
      <c r="H298" s="448" t="s">
        <v>55</v>
      </c>
      <c r="I298" s="451">
        <f>SUMIF('Wege im Detail'!$A:$A,"16614",'Wege im Detail'!$P:$P)</f>
        <v>4.944</v>
      </c>
      <c r="J298" s="508" t="s">
        <v>802</v>
      </c>
      <c r="L298" s="209">
        <v>24</v>
      </c>
      <c r="M298" s="197">
        <v>100</v>
      </c>
      <c r="N298" s="198">
        <v>0</v>
      </c>
      <c r="O298" s="213">
        <v>0</v>
      </c>
      <c r="P298" s="350">
        <v>0</v>
      </c>
      <c r="R298" s="275">
        <v>0</v>
      </c>
      <c r="S298" s="276">
        <v>1.1599999999999999</v>
      </c>
      <c r="T298" s="277">
        <v>0.67200000000000004</v>
      </c>
      <c r="U298" s="276">
        <v>1.873</v>
      </c>
      <c r="V298" s="277">
        <v>1.1000000000000001</v>
      </c>
      <c r="W298" s="276">
        <v>0</v>
      </c>
      <c r="X298" s="277">
        <v>0</v>
      </c>
      <c r="Y298" s="278">
        <f t="shared" si="18"/>
        <v>4.8049999999999997</v>
      </c>
      <c r="Z298" s="282"/>
      <c r="AA298" s="280">
        <v>0</v>
      </c>
      <c r="AB298" s="281">
        <v>0.32800000000000001</v>
      </c>
      <c r="AC298" s="280">
        <v>3.2330000000000001</v>
      </c>
      <c r="AD298" s="294">
        <v>0</v>
      </c>
      <c r="AE298" s="281">
        <v>1.1000000000000001</v>
      </c>
      <c r="AF298" s="288">
        <v>0.20699999999999999</v>
      </c>
      <c r="AG298" s="303">
        <v>0</v>
      </c>
      <c r="AH298" s="356">
        <v>0</v>
      </c>
      <c r="AI298" s="301">
        <f t="shared" si="19"/>
        <v>-0.13900000000000023</v>
      </c>
      <c r="AJ298" s="187"/>
      <c r="AK298" s="437" t="s">
        <v>50</v>
      </c>
      <c r="AL298" s="427"/>
      <c r="AM298" s="428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</row>
    <row r="299" spans="1:248" ht="45" customHeight="1" thickBot="1" x14ac:dyDescent="0.25">
      <c r="A299" s="444">
        <v>16615</v>
      </c>
      <c r="B299" s="445" t="s">
        <v>84</v>
      </c>
      <c r="C299" s="455" t="s">
        <v>85</v>
      </c>
      <c r="D299" s="445"/>
      <c r="E299" s="445" t="s">
        <v>804</v>
      </c>
      <c r="F299" s="445" t="s">
        <v>273</v>
      </c>
      <c r="G299" s="445"/>
      <c r="H299" s="448" t="s">
        <v>55</v>
      </c>
      <c r="I299" s="451">
        <f>SUMIF('Wege im Detail'!$A:$A,"16615",'Wege im Detail'!$P:$P)</f>
        <v>6.5380000000000003</v>
      </c>
      <c r="J299" s="508" t="s">
        <v>805</v>
      </c>
      <c r="L299" s="209">
        <v>3</v>
      </c>
      <c r="M299" s="197">
        <v>100</v>
      </c>
      <c r="N299" s="198">
        <v>0</v>
      </c>
      <c r="O299" s="213">
        <v>0</v>
      </c>
      <c r="P299" s="350">
        <v>0</v>
      </c>
      <c r="R299" s="275">
        <v>0</v>
      </c>
      <c r="S299" s="276">
        <v>3.04</v>
      </c>
      <c r="T299" s="277">
        <v>3.3</v>
      </c>
      <c r="U299" s="276">
        <v>0</v>
      </c>
      <c r="V299" s="277">
        <v>0.125</v>
      </c>
      <c r="W299" s="276">
        <v>0.55549999999999999</v>
      </c>
      <c r="X299" s="277">
        <v>0</v>
      </c>
      <c r="Y299" s="278">
        <f t="shared" si="18"/>
        <v>7.0205000000000002</v>
      </c>
      <c r="Z299" s="282"/>
      <c r="AA299" s="280">
        <v>0</v>
      </c>
      <c r="AB299" s="281">
        <v>1.95</v>
      </c>
      <c r="AC299" s="280">
        <v>4.3899999999999997</v>
      </c>
      <c r="AD299" s="294">
        <v>0</v>
      </c>
      <c r="AE299" s="281">
        <v>0.14399999999999999</v>
      </c>
      <c r="AF299" s="288">
        <v>0</v>
      </c>
      <c r="AG299" s="303">
        <v>0</v>
      </c>
      <c r="AH299" s="356">
        <v>0</v>
      </c>
      <c r="AI299" s="301">
        <f t="shared" si="19"/>
        <v>0.48249999999999993</v>
      </c>
      <c r="AJ299" s="187"/>
      <c r="AK299" s="437" t="s">
        <v>50</v>
      </c>
      <c r="AL299" s="427"/>
      <c r="AM299" s="428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</row>
    <row r="300" spans="1:248" s="35" customFormat="1" ht="45" customHeight="1" thickBot="1" x14ac:dyDescent="0.3">
      <c r="A300" s="444">
        <v>16616</v>
      </c>
      <c r="B300" s="445" t="s">
        <v>84</v>
      </c>
      <c r="C300" s="455" t="s">
        <v>85</v>
      </c>
      <c r="D300" s="445"/>
      <c r="E300" s="445" t="s">
        <v>807</v>
      </c>
      <c r="F300" s="445" t="s">
        <v>142</v>
      </c>
      <c r="G300" s="445"/>
      <c r="H300" s="448" t="s">
        <v>55</v>
      </c>
      <c r="I300" s="451">
        <f>SUMIF('Wege im Detail'!$A:$A,"16616",'Wege im Detail'!$P:$P)</f>
        <v>6.4269999999999996</v>
      </c>
      <c r="J300" s="514" t="s">
        <v>808</v>
      </c>
      <c r="K300" s="237"/>
      <c r="L300" s="209">
        <v>1</v>
      </c>
      <c r="M300" s="197">
        <v>100</v>
      </c>
      <c r="N300" s="198">
        <v>0</v>
      </c>
      <c r="O300" s="213">
        <v>0</v>
      </c>
      <c r="P300" s="350">
        <v>0</v>
      </c>
      <c r="Q300" s="226"/>
      <c r="R300" s="275">
        <v>0</v>
      </c>
      <c r="S300" s="276">
        <v>0.56999999999999995</v>
      </c>
      <c r="T300" s="277">
        <v>5.7039999999999997</v>
      </c>
      <c r="U300" s="276">
        <v>0</v>
      </c>
      <c r="V300" s="277">
        <v>0</v>
      </c>
      <c r="W300" s="276">
        <v>0</v>
      </c>
      <c r="X300" s="277">
        <v>0</v>
      </c>
      <c r="Y300" s="278">
        <f t="shared" si="18"/>
        <v>6.274</v>
      </c>
      <c r="Z300" s="279"/>
      <c r="AA300" s="280">
        <v>0</v>
      </c>
      <c r="AB300" s="281">
        <v>0.23400000000000001</v>
      </c>
      <c r="AC300" s="280">
        <v>6.0439999999999996</v>
      </c>
      <c r="AD300" s="294">
        <v>0</v>
      </c>
      <c r="AE300" s="281">
        <v>0</v>
      </c>
      <c r="AF300" s="288">
        <v>0</v>
      </c>
      <c r="AG300" s="303">
        <v>0</v>
      </c>
      <c r="AH300" s="356">
        <v>0</v>
      </c>
      <c r="AI300" s="301">
        <f t="shared" si="19"/>
        <v>-0.15299999999999958</v>
      </c>
      <c r="AJ300" s="401"/>
      <c r="AK300" s="437" t="s">
        <v>50</v>
      </c>
      <c r="AL300" s="425"/>
      <c r="AM300" s="426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</row>
    <row r="301" spans="1:248" ht="45" customHeight="1" thickBot="1" x14ac:dyDescent="0.3">
      <c r="A301" s="444">
        <v>16617</v>
      </c>
      <c r="B301" s="445" t="s">
        <v>84</v>
      </c>
      <c r="C301" s="455" t="s">
        <v>85</v>
      </c>
      <c r="D301" s="445"/>
      <c r="E301" s="445" t="s">
        <v>810</v>
      </c>
      <c r="F301" s="445" t="s">
        <v>163</v>
      </c>
      <c r="G301" s="445"/>
      <c r="H301" s="448" t="s">
        <v>55</v>
      </c>
      <c r="I301" s="451">
        <f>SUMIF('Wege im Detail'!$A:$A,"16617",'Wege im Detail'!$P:$P)</f>
        <v>6.4329999999999998</v>
      </c>
      <c r="J301" s="508" t="s">
        <v>811</v>
      </c>
      <c r="L301" s="209">
        <v>60</v>
      </c>
      <c r="M301" s="197">
        <v>100</v>
      </c>
      <c r="N301" s="198">
        <v>0</v>
      </c>
      <c r="O301" s="213">
        <v>0</v>
      </c>
      <c r="P301" s="350">
        <v>0</v>
      </c>
      <c r="R301" s="275">
        <v>0</v>
      </c>
      <c r="S301" s="276">
        <v>0</v>
      </c>
      <c r="T301" s="277">
        <v>1.89</v>
      </c>
      <c r="U301" s="276">
        <v>0</v>
      </c>
      <c r="V301" s="277">
        <v>4.29</v>
      </c>
      <c r="W301" s="276">
        <v>0.21099999999999999</v>
      </c>
      <c r="X301" s="277">
        <v>0.55549999999999999</v>
      </c>
      <c r="Y301" s="278">
        <f t="shared" si="18"/>
        <v>6.9465000000000003</v>
      </c>
      <c r="Z301" s="279"/>
      <c r="AA301" s="280">
        <v>0</v>
      </c>
      <c r="AB301" s="281">
        <v>0.17100000000000001</v>
      </c>
      <c r="AC301" s="280">
        <v>1.93</v>
      </c>
      <c r="AD301" s="294">
        <v>0</v>
      </c>
      <c r="AE301" s="281">
        <v>1.32</v>
      </c>
      <c r="AF301" s="288">
        <v>3.01</v>
      </c>
      <c r="AG301" s="303">
        <v>0</v>
      </c>
      <c r="AH301" s="356">
        <v>0</v>
      </c>
      <c r="AI301" s="301">
        <f t="shared" si="19"/>
        <v>0.51350000000000051</v>
      </c>
      <c r="AK301" s="437" t="s">
        <v>50</v>
      </c>
    </row>
    <row r="302" spans="1:248" ht="45" customHeight="1" thickBot="1" x14ac:dyDescent="0.3">
      <c r="A302" s="444">
        <v>16618</v>
      </c>
      <c r="B302" s="445" t="s">
        <v>84</v>
      </c>
      <c r="C302" s="455" t="s">
        <v>85</v>
      </c>
      <c r="D302" s="445"/>
      <c r="E302" s="445" t="s">
        <v>813</v>
      </c>
      <c r="F302" s="445" t="s">
        <v>88</v>
      </c>
      <c r="G302" s="445"/>
      <c r="H302" s="448" t="s">
        <v>55</v>
      </c>
      <c r="I302" s="451">
        <f>SUMIF('Wege im Detail'!$A:$A,"16618",'Wege im Detail'!$P:$P)</f>
        <v>4.4119999999999999</v>
      </c>
      <c r="J302" s="508" t="s">
        <v>814</v>
      </c>
      <c r="L302" s="209">
        <v>67</v>
      </c>
      <c r="M302" s="197">
        <v>60</v>
      </c>
      <c r="N302" s="198">
        <v>40</v>
      </c>
      <c r="O302" s="213">
        <v>0</v>
      </c>
      <c r="P302" s="350">
        <v>0</v>
      </c>
      <c r="R302" s="275">
        <v>0</v>
      </c>
      <c r="S302" s="276">
        <v>1.47</v>
      </c>
      <c r="T302" s="277">
        <v>0</v>
      </c>
      <c r="U302" s="276">
        <v>0</v>
      </c>
      <c r="V302" s="277">
        <v>2.085</v>
      </c>
      <c r="W302" s="276">
        <v>0.626</v>
      </c>
      <c r="X302" s="277">
        <v>0.23100000000000001</v>
      </c>
      <c r="Y302" s="278">
        <f t="shared" si="18"/>
        <v>4.4119999999999999</v>
      </c>
      <c r="Z302" s="279"/>
      <c r="AA302" s="280">
        <v>0</v>
      </c>
      <c r="AB302" s="281">
        <v>0</v>
      </c>
      <c r="AC302" s="280">
        <v>2.34</v>
      </c>
      <c r="AD302" s="294">
        <v>0.55549999999999999</v>
      </c>
      <c r="AE302" s="281">
        <v>0.23100000000000001</v>
      </c>
      <c r="AF302" s="288">
        <v>1.7649999999999999</v>
      </c>
      <c r="AG302" s="303">
        <v>0</v>
      </c>
      <c r="AH302" s="356">
        <v>0</v>
      </c>
      <c r="AI302" s="301">
        <f t="shared" si="19"/>
        <v>0</v>
      </c>
      <c r="AK302" s="437" t="s">
        <v>50</v>
      </c>
    </row>
    <row r="303" spans="1:248" s="35" customFormat="1" ht="45" customHeight="1" thickBot="1" x14ac:dyDescent="0.3">
      <c r="A303" s="444">
        <v>16619</v>
      </c>
      <c r="B303" s="445" t="s">
        <v>84</v>
      </c>
      <c r="C303" s="455" t="s">
        <v>85</v>
      </c>
      <c r="D303" s="479"/>
      <c r="E303" s="445" t="s">
        <v>815</v>
      </c>
      <c r="F303" s="445" t="s">
        <v>142</v>
      </c>
      <c r="G303" s="445"/>
      <c r="H303" s="448" t="s">
        <v>55</v>
      </c>
      <c r="I303" s="451">
        <f>SUMIF('Wege im Detail'!$A:$A,"16619",'Wege im Detail'!$P:$P)</f>
        <v>7.0439999999999996</v>
      </c>
      <c r="J303" s="508" t="s">
        <v>816</v>
      </c>
      <c r="K303" s="237"/>
      <c r="L303" s="209">
        <v>50</v>
      </c>
      <c r="M303" s="197">
        <v>95</v>
      </c>
      <c r="N303" s="198">
        <v>0</v>
      </c>
      <c r="O303" s="213">
        <v>5</v>
      </c>
      <c r="P303" s="350">
        <v>0</v>
      </c>
      <c r="Q303" s="226"/>
      <c r="R303" s="275">
        <v>0</v>
      </c>
      <c r="S303" s="276">
        <v>1.37</v>
      </c>
      <c r="T303" s="277">
        <v>0.751</v>
      </c>
      <c r="U303" s="276">
        <v>1.29</v>
      </c>
      <c r="V303" s="277">
        <v>3.29</v>
      </c>
      <c r="W303" s="276">
        <v>0.32300000000000001</v>
      </c>
      <c r="X303" s="277">
        <v>0</v>
      </c>
      <c r="Y303" s="278">
        <f t="shared" si="18"/>
        <v>7.0240000000000009</v>
      </c>
      <c r="Z303" s="279"/>
      <c r="AA303" s="280">
        <v>0</v>
      </c>
      <c r="AB303" s="281">
        <v>0.47099999999999997</v>
      </c>
      <c r="AC303" s="280">
        <v>2.94</v>
      </c>
      <c r="AD303" s="294">
        <v>0</v>
      </c>
      <c r="AE303" s="281">
        <v>0.13200000000000001</v>
      </c>
      <c r="AF303" s="288">
        <v>3.48</v>
      </c>
      <c r="AG303" s="303">
        <v>0</v>
      </c>
      <c r="AH303" s="356">
        <v>0</v>
      </c>
      <c r="AI303" s="301">
        <f t="shared" si="19"/>
        <v>-1.9999999999998685E-2</v>
      </c>
      <c r="AJ303" s="401"/>
      <c r="AK303" s="437" t="s">
        <v>50</v>
      </c>
      <c r="AL303" s="425"/>
      <c r="AM303" s="426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</row>
    <row r="304" spans="1:248" s="168" customFormat="1" ht="45" customHeight="1" thickBot="1" x14ac:dyDescent="0.3">
      <c r="A304" s="444">
        <v>16621</v>
      </c>
      <c r="B304" s="445" t="s">
        <v>84</v>
      </c>
      <c r="C304" s="455" t="s">
        <v>85</v>
      </c>
      <c r="D304" s="479"/>
      <c r="E304" s="445" t="s">
        <v>817</v>
      </c>
      <c r="F304" s="445" t="s">
        <v>133</v>
      </c>
      <c r="G304" s="445"/>
      <c r="H304" s="448" t="s">
        <v>55</v>
      </c>
      <c r="I304" s="451">
        <f>SUMIF('Wege im Detail'!$A:$A,"16621",'Wege im Detail'!$P:$P)</f>
        <v>3.327</v>
      </c>
      <c r="J304" s="508" t="s">
        <v>818</v>
      </c>
      <c r="K304" s="237"/>
      <c r="L304" s="209">
        <v>53</v>
      </c>
      <c r="M304" s="197">
        <v>79</v>
      </c>
      <c r="N304" s="198">
        <v>15</v>
      </c>
      <c r="O304" s="213">
        <v>6</v>
      </c>
      <c r="P304" s="350">
        <v>0</v>
      </c>
      <c r="Q304" s="226"/>
      <c r="R304" s="275">
        <v>0</v>
      </c>
      <c r="S304" s="276">
        <v>0</v>
      </c>
      <c r="T304" s="277">
        <v>1.87</v>
      </c>
      <c r="U304" s="276">
        <v>0</v>
      </c>
      <c r="V304" s="277">
        <v>1.1299999999999999</v>
      </c>
      <c r="W304" s="276">
        <v>0.19800000000000001</v>
      </c>
      <c r="X304" s="277">
        <v>0.114</v>
      </c>
      <c r="Y304" s="278">
        <f t="shared" si="18"/>
        <v>3.3119999999999998</v>
      </c>
      <c r="Z304" s="279"/>
      <c r="AA304" s="280">
        <v>0</v>
      </c>
      <c r="AB304" s="281">
        <v>0.40200000000000002</v>
      </c>
      <c r="AC304" s="280">
        <v>1.53</v>
      </c>
      <c r="AD304" s="294">
        <v>0</v>
      </c>
      <c r="AE304" s="281">
        <v>0.42499999999999999</v>
      </c>
      <c r="AF304" s="288">
        <v>0.95099999999999996</v>
      </c>
      <c r="AG304" s="303">
        <v>0</v>
      </c>
      <c r="AH304" s="356">
        <v>0</v>
      </c>
      <c r="AI304" s="301">
        <f t="shared" si="19"/>
        <v>-1.5000000000000124E-2</v>
      </c>
      <c r="AJ304" s="401"/>
      <c r="AK304" s="437" t="s">
        <v>50</v>
      </c>
      <c r="AL304" s="425"/>
      <c r="AM304" s="426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</row>
    <row r="305" spans="1:248" s="35" customFormat="1" ht="45" customHeight="1" thickBot="1" x14ac:dyDescent="0.3">
      <c r="A305" s="184">
        <v>17892</v>
      </c>
      <c r="B305" s="542" t="s">
        <v>51</v>
      </c>
      <c r="C305" s="542" t="s">
        <v>366</v>
      </c>
      <c r="D305" s="543"/>
      <c r="E305" s="542">
        <v>133</v>
      </c>
      <c r="F305" s="542" t="s">
        <v>822</v>
      </c>
      <c r="G305" s="542"/>
      <c r="H305" s="546" t="s">
        <v>55</v>
      </c>
      <c r="I305" s="698">
        <f>SUMIF('Wege im Detail'!$A:$A,"17892",'Wege im Detail'!$P:$P)</f>
        <v>19.706</v>
      </c>
      <c r="J305" s="602" t="s">
        <v>823</v>
      </c>
      <c r="K305" s="237"/>
      <c r="L305" s="209"/>
      <c r="M305" s="197"/>
      <c r="N305" s="198"/>
      <c r="O305" s="213"/>
      <c r="P305" s="350"/>
      <c r="Q305" s="226"/>
      <c r="R305" s="275"/>
      <c r="S305" s="276"/>
      <c r="T305" s="277"/>
      <c r="U305" s="276"/>
      <c r="V305" s="277"/>
      <c r="W305" s="276"/>
      <c r="X305" s="277"/>
      <c r="Y305" s="278"/>
      <c r="Z305" s="279"/>
      <c r="AA305" s="280"/>
      <c r="AB305" s="281"/>
      <c r="AC305" s="280"/>
      <c r="AD305" s="294"/>
      <c r="AE305" s="281"/>
      <c r="AF305" s="288"/>
      <c r="AG305" s="303"/>
      <c r="AH305" s="356"/>
      <c r="AI305" s="301"/>
      <c r="AJ305" s="401"/>
      <c r="AK305" s="553" t="s">
        <v>824</v>
      </c>
      <c r="AL305" s="425"/>
      <c r="AM305" s="426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</row>
    <row r="306" spans="1:248" ht="45" customHeight="1" thickBot="1" x14ac:dyDescent="0.25">
      <c r="A306" s="438">
        <v>18993</v>
      </c>
      <c r="B306" s="445" t="s">
        <v>84</v>
      </c>
      <c r="C306" s="455" t="s">
        <v>85</v>
      </c>
      <c r="D306" s="445"/>
      <c r="E306" s="445" t="s">
        <v>826</v>
      </c>
      <c r="F306" s="445" t="s">
        <v>827</v>
      </c>
      <c r="G306" s="445"/>
      <c r="H306" s="448" t="s">
        <v>55</v>
      </c>
      <c r="I306" s="451">
        <f>SUMIF('Wege im Detail'!$A:$A,"18993",'Wege im Detail'!$P:$P)</f>
        <v>4.2240000000000002</v>
      </c>
      <c r="J306" s="508" t="s">
        <v>828</v>
      </c>
      <c r="L306" s="209">
        <v>0</v>
      </c>
      <c r="M306" s="197">
        <v>100</v>
      </c>
      <c r="N306" s="198">
        <v>0</v>
      </c>
      <c r="O306" s="213">
        <v>0</v>
      </c>
      <c r="P306" s="350">
        <v>0</v>
      </c>
      <c r="R306" s="275">
        <v>0</v>
      </c>
      <c r="S306" s="276">
        <v>0</v>
      </c>
      <c r="T306" s="277">
        <v>3.53</v>
      </c>
      <c r="U306" s="276">
        <v>0.55600000000000005</v>
      </c>
      <c r="V306" s="277">
        <v>0.55549999999999999</v>
      </c>
      <c r="W306" s="276">
        <v>0</v>
      </c>
      <c r="X306" s="277">
        <v>0.55549999999999999</v>
      </c>
      <c r="Y306" s="278">
        <f t="shared" ref="Y306:Y346" si="20">SUM(R306:X306)</f>
        <v>5.197000000000001</v>
      </c>
      <c r="Z306" s="282"/>
      <c r="AA306" s="280">
        <v>0</v>
      </c>
      <c r="AB306" s="281">
        <v>0.52500000000000002</v>
      </c>
      <c r="AC306" s="280">
        <v>2.97</v>
      </c>
      <c r="AD306" s="294">
        <v>0.11799999999999999</v>
      </c>
      <c r="AE306" s="281">
        <v>0.55900000000000005</v>
      </c>
      <c r="AF306" s="288">
        <v>0</v>
      </c>
      <c r="AG306" s="303">
        <v>0</v>
      </c>
      <c r="AH306" s="356">
        <v>0</v>
      </c>
      <c r="AI306" s="301">
        <f t="shared" ref="AI306:AI346" si="21">Y306-I306</f>
        <v>0.97300000000000075</v>
      </c>
      <c r="AJ306" s="187"/>
      <c r="AK306" s="437" t="s">
        <v>50</v>
      </c>
      <c r="AL306" s="427"/>
      <c r="AM306" s="428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</row>
    <row r="307" spans="1:248" ht="45" customHeight="1" thickBot="1" x14ac:dyDescent="0.3">
      <c r="A307" s="444">
        <v>19021</v>
      </c>
      <c r="B307" s="445" t="s">
        <v>84</v>
      </c>
      <c r="C307" s="455" t="s">
        <v>85</v>
      </c>
      <c r="D307" s="511"/>
      <c r="E307" s="445" t="s">
        <v>829</v>
      </c>
      <c r="F307" s="445" t="s">
        <v>830</v>
      </c>
      <c r="G307" s="445"/>
      <c r="H307" s="448" t="s">
        <v>55</v>
      </c>
      <c r="I307" s="451">
        <f>SUMIF('Wege im Detail'!$A:$A,"19021",'Wege im Detail'!$P:$P)</f>
        <v>2.4430000000000001</v>
      </c>
      <c r="J307" s="514" t="s">
        <v>831</v>
      </c>
      <c r="L307" s="209">
        <v>32</v>
      </c>
      <c r="M307" s="197">
        <v>100</v>
      </c>
      <c r="N307" s="198">
        <v>0</v>
      </c>
      <c r="O307" s="213">
        <v>0</v>
      </c>
      <c r="P307" s="350">
        <v>0</v>
      </c>
      <c r="R307" s="275">
        <v>0</v>
      </c>
      <c r="S307" s="276">
        <v>0</v>
      </c>
      <c r="T307" s="277">
        <v>1.131</v>
      </c>
      <c r="U307" s="276">
        <v>0</v>
      </c>
      <c r="V307" s="277">
        <v>1.2</v>
      </c>
      <c r="W307" s="276">
        <v>0</v>
      </c>
      <c r="X307" s="277">
        <v>0</v>
      </c>
      <c r="Y307" s="278">
        <f t="shared" si="20"/>
        <v>2.331</v>
      </c>
      <c r="Z307" s="279"/>
      <c r="AA307" s="280">
        <v>0</v>
      </c>
      <c r="AB307" s="281">
        <v>0</v>
      </c>
      <c r="AC307" s="280">
        <v>1.54</v>
      </c>
      <c r="AD307" s="294">
        <v>0.33400000000000002</v>
      </c>
      <c r="AE307" s="281">
        <v>0.27400000000000002</v>
      </c>
      <c r="AF307" s="288">
        <v>0.27200000000000002</v>
      </c>
      <c r="AG307" s="303">
        <v>0</v>
      </c>
      <c r="AH307" s="356">
        <v>0</v>
      </c>
      <c r="AI307" s="301">
        <f t="shared" si="21"/>
        <v>-0.1120000000000001</v>
      </c>
      <c r="AK307" s="437" t="s">
        <v>158</v>
      </c>
    </row>
    <row r="308" spans="1:248" ht="45" customHeight="1" thickBot="1" x14ac:dyDescent="0.25">
      <c r="A308" s="444">
        <v>19022</v>
      </c>
      <c r="B308" s="445" t="s">
        <v>84</v>
      </c>
      <c r="C308" s="515" t="s">
        <v>320</v>
      </c>
      <c r="D308" s="470"/>
      <c r="E308" s="445" t="s">
        <v>832</v>
      </c>
      <c r="F308" s="445" t="s">
        <v>833</v>
      </c>
      <c r="G308" s="445"/>
      <c r="H308" s="448" t="s">
        <v>55</v>
      </c>
      <c r="I308" s="451">
        <f>SUMIF('Wege im Detail'!$A:$A,"19022",'Wege im Detail'!$P:$P)</f>
        <v>12.702999999999999</v>
      </c>
      <c r="J308" s="514" t="s">
        <v>835</v>
      </c>
      <c r="L308" s="209">
        <v>35</v>
      </c>
      <c r="M308" s="197">
        <v>98</v>
      </c>
      <c r="N308" s="198">
        <v>2</v>
      </c>
      <c r="O308" s="213">
        <v>0</v>
      </c>
      <c r="P308" s="350">
        <v>0</v>
      </c>
      <c r="R308" s="275">
        <v>0</v>
      </c>
      <c r="S308" s="276">
        <v>0</v>
      </c>
      <c r="T308" s="277">
        <v>7.03</v>
      </c>
      <c r="U308" s="276">
        <v>5.18</v>
      </c>
      <c r="V308" s="277">
        <v>0</v>
      </c>
      <c r="W308" s="276">
        <v>0</v>
      </c>
      <c r="X308" s="277">
        <v>0.36499999999999999</v>
      </c>
      <c r="Y308" s="278">
        <f t="shared" si="20"/>
        <v>12.575000000000001</v>
      </c>
      <c r="Z308" s="282"/>
      <c r="AA308" s="280">
        <v>0</v>
      </c>
      <c r="AB308" s="281">
        <v>3.41</v>
      </c>
      <c r="AC308" s="280">
        <v>4.91</v>
      </c>
      <c r="AD308" s="294">
        <v>0</v>
      </c>
      <c r="AE308" s="281">
        <v>2.52</v>
      </c>
      <c r="AF308" s="288">
        <v>1.73</v>
      </c>
      <c r="AG308" s="303">
        <v>0</v>
      </c>
      <c r="AH308" s="356">
        <v>0</v>
      </c>
      <c r="AI308" s="301">
        <f t="shared" si="21"/>
        <v>-0.12799999999999834</v>
      </c>
      <c r="AJ308" s="187"/>
      <c r="AK308" s="437" t="s">
        <v>50</v>
      </c>
      <c r="AL308" s="427"/>
      <c r="AM308" s="428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</row>
    <row r="309" spans="1:248" ht="45" customHeight="1" thickBot="1" x14ac:dyDescent="0.3">
      <c r="A309" s="444">
        <v>19023</v>
      </c>
      <c r="B309" s="445" t="s">
        <v>84</v>
      </c>
      <c r="C309" s="515" t="s">
        <v>320</v>
      </c>
      <c r="D309" s="470"/>
      <c r="E309" s="445" t="s">
        <v>837</v>
      </c>
      <c r="F309" s="445" t="s">
        <v>838</v>
      </c>
      <c r="G309" s="445"/>
      <c r="H309" s="448" t="s">
        <v>55</v>
      </c>
      <c r="I309" s="451">
        <f>SUMIF('Wege im Detail'!$A:$A,"19023",'Wege im Detail'!$P:$P)</f>
        <v>4.742</v>
      </c>
      <c r="J309" s="603" t="s">
        <v>839</v>
      </c>
      <c r="L309" s="209">
        <v>56</v>
      </c>
      <c r="M309" s="197">
        <v>100</v>
      </c>
      <c r="N309" s="198">
        <v>0</v>
      </c>
      <c r="O309" s="213">
        <v>0</v>
      </c>
      <c r="P309" s="350">
        <v>0</v>
      </c>
      <c r="R309" s="275">
        <v>0</v>
      </c>
      <c r="S309" s="276">
        <v>0</v>
      </c>
      <c r="T309" s="277">
        <v>1.36</v>
      </c>
      <c r="U309" s="276">
        <v>0</v>
      </c>
      <c r="V309" s="277">
        <v>3.34</v>
      </c>
      <c r="W309" s="276">
        <v>0</v>
      </c>
      <c r="X309" s="277">
        <v>0</v>
      </c>
      <c r="Y309" s="278">
        <f t="shared" si="20"/>
        <v>4.7</v>
      </c>
      <c r="Z309" s="279"/>
      <c r="AA309" s="280">
        <v>0</v>
      </c>
      <c r="AB309" s="281">
        <v>0.629</v>
      </c>
      <c r="AC309" s="280">
        <v>1.46</v>
      </c>
      <c r="AD309" s="294">
        <v>0</v>
      </c>
      <c r="AE309" s="281">
        <v>1.63</v>
      </c>
      <c r="AF309" s="288">
        <v>0.97199999999999998</v>
      </c>
      <c r="AG309" s="303">
        <v>0</v>
      </c>
      <c r="AH309" s="356">
        <v>0</v>
      </c>
      <c r="AI309" s="301">
        <f t="shared" si="21"/>
        <v>-4.1999999999999815E-2</v>
      </c>
      <c r="AK309" s="437" t="s">
        <v>50</v>
      </c>
    </row>
    <row r="310" spans="1:248" s="8" customFormat="1" ht="45" customHeight="1" thickBot="1" x14ac:dyDescent="0.25">
      <c r="A310" s="444">
        <v>19024</v>
      </c>
      <c r="B310" s="445" t="s">
        <v>51</v>
      </c>
      <c r="C310" s="445" t="s">
        <v>91</v>
      </c>
      <c r="D310" s="445"/>
      <c r="E310" s="445">
        <v>72</v>
      </c>
      <c r="F310" s="445"/>
      <c r="G310" s="445"/>
      <c r="H310" s="448" t="s">
        <v>55</v>
      </c>
      <c r="I310" s="451">
        <f>SUMIF('Wege im Detail'!$A:$A,"19024",'Wege im Detail'!$P:$P)</f>
        <v>1.0229999999999999</v>
      </c>
      <c r="J310" s="508" t="s">
        <v>840</v>
      </c>
      <c r="K310" s="237"/>
      <c r="L310" s="209">
        <v>0</v>
      </c>
      <c r="M310" s="197">
        <v>100</v>
      </c>
      <c r="N310" s="198">
        <v>0</v>
      </c>
      <c r="O310" s="213">
        <v>0</v>
      </c>
      <c r="P310" s="350">
        <v>0</v>
      </c>
      <c r="Q310" s="226"/>
      <c r="R310" s="275">
        <v>0</v>
      </c>
      <c r="S310" s="276">
        <v>0</v>
      </c>
      <c r="T310" s="277">
        <v>0.96099999999999997</v>
      </c>
      <c r="U310" s="276">
        <v>0.55549999999999999</v>
      </c>
      <c r="V310" s="277">
        <v>0</v>
      </c>
      <c r="W310" s="276">
        <v>0</v>
      </c>
      <c r="X310" s="277">
        <v>0</v>
      </c>
      <c r="Y310" s="278">
        <f t="shared" si="20"/>
        <v>1.5165</v>
      </c>
      <c r="Z310" s="282"/>
      <c r="AA310" s="280">
        <v>0</v>
      </c>
      <c r="AB310" s="281">
        <v>0.96</v>
      </c>
      <c r="AC310" s="280">
        <v>0.55549999999999999</v>
      </c>
      <c r="AD310" s="294">
        <v>0</v>
      </c>
      <c r="AE310" s="281">
        <v>0</v>
      </c>
      <c r="AF310" s="288">
        <v>0</v>
      </c>
      <c r="AG310" s="303">
        <v>0</v>
      </c>
      <c r="AH310" s="356">
        <v>0</v>
      </c>
      <c r="AI310" s="301">
        <f t="shared" si="21"/>
        <v>0.49350000000000005</v>
      </c>
      <c r="AJ310" s="187"/>
      <c r="AK310" s="437" t="s">
        <v>50</v>
      </c>
      <c r="AL310" s="427"/>
      <c r="AM310" s="428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</row>
    <row r="311" spans="1:248" ht="45" customHeight="1" thickBot="1" x14ac:dyDescent="0.3">
      <c r="A311" s="444">
        <v>19025</v>
      </c>
      <c r="B311" s="445" t="s">
        <v>84</v>
      </c>
      <c r="C311" s="515" t="s">
        <v>320</v>
      </c>
      <c r="D311" s="470"/>
      <c r="E311" s="445" t="s">
        <v>842</v>
      </c>
      <c r="F311" s="445" t="s">
        <v>843</v>
      </c>
      <c r="G311" s="445"/>
      <c r="H311" s="448" t="s">
        <v>55</v>
      </c>
      <c r="I311" s="451">
        <f>SUMIF('Wege im Detail'!$A:$A,"19025",'Wege im Detail'!$P:$P)</f>
        <v>5.01</v>
      </c>
      <c r="J311" s="508" t="s">
        <v>844</v>
      </c>
      <c r="L311" s="209">
        <v>44</v>
      </c>
      <c r="M311" s="197">
        <v>94</v>
      </c>
      <c r="N311" s="198">
        <v>0</v>
      </c>
      <c r="O311" s="213">
        <v>5</v>
      </c>
      <c r="P311" s="350">
        <v>1</v>
      </c>
      <c r="R311" s="275">
        <v>0</v>
      </c>
      <c r="S311" s="276">
        <v>0.129</v>
      </c>
      <c r="T311" s="277">
        <v>2.2200000000000002</v>
      </c>
      <c r="U311" s="276">
        <v>0</v>
      </c>
      <c r="V311" s="277">
        <v>1.72</v>
      </c>
      <c r="W311" s="276">
        <v>0.189</v>
      </c>
      <c r="X311" s="277">
        <v>0.53900000000000003</v>
      </c>
      <c r="Y311" s="278">
        <f t="shared" si="20"/>
        <v>4.7969999999999997</v>
      </c>
      <c r="Z311" s="279"/>
      <c r="AA311" s="280">
        <v>0</v>
      </c>
      <c r="AB311" s="281">
        <v>1.19</v>
      </c>
      <c r="AC311" s="280">
        <v>1.23</v>
      </c>
      <c r="AD311" s="294">
        <v>0.43</v>
      </c>
      <c r="AE311" s="281">
        <v>1.05</v>
      </c>
      <c r="AF311" s="288">
        <v>0.88900000000000001</v>
      </c>
      <c r="AG311" s="303">
        <v>0</v>
      </c>
      <c r="AH311" s="356">
        <v>0</v>
      </c>
      <c r="AI311" s="301">
        <f t="shared" si="21"/>
        <v>-0.21300000000000008</v>
      </c>
      <c r="AK311" s="437" t="s">
        <v>50</v>
      </c>
    </row>
    <row r="312" spans="1:248" ht="45" customHeight="1" thickBot="1" x14ac:dyDescent="0.25">
      <c r="A312" s="444">
        <v>19026</v>
      </c>
      <c r="B312" s="445" t="s">
        <v>84</v>
      </c>
      <c r="C312" s="515" t="s">
        <v>320</v>
      </c>
      <c r="D312" s="470"/>
      <c r="E312" s="445" t="s">
        <v>846</v>
      </c>
      <c r="F312" s="445" t="s">
        <v>847</v>
      </c>
      <c r="G312" s="445"/>
      <c r="H312" s="448" t="s">
        <v>55</v>
      </c>
      <c r="I312" s="451">
        <f>SUMIF('Wege im Detail'!$A:$A,"19026",'Wege im Detail'!$P:$P)</f>
        <v>6.2439999999999998</v>
      </c>
      <c r="J312" s="508" t="s">
        <v>848</v>
      </c>
      <c r="L312" s="209">
        <v>29</v>
      </c>
      <c r="M312" s="197">
        <v>95</v>
      </c>
      <c r="N312" s="198">
        <v>4</v>
      </c>
      <c r="O312" s="213">
        <v>1</v>
      </c>
      <c r="P312" s="350">
        <v>0</v>
      </c>
      <c r="R312" s="275">
        <v>0</v>
      </c>
      <c r="S312" s="276">
        <v>0</v>
      </c>
      <c r="T312" s="277">
        <v>3.95</v>
      </c>
      <c r="U312" s="276">
        <v>0</v>
      </c>
      <c r="V312" s="277">
        <v>1.7</v>
      </c>
      <c r="W312" s="276">
        <v>0.55549999999999999</v>
      </c>
      <c r="X312" s="277">
        <v>0.53500000000000003</v>
      </c>
      <c r="Y312" s="278">
        <f t="shared" si="20"/>
        <v>6.7405000000000008</v>
      </c>
      <c r="Z312" s="282"/>
      <c r="AA312" s="280">
        <v>0</v>
      </c>
      <c r="AB312" s="281">
        <v>1.95</v>
      </c>
      <c r="AC312" s="280">
        <v>2.0699999999999998</v>
      </c>
      <c r="AD312" s="294">
        <v>0.42899999999999999</v>
      </c>
      <c r="AE312" s="281">
        <v>1.43</v>
      </c>
      <c r="AF312" s="288">
        <v>0.33900000000000002</v>
      </c>
      <c r="AG312" s="303">
        <v>0</v>
      </c>
      <c r="AH312" s="356">
        <v>0</v>
      </c>
      <c r="AI312" s="301">
        <f t="shared" si="21"/>
        <v>0.49650000000000105</v>
      </c>
      <c r="AJ312" s="187"/>
      <c r="AK312" s="437" t="s">
        <v>50</v>
      </c>
      <c r="AL312" s="427"/>
      <c r="AM312" s="428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</row>
    <row r="313" spans="1:248" ht="45" customHeight="1" thickBot="1" x14ac:dyDescent="0.3">
      <c r="A313" s="444">
        <v>19128</v>
      </c>
      <c r="B313" s="445" t="s">
        <v>51</v>
      </c>
      <c r="C313" s="445" t="s">
        <v>91</v>
      </c>
      <c r="D313" s="445"/>
      <c r="E313" s="445">
        <v>72</v>
      </c>
      <c r="F313" s="445"/>
      <c r="G313" s="445"/>
      <c r="H313" s="448" t="s">
        <v>55</v>
      </c>
      <c r="I313" s="451">
        <f>SUMIF('Wege im Detail'!$A:$A,"19128",'Wege im Detail'!$P:$P)</f>
        <v>0.9</v>
      </c>
      <c r="J313" s="508" t="s">
        <v>849</v>
      </c>
      <c r="L313" s="209">
        <v>0</v>
      </c>
      <c r="M313" s="197">
        <v>100</v>
      </c>
      <c r="N313" s="198">
        <v>0</v>
      </c>
      <c r="O313" s="213">
        <v>0</v>
      </c>
      <c r="P313" s="350">
        <v>0</v>
      </c>
      <c r="R313" s="275">
        <v>0.55549999999999999</v>
      </c>
      <c r="S313" s="276">
        <v>0.27500000000000002</v>
      </c>
      <c r="T313" s="277">
        <v>0.58099999999999996</v>
      </c>
      <c r="U313" s="276">
        <v>0</v>
      </c>
      <c r="V313" s="277">
        <v>0</v>
      </c>
      <c r="W313" s="276">
        <v>0</v>
      </c>
      <c r="X313" s="277">
        <v>0</v>
      </c>
      <c r="Y313" s="278">
        <f t="shared" si="20"/>
        <v>1.4115</v>
      </c>
      <c r="Z313" s="279"/>
      <c r="AA313" s="280">
        <v>0</v>
      </c>
      <c r="AB313" s="281">
        <v>0.92</v>
      </c>
      <c r="AC313" s="280">
        <v>0</v>
      </c>
      <c r="AD313" s="294">
        <v>0</v>
      </c>
      <c r="AE313" s="281">
        <v>0</v>
      </c>
      <c r="AF313" s="288">
        <v>0</v>
      </c>
      <c r="AG313" s="303">
        <v>0</v>
      </c>
      <c r="AH313" s="356">
        <v>0</v>
      </c>
      <c r="AI313" s="301">
        <f t="shared" si="21"/>
        <v>0.51149999999999995</v>
      </c>
      <c r="AK313" s="437" t="s">
        <v>50</v>
      </c>
    </row>
    <row r="314" spans="1:248" ht="45" customHeight="1" thickBot="1" x14ac:dyDescent="0.3">
      <c r="A314" s="444">
        <v>19129</v>
      </c>
      <c r="B314" s="445" t="s">
        <v>51</v>
      </c>
      <c r="C314" s="445" t="s">
        <v>91</v>
      </c>
      <c r="D314" s="445"/>
      <c r="E314" s="445">
        <v>72</v>
      </c>
      <c r="F314" s="445"/>
      <c r="G314" s="445"/>
      <c r="H314" s="448" t="s">
        <v>55</v>
      </c>
      <c r="I314" s="451">
        <f>SUMIF('Wege im Detail'!$A:$A,"19129",'Wege im Detail'!$P:$P)</f>
        <v>0.59099999999999997</v>
      </c>
      <c r="J314" s="508" t="s">
        <v>850</v>
      </c>
      <c r="L314" s="209">
        <v>0</v>
      </c>
      <c r="M314" s="197">
        <v>100</v>
      </c>
      <c r="N314" s="198">
        <v>0</v>
      </c>
      <c r="O314" s="213">
        <v>0</v>
      </c>
      <c r="P314" s="350">
        <v>0</v>
      </c>
      <c r="R314" s="275">
        <v>0</v>
      </c>
      <c r="S314" s="276">
        <v>0.23799999999999999</v>
      </c>
      <c r="T314" s="277">
        <v>0.28499999999999998</v>
      </c>
      <c r="U314" s="276">
        <v>0.55549999999999999</v>
      </c>
      <c r="V314" s="277">
        <v>0</v>
      </c>
      <c r="W314" s="276">
        <v>0</v>
      </c>
      <c r="X314" s="277">
        <v>0</v>
      </c>
      <c r="Y314" s="278">
        <f t="shared" si="20"/>
        <v>1.0785</v>
      </c>
      <c r="Z314" s="279"/>
      <c r="AA314" s="280">
        <v>0</v>
      </c>
      <c r="AB314" s="281">
        <v>0.28499999999999998</v>
      </c>
      <c r="AC314" s="280">
        <v>0.3</v>
      </c>
      <c r="AD314" s="294">
        <v>0</v>
      </c>
      <c r="AE314" s="281">
        <v>0</v>
      </c>
      <c r="AF314" s="288">
        <v>0</v>
      </c>
      <c r="AG314" s="303">
        <v>0</v>
      </c>
      <c r="AH314" s="356">
        <v>0</v>
      </c>
      <c r="AI314" s="301">
        <f t="shared" si="21"/>
        <v>0.48750000000000004</v>
      </c>
      <c r="AK314" s="437" t="s">
        <v>50</v>
      </c>
    </row>
    <row r="315" spans="1:248" ht="45" customHeight="1" thickBot="1" x14ac:dyDescent="0.3">
      <c r="A315" s="444">
        <v>19361</v>
      </c>
      <c r="B315" s="445" t="s">
        <v>51</v>
      </c>
      <c r="C315" s="445" t="s">
        <v>91</v>
      </c>
      <c r="D315" s="470"/>
      <c r="E315" s="445">
        <v>517</v>
      </c>
      <c r="F315" s="445" t="s">
        <v>777</v>
      </c>
      <c r="G315" s="445"/>
      <c r="H315" s="448" t="s">
        <v>55</v>
      </c>
      <c r="I315" s="451">
        <f>SUMIF('Wege im Detail'!$A:$A,"19361",'Wege im Detail'!$P:$P)</f>
        <v>5.4869999999999992</v>
      </c>
      <c r="J315" s="516" t="s">
        <v>851</v>
      </c>
      <c r="K315" s="238"/>
      <c r="L315" s="209">
        <v>17</v>
      </c>
      <c r="M315" s="197">
        <v>100</v>
      </c>
      <c r="N315" s="198">
        <v>0</v>
      </c>
      <c r="O315" s="213">
        <v>0</v>
      </c>
      <c r="P315" s="350">
        <v>0</v>
      </c>
      <c r="R315" s="275">
        <v>0</v>
      </c>
      <c r="S315" s="276">
        <v>1.1910000000000001</v>
      </c>
      <c r="T315" s="277">
        <v>3.43</v>
      </c>
      <c r="U315" s="276">
        <v>0</v>
      </c>
      <c r="V315" s="277">
        <v>0.91100000000000003</v>
      </c>
      <c r="W315" s="276">
        <v>0</v>
      </c>
      <c r="X315" s="277">
        <v>0</v>
      </c>
      <c r="Y315" s="278">
        <f t="shared" si="20"/>
        <v>5.532</v>
      </c>
      <c r="Z315" s="279"/>
      <c r="AA315" s="280">
        <v>0</v>
      </c>
      <c r="AB315" s="281">
        <v>1.3360000000000001</v>
      </c>
      <c r="AC315" s="280">
        <v>3.29</v>
      </c>
      <c r="AD315" s="294">
        <v>0</v>
      </c>
      <c r="AE315" s="281">
        <v>0</v>
      </c>
      <c r="AF315" s="288">
        <v>0.91100000000000003</v>
      </c>
      <c r="AG315" s="303">
        <v>0</v>
      </c>
      <c r="AH315" s="356">
        <v>0</v>
      </c>
      <c r="AI315" s="301">
        <f t="shared" si="21"/>
        <v>4.5000000000000817E-2</v>
      </c>
      <c r="AK315" s="437" t="s">
        <v>50</v>
      </c>
    </row>
    <row r="316" spans="1:248" ht="45" customHeight="1" thickBot="1" x14ac:dyDescent="0.3">
      <c r="A316" s="444">
        <v>20316</v>
      </c>
      <c r="B316" s="445" t="s">
        <v>84</v>
      </c>
      <c r="C316" s="455" t="s">
        <v>85</v>
      </c>
      <c r="D316" s="479"/>
      <c r="E316" s="445" t="s">
        <v>854</v>
      </c>
      <c r="F316" s="448" t="s">
        <v>855</v>
      </c>
      <c r="G316" s="448"/>
      <c r="H316" s="448" t="s">
        <v>55</v>
      </c>
      <c r="I316" s="451">
        <f>SUMIF('Wege im Detail'!$A:$A,"20316",'Wege im Detail'!$P:$P)</f>
        <v>7.7610000000000001</v>
      </c>
      <c r="J316" s="508" t="s">
        <v>856</v>
      </c>
      <c r="L316" s="209">
        <v>51</v>
      </c>
      <c r="M316" s="197">
        <v>95</v>
      </c>
      <c r="N316" s="198">
        <v>5</v>
      </c>
      <c r="O316" s="213">
        <v>1</v>
      </c>
      <c r="P316" s="350">
        <v>0</v>
      </c>
      <c r="R316" s="275">
        <v>0</v>
      </c>
      <c r="S316" s="276">
        <v>0</v>
      </c>
      <c r="T316" s="277">
        <v>3.58</v>
      </c>
      <c r="U316" s="276">
        <v>0.13800000000000001</v>
      </c>
      <c r="V316" s="277">
        <v>3.04</v>
      </c>
      <c r="W316" s="276">
        <v>0</v>
      </c>
      <c r="X316" s="277">
        <v>1.04</v>
      </c>
      <c r="Y316" s="278">
        <f t="shared" si="20"/>
        <v>7.798</v>
      </c>
      <c r="Z316" s="279"/>
      <c r="AA316" s="280">
        <v>0</v>
      </c>
      <c r="AB316" s="281">
        <v>0.68200000000000005</v>
      </c>
      <c r="AC316" s="280">
        <v>3.18</v>
      </c>
      <c r="AD316" s="294">
        <v>0</v>
      </c>
      <c r="AE316" s="281">
        <v>1.75</v>
      </c>
      <c r="AF316" s="288">
        <v>2.1800000000000002</v>
      </c>
      <c r="AG316" s="303">
        <v>0</v>
      </c>
      <c r="AH316" s="356">
        <v>0</v>
      </c>
      <c r="AI316" s="301">
        <f t="shared" si="21"/>
        <v>3.6999999999999922E-2</v>
      </c>
      <c r="AK316" s="435" t="s">
        <v>50</v>
      </c>
    </row>
    <row r="317" spans="1:248" ht="45" customHeight="1" thickBot="1" x14ac:dyDescent="0.3">
      <c r="A317" s="444">
        <v>20322</v>
      </c>
      <c r="B317" s="445" t="s">
        <v>84</v>
      </c>
      <c r="C317" s="455" t="s">
        <v>85</v>
      </c>
      <c r="D317" s="479"/>
      <c r="E317" s="445" t="s">
        <v>857</v>
      </c>
      <c r="F317" s="448" t="s">
        <v>142</v>
      </c>
      <c r="G317" s="448"/>
      <c r="H317" s="448" t="s">
        <v>55</v>
      </c>
      <c r="I317" s="451">
        <f>SUMIF('Wege im Detail'!$A:$A,"20322",'Wege im Detail'!$P:$P)</f>
        <v>6.4169999999999998</v>
      </c>
      <c r="J317" s="508" t="s">
        <v>858</v>
      </c>
      <c r="L317" s="209">
        <v>38</v>
      </c>
      <c r="M317" s="197">
        <v>100</v>
      </c>
      <c r="N317" s="198">
        <v>0</v>
      </c>
      <c r="O317" s="213">
        <v>0</v>
      </c>
      <c r="P317" s="350">
        <v>0</v>
      </c>
      <c r="R317" s="275">
        <v>0</v>
      </c>
      <c r="S317" s="276">
        <v>0.69199999999999995</v>
      </c>
      <c r="T317" s="277">
        <v>2.42</v>
      </c>
      <c r="U317" s="276">
        <v>1.04</v>
      </c>
      <c r="V317" s="277">
        <v>0</v>
      </c>
      <c r="W317" s="276">
        <v>2.25</v>
      </c>
      <c r="X317" s="277">
        <v>0</v>
      </c>
      <c r="Y317" s="278">
        <f t="shared" si="20"/>
        <v>6.4020000000000001</v>
      </c>
      <c r="Z317" s="279"/>
      <c r="AA317" s="280">
        <v>0</v>
      </c>
      <c r="AB317" s="281">
        <v>0.36299999999999999</v>
      </c>
      <c r="AC317" s="280">
        <v>3.79</v>
      </c>
      <c r="AD317" s="294">
        <v>0</v>
      </c>
      <c r="AE317" s="281">
        <v>1.61</v>
      </c>
      <c r="AF317" s="288">
        <v>0.63800000000000001</v>
      </c>
      <c r="AG317" s="303">
        <v>0</v>
      </c>
      <c r="AH317" s="356">
        <v>0</v>
      </c>
      <c r="AI317" s="301">
        <f t="shared" si="21"/>
        <v>-1.499999999999968E-2</v>
      </c>
      <c r="AK317" s="437" t="s">
        <v>158</v>
      </c>
    </row>
    <row r="318" spans="1:248" ht="45" customHeight="1" thickBot="1" x14ac:dyDescent="0.3">
      <c r="A318" s="444">
        <v>20362</v>
      </c>
      <c r="B318" s="445" t="s">
        <v>51</v>
      </c>
      <c r="C318" s="445" t="s">
        <v>286</v>
      </c>
      <c r="D318" s="479"/>
      <c r="E318" s="445">
        <v>550</v>
      </c>
      <c r="F318" s="448" t="s">
        <v>859</v>
      </c>
      <c r="G318" s="448" t="s">
        <v>286</v>
      </c>
      <c r="H318" s="448" t="s">
        <v>55</v>
      </c>
      <c r="I318" s="451">
        <f>SUMIF('Wege im Detail'!$A:$A,"20362",'Wege im Detail'!$P:$P)</f>
        <v>35.606000000000002</v>
      </c>
      <c r="J318" s="508" t="s">
        <v>860</v>
      </c>
      <c r="L318" s="209" t="s">
        <v>60</v>
      </c>
      <c r="M318" s="197" t="s">
        <v>60</v>
      </c>
      <c r="N318" s="198" t="s">
        <v>60</v>
      </c>
      <c r="O318" s="213" t="s">
        <v>60</v>
      </c>
      <c r="P318" s="350">
        <v>0</v>
      </c>
      <c r="R318" s="275">
        <v>0</v>
      </c>
      <c r="S318" s="276">
        <v>1.32</v>
      </c>
      <c r="T318" s="277">
        <v>23.8</v>
      </c>
      <c r="U318" s="276">
        <v>2.39</v>
      </c>
      <c r="V318" s="277">
        <v>5.17</v>
      </c>
      <c r="W318" s="276">
        <v>2.4500000000000002</v>
      </c>
      <c r="X318" s="277">
        <v>0.65100000000000002</v>
      </c>
      <c r="Y318" s="278">
        <f t="shared" si="20"/>
        <v>35.781000000000006</v>
      </c>
      <c r="Z318" s="279"/>
      <c r="AA318" s="280">
        <v>0.309</v>
      </c>
      <c r="AB318" s="281">
        <v>2.82</v>
      </c>
      <c r="AC318" s="280">
        <v>24.4</v>
      </c>
      <c r="AD318" s="294">
        <v>0.311</v>
      </c>
      <c r="AE318" s="281">
        <v>3.55</v>
      </c>
      <c r="AF318" s="288">
        <v>4.25</v>
      </c>
      <c r="AG318" s="303">
        <v>0</v>
      </c>
      <c r="AH318" s="356">
        <v>0.22500000000000001</v>
      </c>
      <c r="AI318" s="301">
        <f t="shared" si="21"/>
        <v>0.17500000000000426</v>
      </c>
      <c r="AK318" s="437" t="s">
        <v>158</v>
      </c>
    </row>
    <row r="319" spans="1:248" ht="45" customHeight="1" thickBot="1" x14ac:dyDescent="0.3">
      <c r="A319" s="444">
        <v>22153</v>
      </c>
      <c r="B319" s="445" t="s">
        <v>84</v>
      </c>
      <c r="C319" s="445" t="s">
        <v>85</v>
      </c>
      <c r="D319" s="445"/>
      <c r="E319" s="445" t="s">
        <v>861</v>
      </c>
      <c r="F319" s="448" t="s">
        <v>320</v>
      </c>
      <c r="G319" s="448"/>
      <c r="H319" s="448" t="s">
        <v>55</v>
      </c>
      <c r="I319" s="451">
        <f>SUMIF('Wege im Detail'!$A:$A,"22153",'Wege im Detail'!$P:$P)</f>
        <v>3.49</v>
      </c>
      <c r="J319" s="508" t="s">
        <v>862</v>
      </c>
      <c r="L319" s="256">
        <v>36</v>
      </c>
      <c r="M319" s="195">
        <v>95</v>
      </c>
      <c r="N319" s="196">
        <v>5</v>
      </c>
      <c r="O319" s="212">
        <v>0</v>
      </c>
      <c r="P319" s="350">
        <v>0</v>
      </c>
      <c r="R319" s="275">
        <v>0</v>
      </c>
      <c r="S319" s="276">
        <v>0</v>
      </c>
      <c r="T319" s="277">
        <v>1.8740000000000001</v>
      </c>
      <c r="U319" s="276">
        <v>0</v>
      </c>
      <c r="V319" s="277">
        <v>1.2310000000000001</v>
      </c>
      <c r="W319" s="276">
        <v>0.373</v>
      </c>
      <c r="X319" s="277">
        <v>0</v>
      </c>
      <c r="Y319" s="278">
        <f t="shared" si="20"/>
        <v>3.4780000000000006</v>
      </c>
      <c r="Z319" s="279"/>
      <c r="AA319" s="280">
        <v>0</v>
      </c>
      <c r="AB319" s="281">
        <v>0.55549999999999999</v>
      </c>
      <c r="AC319" s="280">
        <v>2.6739999999999999</v>
      </c>
      <c r="AD319" s="294">
        <v>0</v>
      </c>
      <c r="AE319" s="281">
        <v>0.10100000000000001</v>
      </c>
      <c r="AF319" s="288">
        <v>0.54400000000000004</v>
      </c>
      <c r="AG319" s="303">
        <v>0</v>
      </c>
      <c r="AH319" s="356">
        <v>0</v>
      </c>
      <c r="AI319" s="301">
        <f t="shared" si="21"/>
        <v>-1.1999999999999567E-2</v>
      </c>
      <c r="AK319" s="437" t="s">
        <v>50</v>
      </c>
    </row>
    <row r="320" spans="1:248" ht="45" customHeight="1" thickBot="1" x14ac:dyDescent="0.3">
      <c r="A320" s="444">
        <v>22176</v>
      </c>
      <c r="B320" s="445" t="s">
        <v>84</v>
      </c>
      <c r="C320" s="445" t="s">
        <v>320</v>
      </c>
      <c r="D320" s="511"/>
      <c r="E320" s="445" t="s">
        <v>863</v>
      </c>
      <c r="F320" s="448" t="s">
        <v>864</v>
      </c>
      <c r="G320" s="448"/>
      <c r="H320" s="448" t="s">
        <v>55</v>
      </c>
      <c r="I320" s="451">
        <f>SUMIF('Wege im Detail'!$A:$A,"22176",'Wege im Detail'!$P:$P)</f>
        <v>2.7679999999999998</v>
      </c>
      <c r="J320" s="508" t="s">
        <v>865</v>
      </c>
      <c r="K320" s="239"/>
      <c r="L320" s="209">
        <v>0</v>
      </c>
      <c r="M320" s="197">
        <v>100</v>
      </c>
      <c r="N320" s="198">
        <v>0</v>
      </c>
      <c r="O320" s="213">
        <v>0</v>
      </c>
      <c r="P320" s="350">
        <v>0</v>
      </c>
      <c r="R320" s="275">
        <v>0</v>
      </c>
      <c r="S320" s="276">
        <v>1.65</v>
      </c>
      <c r="T320" s="277">
        <v>1.1200000000000001</v>
      </c>
      <c r="U320" s="276">
        <v>0</v>
      </c>
      <c r="V320" s="277">
        <v>0</v>
      </c>
      <c r="W320" s="276">
        <v>0</v>
      </c>
      <c r="X320" s="277">
        <v>0</v>
      </c>
      <c r="Y320" s="278">
        <f t="shared" si="20"/>
        <v>2.77</v>
      </c>
      <c r="Z320" s="279"/>
      <c r="AA320" s="280">
        <v>0</v>
      </c>
      <c r="AB320" s="281">
        <v>1.65</v>
      </c>
      <c r="AC320" s="280">
        <v>1.1200000000000001</v>
      </c>
      <c r="AD320" s="294">
        <v>0</v>
      </c>
      <c r="AE320" s="281">
        <v>0</v>
      </c>
      <c r="AF320" s="288">
        <v>0</v>
      </c>
      <c r="AG320" s="303">
        <v>0</v>
      </c>
      <c r="AH320" s="356">
        <v>0</v>
      </c>
      <c r="AI320" s="301">
        <f t="shared" si="21"/>
        <v>2.0000000000002238E-3</v>
      </c>
      <c r="AK320" s="437" t="s">
        <v>50</v>
      </c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  <c r="IN320" s="8"/>
    </row>
    <row r="321" spans="1:248" ht="45" customHeight="1" thickBot="1" x14ac:dyDescent="0.3">
      <c r="A321" s="444">
        <v>22178</v>
      </c>
      <c r="B321" s="499" t="s">
        <v>84</v>
      </c>
      <c r="C321" s="499" t="s">
        <v>320</v>
      </c>
      <c r="D321" s="513"/>
      <c r="E321" s="445" t="s">
        <v>866</v>
      </c>
      <c r="F321" s="501" t="s">
        <v>867</v>
      </c>
      <c r="G321" s="501"/>
      <c r="H321" s="501" t="s">
        <v>55</v>
      </c>
      <c r="I321" s="451">
        <f>SUMIF('Wege im Detail'!$A:$A,"22178",'Wege im Detail'!$P:$P)</f>
        <v>2.1320000000000001</v>
      </c>
      <c r="J321" s="508" t="s">
        <v>868</v>
      </c>
      <c r="L321" s="209">
        <v>1</v>
      </c>
      <c r="M321" s="197">
        <v>100</v>
      </c>
      <c r="N321" s="198">
        <v>0</v>
      </c>
      <c r="O321" s="213">
        <v>0</v>
      </c>
      <c r="P321" s="350">
        <v>0</v>
      </c>
      <c r="R321" s="275">
        <v>0</v>
      </c>
      <c r="S321" s="276">
        <v>1.08</v>
      </c>
      <c r="T321" s="277">
        <v>1.03</v>
      </c>
      <c r="U321" s="276">
        <v>0</v>
      </c>
      <c r="V321" s="277">
        <v>0</v>
      </c>
      <c r="W321" s="276">
        <v>0.55549999999999999</v>
      </c>
      <c r="X321" s="277">
        <v>0</v>
      </c>
      <c r="Y321" s="278">
        <f t="shared" si="20"/>
        <v>2.6655000000000002</v>
      </c>
      <c r="Z321" s="279"/>
      <c r="AA321" s="280">
        <v>0</v>
      </c>
      <c r="AB321" s="281">
        <v>1.08</v>
      </c>
      <c r="AC321" s="280">
        <v>1.03</v>
      </c>
      <c r="AD321" s="294">
        <v>0</v>
      </c>
      <c r="AE321" s="281">
        <v>0.55549999999999999</v>
      </c>
      <c r="AF321" s="288">
        <v>0</v>
      </c>
      <c r="AG321" s="303">
        <v>0</v>
      </c>
      <c r="AH321" s="356">
        <v>0</v>
      </c>
      <c r="AI321" s="301">
        <f t="shared" si="21"/>
        <v>0.53350000000000009</v>
      </c>
      <c r="AK321" s="437" t="s">
        <v>50</v>
      </c>
    </row>
    <row r="322" spans="1:248" ht="45" customHeight="1" thickBot="1" x14ac:dyDescent="0.25">
      <c r="A322" s="444">
        <v>22180</v>
      </c>
      <c r="B322" s="499" t="s">
        <v>84</v>
      </c>
      <c r="C322" s="499" t="s">
        <v>320</v>
      </c>
      <c r="D322" s="513"/>
      <c r="E322" s="445" t="s">
        <v>869</v>
      </c>
      <c r="F322" s="501" t="s">
        <v>870</v>
      </c>
      <c r="G322" s="501"/>
      <c r="H322" s="501" t="s">
        <v>55</v>
      </c>
      <c r="I322" s="451">
        <f>SUMIF('Wege im Detail'!$A:$A,"22180",'Wege im Detail'!$P:$P)</f>
        <v>1.022</v>
      </c>
      <c r="J322" s="512" t="s">
        <v>871</v>
      </c>
      <c r="L322" s="209">
        <v>0</v>
      </c>
      <c r="M322" s="197">
        <v>100</v>
      </c>
      <c r="N322" s="198">
        <v>0</v>
      </c>
      <c r="O322" s="213">
        <v>0</v>
      </c>
      <c r="P322" s="350">
        <v>0</v>
      </c>
      <c r="R322" s="275">
        <v>0</v>
      </c>
      <c r="S322" s="276">
        <v>0</v>
      </c>
      <c r="T322" s="277">
        <v>1.02</v>
      </c>
      <c r="U322" s="276">
        <v>0</v>
      </c>
      <c r="V322" s="277">
        <v>0</v>
      </c>
      <c r="W322" s="276">
        <v>0</v>
      </c>
      <c r="X322" s="277">
        <v>0</v>
      </c>
      <c r="Y322" s="278">
        <f t="shared" si="20"/>
        <v>1.02</v>
      </c>
      <c r="Z322" s="282"/>
      <c r="AA322" s="280">
        <v>0</v>
      </c>
      <c r="AB322" s="281">
        <v>0</v>
      </c>
      <c r="AC322" s="280">
        <v>1.02</v>
      </c>
      <c r="AD322" s="294">
        <v>0</v>
      </c>
      <c r="AE322" s="281">
        <v>0</v>
      </c>
      <c r="AF322" s="288">
        <v>0</v>
      </c>
      <c r="AG322" s="303">
        <v>0</v>
      </c>
      <c r="AH322" s="356">
        <v>0</v>
      </c>
      <c r="AI322" s="301">
        <f t="shared" si="21"/>
        <v>-2.0000000000000018E-3</v>
      </c>
      <c r="AJ322" s="187"/>
      <c r="AK322" s="437" t="s">
        <v>50</v>
      </c>
      <c r="AL322" s="427"/>
      <c r="AM322" s="428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</row>
    <row r="323" spans="1:248" s="8" customFormat="1" ht="45" customHeight="1" thickBot="1" x14ac:dyDescent="0.25">
      <c r="A323" s="517">
        <v>22740</v>
      </c>
      <c r="B323" s="518" t="s">
        <v>51</v>
      </c>
      <c r="C323" s="519" t="s">
        <v>91</v>
      </c>
      <c r="D323" s="525"/>
      <c r="E323" s="519">
        <v>100</v>
      </c>
      <c r="F323" s="520" t="s">
        <v>872</v>
      </c>
      <c r="G323" s="521"/>
      <c r="H323" s="521" t="s">
        <v>55</v>
      </c>
      <c r="I323" s="507">
        <f>SUMIF('Wege im Detail'!$A:$A,"22740",'Wege im Detail'!$P:$P)</f>
        <v>7.2859999999999996</v>
      </c>
      <c r="J323" s="514" t="s">
        <v>873</v>
      </c>
      <c r="K323" s="237"/>
      <c r="L323" s="209">
        <v>51</v>
      </c>
      <c r="M323" s="197">
        <v>97</v>
      </c>
      <c r="N323" s="198">
        <v>2</v>
      </c>
      <c r="O323" s="213">
        <v>1</v>
      </c>
      <c r="P323" s="350">
        <v>0</v>
      </c>
      <c r="Q323" s="226">
        <v>0</v>
      </c>
      <c r="R323" s="275">
        <v>0</v>
      </c>
      <c r="S323" s="276">
        <v>1.54</v>
      </c>
      <c r="T323" s="277">
        <v>0.55549999999999999</v>
      </c>
      <c r="U323" s="276">
        <v>1.1499999999999999</v>
      </c>
      <c r="V323" s="277">
        <v>2.04</v>
      </c>
      <c r="W323" s="276">
        <v>1.28</v>
      </c>
      <c r="X323" s="277">
        <v>1.2</v>
      </c>
      <c r="Y323" s="278">
        <f t="shared" si="20"/>
        <v>7.7655000000000003</v>
      </c>
      <c r="Z323" s="282"/>
      <c r="AA323" s="280">
        <v>0</v>
      </c>
      <c r="AB323" s="281">
        <v>0.55549999999999999</v>
      </c>
      <c r="AC323" s="280">
        <v>3.17</v>
      </c>
      <c r="AD323" s="294">
        <v>0</v>
      </c>
      <c r="AE323" s="281">
        <v>1.77</v>
      </c>
      <c r="AF323" s="288">
        <v>1.1000000000000001</v>
      </c>
      <c r="AG323" s="303">
        <v>0</v>
      </c>
      <c r="AH323" s="356">
        <v>1.1599999999999999</v>
      </c>
      <c r="AI323" s="301">
        <f t="shared" si="21"/>
        <v>0.4795000000000007</v>
      </c>
      <c r="AJ323" s="187"/>
      <c r="AK323" s="437" t="s">
        <v>50</v>
      </c>
      <c r="AL323" s="427"/>
      <c r="AM323" s="428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</row>
    <row r="324" spans="1:248" s="8" customFormat="1" ht="45" customHeight="1" thickBot="1" x14ac:dyDescent="0.3">
      <c r="A324" s="517">
        <v>23464</v>
      </c>
      <c r="B324" s="518" t="s">
        <v>84</v>
      </c>
      <c r="C324" s="518" t="s">
        <v>85</v>
      </c>
      <c r="D324" s="518"/>
      <c r="E324" s="445" t="s">
        <v>874</v>
      </c>
      <c r="F324" s="448" t="s">
        <v>872</v>
      </c>
      <c r="G324" s="554"/>
      <c r="H324" s="522" t="s">
        <v>55</v>
      </c>
      <c r="I324" s="451">
        <f>SUMIF('Wege im Detail'!$A:$A,"23464",'Wege im Detail'!$P:$P)</f>
        <v>3.3170000000000002</v>
      </c>
      <c r="J324" s="514" t="s">
        <v>875</v>
      </c>
      <c r="K324" s="237"/>
      <c r="L324" s="209">
        <v>62</v>
      </c>
      <c r="M324" s="197">
        <v>63</v>
      </c>
      <c r="N324" s="198">
        <v>37</v>
      </c>
      <c r="O324" s="213">
        <v>0</v>
      </c>
      <c r="P324" s="350">
        <v>0</v>
      </c>
      <c r="Q324" s="226"/>
      <c r="R324" s="275">
        <v>0</v>
      </c>
      <c r="S324" s="276">
        <v>0</v>
      </c>
      <c r="T324" s="277">
        <v>1.0900000000000001</v>
      </c>
      <c r="U324" s="276">
        <v>0.23200000000000001</v>
      </c>
      <c r="V324" s="277">
        <v>1.87</v>
      </c>
      <c r="W324" s="276">
        <v>0</v>
      </c>
      <c r="X324" s="277">
        <v>0.55549999999999999</v>
      </c>
      <c r="Y324" s="278">
        <f t="shared" si="20"/>
        <v>3.7475000000000001</v>
      </c>
      <c r="Z324" s="279"/>
      <c r="AA324" s="280">
        <v>0</v>
      </c>
      <c r="AB324" s="281">
        <v>0.94</v>
      </c>
      <c r="AC324" s="280">
        <v>0.23100000000000001</v>
      </c>
      <c r="AD324" s="294">
        <v>0</v>
      </c>
      <c r="AE324" s="281">
        <v>1.17</v>
      </c>
      <c r="AF324" s="288">
        <v>0.94599999999999995</v>
      </c>
      <c r="AG324" s="303">
        <v>0</v>
      </c>
      <c r="AH324" s="356">
        <v>0</v>
      </c>
      <c r="AI324" s="301">
        <f t="shared" si="21"/>
        <v>0.43049999999999988</v>
      </c>
      <c r="AJ324" s="401"/>
      <c r="AK324" s="437" t="s">
        <v>50</v>
      </c>
      <c r="AL324" s="425"/>
      <c r="AM324" s="426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</row>
    <row r="325" spans="1:248" ht="45" customHeight="1" thickBot="1" x14ac:dyDescent="0.25">
      <c r="A325" s="517">
        <v>23465</v>
      </c>
      <c r="B325" s="518" t="s">
        <v>84</v>
      </c>
      <c r="C325" s="598" t="s">
        <v>366</v>
      </c>
      <c r="D325" s="599"/>
      <c r="E325" s="523" t="s">
        <v>876</v>
      </c>
      <c r="F325" s="448" t="s">
        <v>877</v>
      </c>
      <c r="G325" s="554"/>
      <c r="H325" s="522" t="s">
        <v>55</v>
      </c>
      <c r="I325" s="451">
        <f>SUMIF('Wege im Detail'!$A:$A,"23465",'Wege im Detail'!$P:$P)</f>
        <v>2.3340000000000001</v>
      </c>
      <c r="J325" s="514" t="s">
        <v>878</v>
      </c>
      <c r="L325" s="209">
        <v>0</v>
      </c>
      <c r="M325" s="197">
        <v>100</v>
      </c>
      <c r="N325" s="198">
        <v>0</v>
      </c>
      <c r="O325" s="213">
        <v>0</v>
      </c>
      <c r="P325" s="350">
        <v>0</v>
      </c>
      <c r="R325" s="275">
        <v>0</v>
      </c>
      <c r="S325" s="276">
        <v>1.54</v>
      </c>
      <c r="T325" s="277">
        <v>0.44</v>
      </c>
      <c r="U325" s="276">
        <v>0.26800000000000002</v>
      </c>
      <c r="V325" s="277">
        <v>0</v>
      </c>
      <c r="W325" s="276">
        <v>0</v>
      </c>
      <c r="X325" s="277">
        <v>0.55549999999999999</v>
      </c>
      <c r="Y325" s="278">
        <f t="shared" si="20"/>
        <v>2.8035000000000001</v>
      </c>
      <c r="Z325" s="282"/>
      <c r="AA325" s="280">
        <v>0</v>
      </c>
      <c r="AB325" s="281">
        <v>0.44</v>
      </c>
      <c r="AC325" s="280">
        <v>1.81</v>
      </c>
      <c r="AD325" s="294">
        <v>0</v>
      </c>
      <c r="AE325" s="281">
        <v>0.55549999999999999</v>
      </c>
      <c r="AF325" s="288">
        <v>0</v>
      </c>
      <c r="AG325" s="303">
        <v>0</v>
      </c>
      <c r="AH325" s="356">
        <v>0</v>
      </c>
      <c r="AI325" s="301">
        <f t="shared" si="21"/>
        <v>0.46950000000000003</v>
      </c>
      <c r="AJ325" s="187"/>
      <c r="AK325" s="437" t="s">
        <v>50</v>
      </c>
      <c r="AL325" s="427"/>
      <c r="AM325" s="428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</row>
    <row r="326" spans="1:248" ht="45" customHeight="1" thickBot="1" x14ac:dyDescent="0.3">
      <c r="A326" s="596">
        <v>24187</v>
      </c>
      <c r="B326" s="597" t="s">
        <v>51</v>
      </c>
      <c r="C326" s="445" t="s">
        <v>91</v>
      </c>
      <c r="D326" s="470"/>
      <c r="E326" s="445">
        <v>101</v>
      </c>
      <c r="F326" s="445" t="s">
        <v>879</v>
      </c>
      <c r="G326" s="600"/>
      <c r="H326" s="601" t="s">
        <v>55</v>
      </c>
      <c r="I326" s="451">
        <f>SUMIF('Wege im Detail'!$A:$A,"24187",'Wege im Detail'!$P:$P)</f>
        <v>8.218</v>
      </c>
      <c r="J326" s="514" t="s">
        <v>880</v>
      </c>
      <c r="L326" s="209">
        <v>1</v>
      </c>
      <c r="M326" s="197">
        <v>100</v>
      </c>
      <c r="N326" s="198">
        <v>0</v>
      </c>
      <c r="O326" s="213">
        <v>0</v>
      </c>
      <c r="P326" s="350">
        <v>0</v>
      </c>
      <c r="R326" s="275">
        <v>0.56399999999999995</v>
      </c>
      <c r="S326" s="276">
        <v>0</v>
      </c>
      <c r="T326" s="277">
        <v>7.62</v>
      </c>
      <c r="U326" s="276">
        <v>0</v>
      </c>
      <c r="V326" s="277">
        <v>0</v>
      </c>
      <c r="W326" s="276">
        <v>0</v>
      </c>
      <c r="X326" s="277">
        <v>0.55549999999999999</v>
      </c>
      <c r="Y326" s="278">
        <f t="shared" si="20"/>
        <v>8.7394999999999996</v>
      </c>
      <c r="Z326" s="279"/>
      <c r="AA326" s="280">
        <v>2.46</v>
      </c>
      <c r="AB326" s="281">
        <v>1.83</v>
      </c>
      <c r="AC326" s="280">
        <v>3.67</v>
      </c>
      <c r="AD326" s="294">
        <v>0</v>
      </c>
      <c r="AE326" s="281">
        <v>0.55549999999999999</v>
      </c>
      <c r="AF326" s="288">
        <v>0</v>
      </c>
      <c r="AG326" s="303">
        <v>0</v>
      </c>
      <c r="AH326" s="356">
        <v>0</v>
      </c>
      <c r="AI326" s="301">
        <f t="shared" si="21"/>
        <v>0.52149999999999963</v>
      </c>
      <c r="AK326" s="437" t="s">
        <v>50</v>
      </c>
    </row>
    <row r="327" spans="1:248" ht="45" customHeight="1" thickBot="1" x14ac:dyDescent="0.25">
      <c r="A327" s="444">
        <v>24321</v>
      </c>
      <c r="B327" s="445" t="s">
        <v>84</v>
      </c>
      <c r="C327" s="455" t="s">
        <v>366</v>
      </c>
      <c r="D327" s="445"/>
      <c r="E327" s="445" t="s">
        <v>881</v>
      </c>
      <c r="F327" s="445" t="s">
        <v>882</v>
      </c>
      <c r="G327" s="600"/>
      <c r="H327" s="522" t="s">
        <v>55</v>
      </c>
      <c r="I327" s="451">
        <f>SUMIF('Wege im Detail'!$A:$A,"24321",'Wege im Detail'!$P:$P)</f>
        <v>20.419</v>
      </c>
      <c r="J327" s="514" t="s">
        <v>883</v>
      </c>
      <c r="L327" s="209">
        <v>39</v>
      </c>
      <c r="M327" s="197">
        <v>85</v>
      </c>
      <c r="N327" s="198">
        <v>15</v>
      </c>
      <c r="O327" s="213">
        <v>0</v>
      </c>
      <c r="P327" s="350">
        <v>0</v>
      </c>
      <c r="R327" s="275">
        <v>0</v>
      </c>
      <c r="S327" s="276">
        <v>0</v>
      </c>
      <c r="T327" s="277">
        <v>7.8879999999999999</v>
      </c>
      <c r="U327" s="276">
        <v>4.1900000000000004</v>
      </c>
      <c r="V327" s="277">
        <v>6.3410000000000002</v>
      </c>
      <c r="W327" s="276">
        <v>1.954</v>
      </c>
      <c r="X327" s="277">
        <v>0</v>
      </c>
      <c r="Y327" s="278">
        <f t="shared" si="20"/>
        <v>20.373000000000001</v>
      </c>
      <c r="Z327" s="282"/>
      <c r="AA327" s="280">
        <v>0</v>
      </c>
      <c r="AB327" s="281">
        <v>0</v>
      </c>
      <c r="AC327" s="280">
        <v>11.628</v>
      </c>
      <c r="AD327" s="294">
        <v>0</v>
      </c>
      <c r="AE327" s="281">
        <v>1.4870000000000001</v>
      </c>
      <c r="AF327" s="288">
        <v>7.2649999999999997</v>
      </c>
      <c r="AG327" s="303">
        <v>0</v>
      </c>
      <c r="AH327" s="356">
        <v>0</v>
      </c>
      <c r="AI327" s="301">
        <f t="shared" si="21"/>
        <v>-4.5999999999999375E-2</v>
      </c>
      <c r="AJ327" s="187"/>
      <c r="AK327" s="437" t="s">
        <v>50</v>
      </c>
      <c r="AL327" s="427"/>
      <c r="AM327" s="428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</row>
    <row r="328" spans="1:248" ht="45" customHeight="1" thickBot="1" x14ac:dyDescent="0.25">
      <c r="A328" s="444">
        <v>24322</v>
      </c>
      <c r="B328" s="445" t="s">
        <v>51</v>
      </c>
      <c r="C328" s="515" t="s">
        <v>366</v>
      </c>
      <c r="D328" s="479"/>
      <c r="E328" s="445">
        <v>102</v>
      </c>
      <c r="F328" s="445" t="s">
        <v>885</v>
      </c>
      <c r="G328" s="600"/>
      <c r="H328" s="522" t="s">
        <v>55</v>
      </c>
      <c r="I328" s="451">
        <f>SUMIF('Wege im Detail'!$A:$A,"24322",'Wege im Detail'!$P:$P)</f>
        <v>11.615</v>
      </c>
      <c r="J328" s="508" t="s">
        <v>886</v>
      </c>
      <c r="L328" s="209">
        <v>8</v>
      </c>
      <c r="M328" s="197">
        <v>95</v>
      </c>
      <c r="N328" s="198">
        <v>5</v>
      </c>
      <c r="O328" s="213">
        <v>0</v>
      </c>
      <c r="P328" s="350">
        <v>0</v>
      </c>
      <c r="R328" s="275">
        <v>0</v>
      </c>
      <c r="S328" s="276">
        <v>1.69</v>
      </c>
      <c r="T328" s="277">
        <v>7.81</v>
      </c>
      <c r="U328" s="276">
        <v>0.69899999999999995</v>
      </c>
      <c r="V328" s="277">
        <v>0.55549999999999999</v>
      </c>
      <c r="W328" s="276">
        <v>0.93200000000000005</v>
      </c>
      <c r="X328" s="277">
        <v>0.40500000000000003</v>
      </c>
      <c r="Y328" s="278">
        <f t="shared" si="20"/>
        <v>12.0915</v>
      </c>
      <c r="Z328" s="282"/>
      <c r="AA328" s="280">
        <v>0.55549999999999999</v>
      </c>
      <c r="AB328" s="281">
        <v>1.61</v>
      </c>
      <c r="AC328" s="280">
        <v>8</v>
      </c>
      <c r="AD328" s="294">
        <v>0</v>
      </c>
      <c r="AE328" s="281">
        <v>0.57499999999999996</v>
      </c>
      <c r="AF328" s="288">
        <v>0.90400000000000003</v>
      </c>
      <c r="AG328" s="303">
        <v>0.55549999999999999</v>
      </c>
      <c r="AH328" s="356">
        <v>0.40500000000000003</v>
      </c>
      <c r="AI328" s="301">
        <f t="shared" si="21"/>
        <v>0.4764999999999997</v>
      </c>
      <c r="AJ328" s="187"/>
      <c r="AK328" s="437" t="s">
        <v>50</v>
      </c>
      <c r="AL328" s="427"/>
      <c r="AM328" s="428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</row>
    <row r="329" spans="1:248" s="168" customFormat="1" ht="45" customHeight="1" thickBot="1" x14ac:dyDescent="0.25">
      <c r="A329" s="444">
        <v>24547</v>
      </c>
      <c r="B329" s="445" t="s">
        <v>84</v>
      </c>
      <c r="C329" s="455" t="s">
        <v>85</v>
      </c>
      <c r="D329" s="479"/>
      <c r="E329" s="445" t="s">
        <v>887</v>
      </c>
      <c r="F329" s="501" t="s">
        <v>888</v>
      </c>
      <c r="G329" s="501"/>
      <c r="H329" s="448" t="s">
        <v>55</v>
      </c>
      <c r="I329" s="451">
        <f>SUMIF('Wege im Detail'!$A:$A,"24547",'Wege im Detail'!$P:$P)</f>
        <v>11.068</v>
      </c>
      <c r="J329" s="508" t="s">
        <v>889</v>
      </c>
      <c r="K329" s="237"/>
      <c r="L329" s="209">
        <v>12</v>
      </c>
      <c r="M329" s="197">
        <v>0</v>
      </c>
      <c r="N329" s="198">
        <v>4</v>
      </c>
      <c r="O329" s="213">
        <v>96</v>
      </c>
      <c r="P329" s="350">
        <v>0</v>
      </c>
      <c r="Q329" s="226"/>
      <c r="R329" s="275">
        <v>0</v>
      </c>
      <c r="S329" s="276">
        <v>0.23599999999999999</v>
      </c>
      <c r="T329" s="277">
        <v>5.2</v>
      </c>
      <c r="U329" s="276">
        <v>3.47</v>
      </c>
      <c r="V329" s="277">
        <v>1.22</v>
      </c>
      <c r="W329" s="276">
        <v>0.28499999999999998</v>
      </c>
      <c r="X329" s="277">
        <v>0.63900000000000001</v>
      </c>
      <c r="Y329" s="278">
        <f t="shared" si="20"/>
        <v>11.05</v>
      </c>
      <c r="Z329" s="282"/>
      <c r="AA329" s="280">
        <v>3.35</v>
      </c>
      <c r="AB329" s="281">
        <v>5.09</v>
      </c>
      <c r="AC329" s="280">
        <v>0.314</v>
      </c>
      <c r="AD329" s="294">
        <v>1.59</v>
      </c>
      <c r="AE329" s="281">
        <v>0.55800000000000005</v>
      </c>
      <c r="AF329" s="288">
        <v>0.152</v>
      </c>
      <c r="AG329" s="303">
        <v>0</v>
      </c>
      <c r="AH329" s="356">
        <v>0</v>
      </c>
      <c r="AI329" s="301">
        <f t="shared" si="21"/>
        <v>-1.7999999999998906E-2</v>
      </c>
      <c r="AJ329" s="187"/>
      <c r="AK329" s="435" t="s">
        <v>50</v>
      </c>
      <c r="AL329" s="427"/>
      <c r="AM329" s="428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</row>
    <row r="330" spans="1:248" ht="45" customHeight="1" thickBot="1" x14ac:dyDescent="0.25">
      <c r="A330" s="517">
        <v>24711</v>
      </c>
      <c r="B330" s="518" t="s">
        <v>84</v>
      </c>
      <c r="C330" s="524" t="s">
        <v>85</v>
      </c>
      <c r="D330" s="518"/>
      <c r="E330" s="445" t="s">
        <v>891</v>
      </c>
      <c r="F330" s="445" t="s">
        <v>142</v>
      </c>
      <c r="G330" s="445"/>
      <c r="H330" s="448" t="s">
        <v>55</v>
      </c>
      <c r="I330" s="451">
        <f>SUMIF('Wege im Detail'!$A:$A,"24711",'Wege im Detail'!$P:$P)</f>
        <v>3.452</v>
      </c>
      <c r="J330" s="514" t="s">
        <v>892</v>
      </c>
      <c r="L330" s="209">
        <v>0</v>
      </c>
      <c r="M330" s="197">
        <v>100</v>
      </c>
      <c r="N330" s="198">
        <v>0</v>
      </c>
      <c r="O330" s="213">
        <v>0</v>
      </c>
      <c r="P330" s="350">
        <v>0</v>
      </c>
      <c r="R330" s="262">
        <v>0</v>
      </c>
      <c r="S330" s="111">
        <v>0</v>
      </c>
      <c r="T330" s="263">
        <v>1.93</v>
      </c>
      <c r="U330" s="111">
        <v>1.5</v>
      </c>
      <c r="V330" s="263">
        <v>0</v>
      </c>
      <c r="W330" s="111">
        <v>0</v>
      </c>
      <c r="X330" s="263">
        <v>0</v>
      </c>
      <c r="Y330" s="264">
        <f t="shared" si="20"/>
        <v>3.4299999999999997</v>
      </c>
      <c r="Z330" s="269"/>
      <c r="AA330" s="266">
        <v>0</v>
      </c>
      <c r="AB330" s="267">
        <v>0</v>
      </c>
      <c r="AC330" s="266">
        <v>3.26</v>
      </c>
      <c r="AD330" s="292">
        <v>0.16400000000000001</v>
      </c>
      <c r="AE330" s="267">
        <v>0</v>
      </c>
      <c r="AF330" s="287">
        <v>0</v>
      </c>
      <c r="AG330" s="302">
        <v>0</v>
      </c>
      <c r="AH330" s="355">
        <v>0</v>
      </c>
      <c r="AI330" s="301">
        <f t="shared" si="21"/>
        <v>-2.2000000000000242E-2</v>
      </c>
      <c r="AJ330" s="187"/>
      <c r="AK330" s="435" t="s">
        <v>50</v>
      </c>
      <c r="AL330" s="427"/>
      <c r="AM330" s="428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</row>
    <row r="331" spans="1:248" ht="45" customHeight="1" thickBot="1" x14ac:dyDescent="0.25">
      <c r="A331" s="517">
        <v>24713</v>
      </c>
      <c r="B331" s="518" t="s">
        <v>84</v>
      </c>
      <c r="C331" s="524" t="s">
        <v>85</v>
      </c>
      <c r="D331" s="518"/>
      <c r="E331" s="445" t="s">
        <v>894</v>
      </c>
      <c r="F331" s="445" t="s">
        <v>172</v>
      </c>
      <c r="G331" s="445"/>
      <c r="H331" s="448" t="s">
        <v>55</v>
      </c>
      <c r="I331" s="451">
        <f>SUMIF('Wege im Detail'!$A:$A,"24713",'Wege im Detail'!$P:$P)</f>
        <v>15.282999999999999</v>
      </c>
      <c r="J331" s="514" t="s">
        <v>895</v>
      </c>
      <c r="L331" s="209">
        <v>40</v>
      </c>
      <c r="M331" s="197">
        <v>89</v>
      </c>
      <c r="N331" s="198">
        <v>5</v>
      </c>
      <c r="O331" s="213">
        <v>6</v>
      </c>
      <c r="P331" s="350">
        <v>0</v>
      </c>
      <c r="R331" s="262">
        <v>0</v>
      </c>
      <c r="S331" s="111">
        <v>0.78700000000000003</v>
      </c>
      <c r="T331" s="263">
        <v>7.05</v>
      </c>
      <c r="U331" s="111">
        <v>0.73</v>
      </c>
      <c r="V331" s="263">
        <v>2.99</v>
      </c>
      <c r="W331" s="111">
        <v>2.46</v>
      </c>
      <c r="X331" s="263">
        <v>1.42</v>
      </c>
      <c r="Y331" s="268">
        <f t="shared" si="20"/>
        <v>15.436999999999999</v>
      </c>
      <c r="Z331" s="265"/>
      <c r="AA331" s="266">
        <v>1.56</v>
      </c>
      <c r="AB331" s="267">
        <v>2.94</v>
      </c>
      <c r="AC331" s="266">
        <v>4.5199999999999996</v>
      </c>
      <c r="AD331" s="292">
        <v>1.23</v>
      </c>
      <c r="AE331" s="267">
        <v>2.0499999999999998</v>
      </c>
      <c r="AF331" s="287">
        <v>1.87</v>
      </c>
      <c r="AG331" s="302">
        <v>0.55549999999999999</v>
      </c>
      <c r="AH331" s="355">
        <v>1.26</v>
      </c>
      <c r="AI331" s="301">
        <f t="shared" si="21"/>
        <v>0.15399999999999991</v>
      </c>
      <c r="AK331" s="437" t="s">
        <v>50</v>
      </c>
    </row>
    <row r="332" spans="1:248" ht="45" customHeight="1" thickBot="1" x14ac:dyDescent="0.25">
      <c r="A332" s="444">
        <v>24714</v>
      </c>
      <c r="B332" s="445" t="s">
        <v>84</v>
      </c>
      <c r="C332" s="524" t="s">
        <v>85</v>
      </c>
      <c r="D332" s="445"/>
      <c r="E332" s="445" t="s">
        <v>897</v>
      </c>
      <c r="F332" s="445" t="s">
        <v>147</v>
      </c>
      <c r="G332" s="445"/>
      <c r="H332" s="448" t="s">
        <v>55</v>
      </c>
      <c r="I332" s="451">
        <f>SUMIF('Wege im Detail'!$A:$A,"24714",'Wege im Detail'!$P:$P)</f>
        <v>4.8120000000000003</v>
      </c>
      <c r="J332" s="508" t="s">
        <v>898</v>
      </c>
      <c r="L332" s="209">
        <v>9</v>
      </c>
      <c r="M332" s="197">
        <v>91</v>
      </c>
      <c r="N332" s="198">
        <v>0</v>
      </c>
      <c r="O332" s="213">
        <v>9</v>
      </c>
      <c r="P332" s="350">
        <v>0</v>
      </c>
      <c r="R332" s="262">
        <v>0</v>
      </c>
      <c r="S332" s="111">
        <v>0</v>
      </c>
      <c r="T332" s="263">
        <v>4.38</v>
      </c>
      <c r="U332" s="111">
        <v>0</v>
      </c>
      <c r="V332" s="263">
        <v>0</v>
      </c>
      <c r="W332" s="111">
        <v>0.42799999999999999</v>
      </c>
      <c r="X332" s="263">
        <v>0</v>
      </c>
      <c r="Y332" s="264">
        <f t="shared" si="20"/>
        <v>4.8079999999999998</v>
      </c>
      <c r="Z332" s="265"/>
      <c r="AA332" s="266">
        <v>0</v>
      </c>
      <c r="AB332" s="267">
        <v>2.12</v>
      </c>
      <c r="AC332" s="266">
        <v>1.54</v>
      </c>
      <c r="AD332" s="292">
        <v>0.71899999999999997</v>
      </c>
      <c r="AE332" s="267">
        <v>0</v>
      </c>
      <c r="AF332" s="287">
        <v>0.42799999999999999</v>
      </c>
      <c r="AG332" s="302">
        <v>0</v>
      </c>
      <c r="AH332" s="355">
        <v>0</v>
      </c>
      <c r="AI332" s="301">
        <f t="shared" si="21"/>
        <v>-4.0000000000004476E-3</v>
      </c>
      <c r="AK332" s="435" t="s">
        <v>50</v>
      </c>
    </row>
    <row r="333" spans="1:248" ht="45" customHeight="1" thickBot="1" x14ac:dyDescent="0.25">
      <c r="A333" s="444">
        <v>24844</v>
      </c>
      <c r="B333" s="445" t="s">
        <v>84</v>
      </c>
      <c r="C333" s="455" t="s">
        <v>85</v>
      </c>
      <c r="D333" s="479"/>
      <c r="E333" s="445" t="s">
        <v>899</v>
      </c>
      <c r="F333" s="499" t="s">
        <v>142</v>
      </c>
      <c r="G333" s="501"/>
      <c r="H333" s="448" t="s">
        <v>55</v>
      </c>
      <c r="I333" s="451">
        <f>SUMIF('Wege im Detail'!$A:$A,"24844",'Wege im Detail'!$P:$P)</f>
        <v>9.5530000000000008</v>
      </c>
      <c r="J333" s="508" t="s">
        <v>900</v>
      </c>
      <c r="L333" s="209">
        <v>35</v>
      </c>
      <c r="M333" s="197">
        <v>81</v>
      </c>
      <c r="N333" s="198">
        <v>19</v>
      </c>
      <c r="O333" s="213">
        <v>1</v>
      </c>
      <c r="P333" s="350">
        <v>0</v>
      </c>
      <c r="R333" s="275">
        <v>0</v>
      </c>
      <c r="S333" s="276">
        <v>1.39</v>
      </c>
      <c r="T333" s="277">
        <v>0.62</v>
      </c>
      <c r="U333" s="276">
        <v>3.08</v>
      </c>
      <c r="V333" s="277">
        <v>2.48</v>
      </c>
      <c r="W333" s="276">
        <v>1.73</v>
      </c>
      <c r="X333" s="277">
        <v>0.25700000000000001</v>
      </c>
      <c r="Y333" s="278">
        <f t="shared" si="20"/>
        <v>9.5570000000000004</v>
      </c>
      <c r="Z333" s="282"/>
      <c r="AA333" s="280">
        <v>0</v>
      </c>
      <c r="AB333" s="281">
        <v>0</v>
      </c>
      <c r="AC333" s="280">
        <v>6.15</v>
      </c>
      <c r="AD333" s="294">
        <v>0</v>
      </c>
      <c r="AE333" s="281">
        <v>0.70799999999999996</v>
      </c>
      <c r="AF333" s="288">
        <v>2.4500000000000002</v>
      </c>
      <c r="AG333" s="303">
        <v>0</v>
      </c>
      <c r="AH333" s="356">
        <v>0.25700000000000001</v>
      </c>
      <c r="AI333" s="301">
        <f t="shared" si="21"/>
        <v>3.9999999999995595E-3</v>
      </c>
      <c r="AJ333" s="187"/>
      <c r="AK333" s="435" t="s">
        <v>50</v>
      </c>
      <c r="AL333" s="427"/>
      <c r="AM333" s="428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</row>
    <row r="334" spans="1:248" ht="45" customHeight="1" thickBot="1" x14ac:dyDescent="0.25">
      <c r="A334" s="444">
        <v>24845</v>
      </c>
      <c r="B334" s="445" t="s">
        <v>84</v>
      </c>
      <c r="C334" s="455" t="s">
        <v>85</v>
      </c>
      <c r="D334" s="479"/>
      <c r="E334" s="445" t="s">
        <v>901</v>
      </c>
      <c r="F334" s="499" t="s">
        <v>147</v>
      </c>
      <c r="G334" s="501"/>
      <c r="H334" s="448" t="s">
        <v>55</v>
      </c>
      <c r="I334" s="451">
        <f>SUMIF('Wege im Detail'!$A:$A,"24845",'Wege im Detail'!$P:$P)</f>
        <v>3.0139999999999998</v>
      </c>
      <c r="J334" s="508" t="s">
        <v>902</v>
      </c>
      <c r="L334" s="209">
        <v>79</v>
      </c>
      <c r="M334" s="197">
        <v>71</v>
      </c>
      <c r="N334" s="198">
        <v>29</v>
      </c>
      <c r="O334" s="213">
        <v>0</v>
      </c>
      <c r="P334" s="350">
        <v>0</v>
      </c>
      <c r="R334" s="275">
        <v>0</v>
      </c>
      <c r="S334" s="276">
        <v>0</v>
      </c>
      <c r="T334" s="277">
        <v>0</v>
      </c>
      <c r="U334" s="276">
        <v>0.24299999999999999</v>
      </c>
      <c r="V334" s="277">
        <v>1.07</v>
      </c>
      <c r="W334" s="276">
        <v>1.73</v>
      </c>
      <c r="X334" s="277">
        <v>0</v>
      </c>
      <c r="Y334" s="278">
        <f t="shared" si="20"/>
        <v>3.0430000000000001</v>
      </c>
      <c r="Z334" s="282"/>
      <c r="AA334" s="280">
        <v>0</v>
      </c>
      <c r="AB334" s="281">
        <v>0</v>
      </c>
      <c r="AC334" s="280">
        <v>0.64200000000000002</v>
      </c>
      <c r="AD334" s="294">
        <v>0</v>
      </c>
      <c r="AE334" s="281">
        <v>0.52300000000000002</v>
      </c>
      <c r="AF334" s="288">
        <v>1.87</v>
      </c>
      <c r="AG334" s="303">
        <v>0</v>
      </c>
      <c r="AH334" s="356">
        <v>0</v>
      </c>
      <c r="AI334" s="301">
        <f t="shared" si="21"/>
        <v>2.9000000000000359E-2</v>
      </c>
      <c r="AJ334" s="187"/>
      <c r="AK334" s="435" t="s">
        <v>50</v>
      </c>
      <c r="AL334" s="427"/>
      <c r="AM334" s="428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</row>
    <row r="335" spans="1:248" ht="45" customHeight="1" thickBot="1" x14ac:dyDescent="0.25">
      <c r="A335" s="444">
        <v>24846</v>
      </c>
      <c r="B335" s="445" t="s">
        <v>84</v>
      </c>
      <c r="C335" s="455" t="s">
        <v>85</v>
      </c>
      <c r="D335" s="479"/>
      <c r="E335" s="445" t="s">
        <v>903</v>
      </c>
      <c r="F335" s="499" t="s">
        <v>133</v>
      </c>
      <c r="G335" s="501"/>
      <c r="H335" s="448" t="s">
        <v>55</v>
      </c>
      <c r="I335" s="451">
        <f>SUMIF('Wege im Detail'!$A:$A,"24846",'Wege im Detail'!$P:$P)</f>
        <v>6.5110000000000001</v>
      </c>
      <c r="J335" s="508" t="s">
        <v>904</v>
      </c>
      <c r="L335" s="209">
        <v>70</v>
      </c>
      <c r="M335" s="197">
        <v>64</v>
      </c>
      <c r="N335" s="198">
        <v>36</v>
      </c>
      <c r="O335" s="213">
        <v>0</v>
      </c>
      <c r="P335" s="350">
        <v>0</v>
      </c>
      <c r="R335" s="275">
        <v>0</v>
      </c>
      <c r="S335" s="276">
        <v>0</v>
      </c>
      <c r="T335" s="277">
        <v>1.04</v>
      </c>
      <c r="U335" s="276">
        <v>0.83</v>
      </c>
      <c r="V335" s="277">
        <v>3.81</v>
      </c>
      <c r="W335" s="276">
        <v>0.82799999999999996</v>
      </c>
      <c r="X335" s="277">
        <v>0</v>
      </c>
      <c r="Y335" s="278">
        <f t="shared" si="20"/>
        <v>6.508</v>
      </c>
      <c r="Z335" s="282"/>
      <c r="AA335" s="280">
        <v>0</v>
      </c>
      <c r="AB335" s="281">
        <v>0</v>
      </c>
      <c r="AC335" s="280">
        <v>2.48</v>
      </c>
      <c r="AD335" s="294">
        <v>0</v>
      </c>
      <c r="AE335" s="281">
        <v>0</v>
      </c>
      <c r="AF335" s="288">
        <v>4.0199999999999996</v>
      </c>
      <c r="AG335" s="303">
        <v>0</v>
      </c>
      <c r="AH335" s="356">
        <v>0</v>
      </c>
      <c r="AI335" s="301">
        <f t="shared" si="21"/>
        <v>-3.0000000000001137E-3</v>
      </c>
      <c r="AJ335" s="187"/>
      <c r="AK335" s="435" t="s">
        <v>50</v>
      </c>
      <c r="AL335" s="427"/>
      <c r="AM335" s="428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</row>
    <row r="336" spans="1:248" ht="45" customHeight="1" thickBot="1" x14ac:dyDescent="0.25">
      <c r="A336" s="444">
        <v>25194</v>
      </c>
      <c r="B336" s="445" t="s">
        <v>84</v>
      </c>
      <c r="C336" s="445" t="s">
        <v>85</v>
      </c>
      <c r="D336" s="479"/>
      <c r="E336" s="445" t="s">
        <v>905</v>
      </c>
      <c r="F336" s="499" t="s">
        <v>906</v>
      </c>
      <c r="G336" s="501"/>
      <c r="H336" s="448" t="s">
        <v>55</v>
      </c>
      <c r="I336" s="451">
        <f>SUMIF('Wege im Detail'!$A:$A,"025194",'Wege im Detail'!$P:$P)</f>
        <v>4.4610000000000003</v>
      </c>
      <c r="J336" s="508" t="s">
        <v>907</v>
      </c>
      <c r="L336" s="209">
        <v>11</v>
      </c>
      <c r="M336" s="197">
        <v>97</v>
      </c>
      <c r="N336" s="198">
        <v>3</v>
      </c>
      <c r="O336" s="213">
        <v>0</v>
      </c>
      <c r="P336" s="350">
        <v>0</v>
      </c>
      <c r="R336" s="275">
        <v>0</v>
      </c>
      <c r="S336" s="276">
        <v>0</v>
      </c>
      <c r="T336" s="277">
        <v>3.91</v>
      </c>
      <c r="U336" s="276">
        <v>0</v>
      </c>
      <c r="V336" s="277">
        <v>0.45500000000000002</v>
      </c>
      <c r="W336" s="276">
        <v>0</v>
      </c>
      <c r="X336" s="277">
        <v>0</v>
      </c>
      <c r="Y336" s="278">
        <f t="shared" si="20"/>
        <v>4.3650000000000002</v>
      </c>
      <c r="Z336" s="282"/>
      <c r="AA336" s="280">
        <v>0</v>
      </c>
      <c r="AB336" s="281">
        <v>0</v>
      </c>
      <c r="AC336" s="280">
        <v>3.91</v>
      </c>
      <c r="AD336" s="294">
        <v>0</v>
      </c>
      <c r="AE336" s="281">
        <v>0.42899999999999999</v>
      </c>
      <c r="AF336" s="288">
        <v>0.55549999999999999</v>
      </c>
      <c r="AG336" s="303">
        <v>0</v>
      </c>
      <c r="AH336" s="356">
        <v>0</v>
      </c>
      <c r="AI336" s="301">
        <f t="shared" si="21"/>
        <v>-9.6000000000000085E-2</v>
      </c>
      <c r="AJ336" s="187"/>
      <c r="AK336" s="435" t="s">
        <v>50</v>
      </c>
      <c r="AL336" s="427"/>
      <c r="AM336" s="428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</row>
    <row r="337" spans="1:248" ht="45" customHeight="1" thickBot="1" x14ac:dyDescent="0.25">
      <c r="A337" s="444">
        <v>25195</v>
      </c>
      <c r="B337" s="445" t="s">
        <v>84</v>
      </c>
      <c r="C337" s="445" t="s">
        <v>85</v>
      </c>
      <c r="D337" s="479"/>
      <c r="E337" s="445" t="s">
        <v>908</v>
      </c>
      <c r="F337" s="499" t="s">
        <v>909</v>
      </c>
      <c r="G337" s="501"/>
      <c r="H337" s="448" t="s">
        <v>55</v>
      </c>
      <c r="I337" s="451">
        <f>SUMIF('Wege im Detail'!$A:$A,"025195",'Wege im Detail'!$P:$P)</f>
        <v>5.4539999999999997</v>
      </c>
      <c r="J337" s="508" t="s">
        <v>910</v>
      </c>
      <c r="L337" s="209">
        <v>27</v>
      </c>
      <c r="M337" s="197">
        <v>98</v>
      </c>
      <c r="N337" s="198">
        <v>2</v>
      </c>
      <c r="O337" s="213">
        <v>0</v>
      </c>
      <c r="P337" s="350">
        <v>0</v>
      </c>
      <c r="R337" s="275">
        <v>0</v>
      </c>
      <c r="S337" s="276">
        <v>0</v>
      </c>
      <c r="T337" s="277">
        <v>4.0620000000000003</v>
      </c>
      <c r="U337" s="276">
        <v>0</v>
      </c>
      <c r="V337" s="277">
        <v>0.185</v>
      </c>
      <c r="W337" s="276">
        <v>1.24</v>
      </c>
      <c r="X337" s="277">
        <v>0</v>
      </c>
      <c r="Y337" s="278">
        <f t="shared" si="20"/>
        <v>5.4870000000000001</v>
      </c>
      <c r="Z337" s="282"/>
      <c r="AA337" s="280">
        <v>0</v>
      </c>
      <c r="AB337" s="281">
        <v>0.55549999999999999</v>
      </c>
      <c r="AC337" s="280">
        <v>5.2720000000000002</v>
      </c>
      <c r="AD337" s="294">
        <v>0</v>
      </c>
      <c r="AE337" s="281">
        <v>0.55549999999999999</v>
      </c>
      <c r="AF337" s="288">
        <v>0</v>
      </c>
      <c r="AG337" s="303">
        <v>0</v>
      </c>
      <c r="AH337" s="356">
        <v>0</v>
      </c>
      <c r="AI337" s="301">
        <f t="shared" si="21"/>
        <v>3.3000000000000362E-2</v>
      </c>
      <c r="AJ337" s="187"/>
      <c r="AK337" s="435" t="s">
        <v>50</v>
      </c>
      <c r="AL337" s="427"/>
      <c r="AM337" s="428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</row>
    <row r="338" spans="1:248" ht="45" customHeight="1" thickBot="1" x14ac:dyDescent="0.25">
      <c r="A338" s="444">
        <v>25196</v>
      </c>
      <c r="B338" s="445" t="s">
        <v>84</v>
      </c>
      <c r="C338" s="445" t="s">
        <v>85</v>
      </c>
      <c r="D338" s="479"/>
      <c r="E338" s="445" t="s">
        <v>911</v>
      </c>
      <c r="F338" s="499" t="s">
        <v>912</v>
      </c>
      <c r="G338" s="501"/>
      <c r="H338" s="448" t="s">
        <v>55</v>
      </c>
      <c r="I338" s="451">
        <f>SUMIF('Wege im Detail'!$A:$A,"025196",'Wege im Detail'!$P:$P)</f>
        <v>3.17</v>
      </c>
      <c r="J338" s="508" t="s">
        <v>913</v>
      </c>
      <c r="L338" s="209">
        <v>56</v>
      </c>
      <c r="M338" s="197">
        <v>99</v>
      </c>
      <c r="N338" s="198">
        <v>1</v>
      </c>
      <c r="O338" s="213">
        <v>0</v>
      </c>
      <c r="P338" s="350">
        <v>0</v>
      </c>
      <c r="R338" s="275">
        <v>0</v>
      </c>
      <c r="S338" s="276">
        <v>0</v>
      </c>
      <c r="T338" s="277">
        <v>0.57899999999999996</v>
      </c>
      <c r="U338" s="276">
        <v>0</v>
      </c>
      <c r="V338" s="277">
        <v>0.28399999999999997</v>
      </c>
      <c r="W338" s="276">
        <v>1.41</v>
      </c>
      <c r="X338" s="277">
        <v>0.92</v>
      </c>
      <c r="Y338" s="278">
        <f t="shared" si="20"/>
        <v>3.1929999999999996</v>
      </c>
      <c r="Z338" s="282"/>
      <c r="AA338" s="280">
        <v>0</v>
      </c>
      <c r="AB338" s="281">
        <v>0</v>
      </c>
      <c r="AC338" s="280">
        <v>0.57899999999999996</v>
      </c>
      <c r="AD338" s="294">
        <v>1.42</v>
      </c>
      <c r="AE338" s="281">
        <v>0.27300000000000002</v>
      </c>
      <c r="AF338" s="288">
        <v>0</v>
      </c>
      <c r="AG338" s="303">
        <v>0</v>
      </c>
      <c r="AH338" s="356">
        <v>0.92</v>
      </c>
      <c r="AI338" s="301">
        <f t="shared" si="21"/>
        <v>2.2999999999999687E-2</v>
      </c>
      <c r="AJ338" s="187"/>
      <c r="AK338" s="435"/>
      <c r="AL338" s="427"/>
      <c r="AM338" s="428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</row>
    <row r="339" spans="1:248" ht="45" customHeight="1" thickBot="1" x14ac:dyDescent="0.25">
      <c r="A339" s="444">
        <v>25197</v>
      </c>
      <c r="B339" s="445" t="s">
        <v>84</v>
      </c>
      <c r="C339" s="445" t="s">
        <v>85</v>
      </c>
      <c r="D339" s="479"/>
      <c r="E339" s="445" t="s">
        <v>914</v>
      </c>
      <c r="F339" s="499" t="s">
        <v>915</v>
      </c>
      <c r="G339" s="501"/>
      <c r="H339" s="448" t="s">
        <v>55</v>
      </c>
      <c r="I339" s="451">
        <f>SUMIF('Wege im Detail'!$A:$A,"025197",'Wege im Detail'!$P:$P)</f>
        <v>2.5190000000000001</v>
      </c>
      <c r="J339" s="508" t="s">
        <v>916</v>
      </c>
      <c r="L339" s="209">
        <v>89</v>
      </c>
      <c r="M339" s="197">
        <v>89</v>
      </c>
      <c r="N339" s="198">
        <v>11</v>
      </c>
      <c r="O339" s="213">
        <v>0</v>
      </c>
      <c r="P339" s="350">
        <v>0</v>
      </c>
      <c r="R339" s="275">
        <v>0</v>
      </c>
      <c r="S339" s="276">
        <v>0.247</v>
      </c>
      <c r="T339" s="277">
        <v>0</v>
      </c>
      <c r="U339" s="276">
        <v>0</v>
      </c>
      <c r="V339" s="277">
        <v>1.45</v>
      </c>
      <c r="W339" s="276">
        <v>0.77900000000000003</v>
      </c>
      <c r="X339" s="277">
        <v>0</v>
      </c>
      <c r="Y339" s="278">
        <f t="shared" si="20"/>
        <v>2.476</v>
      </c>
      <c r="Z339" s="282"/>
      <c r="AA339" s="280">
        <v>0</v>
      </c>
      <c r="AB339" s="281">
        <v>0</v>
      </c>
      <c r="AC339" s="280">
        <v>1.48</v>
      </c>
      <c r="AD339" s="294">
        <v>0.34</v>
      </c>
      <c r="AE339" s="281">
        <v>0.39300000000000002</v>
      </c>
      <c r="AF339" s="288">
        <v>0.27200000000000002</v>
      </c>
      <c r="AG339" s="303">
        <v>0</v>
      </c>
      <c r="AH339" s="356">
        <v>0</v>
      </c>
      <c r="AI339" s="301">
        <f t="shared" si="21"/>
        <v>-4.3000000000000149E-2</v>
      </c>
      <c r="AJ339" s="187"/>
      <c r="AK339" s="435" t="s">
        <v>50</v>
      </c>
      <c r="AL339" s="427"/>
      <c r="AM339" s="428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</row>
    <row r="340" spans="1:248" ht="45" customHeight="1" thickBot="1" x14ac:dyDescent="0.25">
      <c r="A340" s="444">
        <v>25353</v>
      </c>
      <c r="B340" s="445" t="s">
        <v>84</v>
      </c>
      <c r="C340" s="455" t="s">
        <v>85</v>
      </c>
      <c r="D340" s="479"/>
      <c r="E340" s="445" t="s">
        <v>917</v>
      </c>
      <c r="F340" s="499" t="s">
        <v>147</v>
      </c>
      <c r="G340" s="501"/>
      <c r="H340" s="448" t="s">
        <v>1719</v>
      </c>
      <c r="I340" s="451">
        <f>SUMIF('Wege im Detail'!$A:$A,"025353",'Wege im Detail'!$P:$P)</f>
        <v>9.8800000000000008</v>
      </c>
      <c r="J340" s="508" t="s">
        <v>918</v>
      </c>
      <c r="L340" s="209">
        <v>25</v>
      </c>
      <c r="M340" s="197">
        <v>99</v>
      </c>
      <c r="N340" s="198">
        <v>1</v>
      </c>
      <c r="O340" s="213">
        <v>0</v>
      </c>
      <c r="P340" s="350">
        <v>0</v>
      </c>
      <c r="R340" s="275">
        <v>0</v>
      </c>
      <c r="S340" s="276">
        <v>0</v>
      </c>
      <c r="T340" s="277">
        <v>5.51</v>
      </c>
      <c r="U340" s="276">
        <v>2.68</v>
      </c>
      <c r="V340" s="277">
        <v>1.26</v>
      </c>
      <c r="W340" s="276">
        <v>0.40100000000000002</v>
      </c>
      <c r="X340" s="277">
        <v>0</v>
      </c>
      <c r="Y340" s="278">
        <f t="shared" si="20"/>
        <v>9.8509999999999991</v>
      </c>
      <c r="Z340" s="282"/>
      <c r="AA340" s="280">
        <v>0</v>
      </c>
      <c r="AB340" s="281">
        <v>0.55549999999999999</v>
      </c>
      <c r="AC340" s="280">
        <v>7.97</v>
      </c>
      <c r="AD340" s="294">
        <v>0.46800000000000003</v>
      </c>
      <c r="AE340" s="281">
        <v>0.503</v>
      </c>
      <c r="AF340" s="288">
        <v>0.86399999999999999</v>
      </c>
      <c r="AG340" s="303">
        <v>0</v>
      </c>
      <c r="AH340" s="356">
        <v>0</v>
      </c>
      <c r="AI340" s="301">
        <f t="shared" si="21"/>
        <v>-2.9000000000001691E-2</v>
      </c>
      <c r="AJ340" s="187"/>
      <c r="AK340" s="435" t="s">
        <v>50</v>
      </c>
      <c r="AL340" s="427"/>
      <c r="AM340" s="428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</row>
    <row r="341" spans="1:248" ht="45" customHeight="1" thickBot="1" x14ac:dyDescent="0.25">
      <c r="A341" s="444">
        <v>25354</v>
      </c>
      <c r="B341" s="445" t="s">
        <v>84</v>
      </c>
      <c r="C341" s="455" t="s">
        <v>85</v>
      </c>
      <c r="D341" s="479"/>
      <c r="E341" s="445" t="s">
        <v>919</v>
      </c>
      <c r="F341" s="499" t="s">
        <v>138</v>
      </c>
      <c r="G341" s="501"/>
      <c r="H341" s="448" t="s">
        <v>1719</v>
      </c>
      <c r="I341" s="451">
        <f>SUMIF('Wege im Detail'!$A:$A,"025354",'Wege im Detail'!$P:$P)</f>
        <v>8.6440000000000001</v>
      </c>
      <c r="J341" s="508" t="s">
        <v>918</v>
      </c>
      <c r="L341" s="209">
        <v>41</v>
      </c>
      <c r="M341" s="197">
        <v>96</v>
      </c>
      <c r="N341" s="198">
        <v>0</v>
      </c>
      <c r="O341" s="213">
        <v>4</v>
      </c>
      <c r="P341" s="350">
        <v>0</v>
      </c>
      <c r="R341" s="275">
        <v>0</v>
      </c>
      <c r="S341" s="276">
        <v>0</v>
      </c>
      <c r="T341" s="277">
        <v>3.51</v>
      </c>
      <c r="U341" s="276">
        <v>2.0299999999999998</v>
      </c>
      <c r="V341" s="277">
        <v>0.45</v>
      </c>
      <c r="W341" s="276">
        <v>2.14</v>
      </c>
      <c r="X341" s="277">
        <v>0.64200000000000002</v>
      </c>
      <c r="Y341" s="278">
        <f t="shared" si="20"/>
        <v>8.7719999999999985</v>
      </c>
      <c r="Z341" s="282"/>
      <c r="AA341" s="280">
        <v>0</v>
      </c>
      <c r="AB341" s="281">
        <v>1.69</v>
      </c>
      <c r="AC341" s="280">
        <v>4.33</v>
      </c>
      <c r="AD341" s="294">
        <v>1.45</v>
      </c>
      <c r="AE341" s="281">
        <v>1.67</v>
      </c>
      <c r="AF341" s="288">
        <v>0.30399999999999999</v>
      </c>
      <c r="AG341" s="303">
        <v>0</v>
      </c>
      <c r="AH341" s="356">
        <v>0</v>
      </c>
      <c r="AI341" s="301">
        <f t="shared" si="21"/>
        <v>0.12799999999999834</v>
      </c>
      <c r="AJ341" s="187"/>
      <c r="AK341" s="435" t="s">
        <v>50</v>
      </c>
      <c r="AL341" s="427"/>
      <c r="AM341" s="428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</row>
    <row r="342" spans="1:248" ht="45" customHeight="1" thickBot="1" x14ac:dyDescent="0.25">
      <c r="A342" s="444">
        <v>25355</v>
      </c>
      <c r="B342" s="445" t="s">
        <v>84</v>
      </c>
      <c r="C342" s="455" t="s">
        <v>85</v>
      </c>
      <c r="D342" s="479"/>
      <c r="E342" s="445" t="s">
        <v>920</v>
      </c>
      <c r="F342" s="499" t="s">
        <v>133</v>
      </c>
      <c r="G342" s="501"/>
      <c r="H342" s="448" t="s">
        <v>1719</v>
      </c>
      <c r="I342" s="451">
        <f>SUMIF('Wege im Detail'!$A:$A,"025355",'Wege im Detail'!$P:$P)</f>
        <v>9.0090000000000003</v>
      </c>
      <c r="J342" s="508" t="s">
        <v>918</v>
      </c>
      <c r="L342" s="209">
        <v>21</v>
      </c>
      <c r="M342" s="197">
        <v>98</v>
      </c>
      <c r="N342" s="198">
        <v>0</v>
      </c>
      <c r="O342" s="213">
        <v>2</v>
      </c>
      <c r="P342" s="350">
        <v>0</v>
      </c>
      <c r="R342" s="275">
        <v>0</v>
      </c>
      <c r="S342" s="276">
        <v>3.67</v>
      </c>
      <c r="T342" s="277">
        <v>0.61499999999999999</v>
      </c>
      <c r="U342" s="276">
        <v>2.79</v>
      </c>
      <c r="V342" s="277">
        <v>0.52</v>
      </c>
      <c r="W342" s="276">
        <v>1.03</v>
      </c>
      <c r="X342" s="277">
        <v>0.34499999999999997</v>
      </c>
      <c r="Y342" s="278">
        <f t="shared" si="20"/>
        <v>8.9700000000000006</v>
      </c>
      <c r="Z342" s="282"/>
      <c r="AA342" s="280">
        <v>1.34</v>
      </c>
      <c r="AB342" s="281">
        <v>1.06</v>
      </c>
      <c r="AC342" s="280">
        <v>5.42</v>
      </c>
      <c r="AD342" s="294">
        <v>0.57099999999999995</v>
      </c>
      <c r="AE342" s="281">
        <v>0.38900000000000001</v>
      </c>
      <c r="AF342" s="288">
        <v>0.19400000000000001</v>
      </c>
      <c r="AG342" s="303">
        <v>0</v>
      </c>
      <c r="AH342" s="356">
        <v>0</v>
      </c>
      <c r="AI342" s="301">
        <f t="shared" si="21"/>
        <v>-3.8999999999999702E-2</v>
      </c>
      <c r="AJ342" s="187"/>
      <c r="AK342" s="435" t="s">
        <v>50</v>
      </c>
      <c r="AL342" s="427"/>
      <c r="AM342" s="428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</row>
    <row r="343" spans="1:248" ht="45" customHeight="1" thickBot="1" x14ac:dyDescent="0.25">
      <c r="A343" s="444">
        <v>25356</v>
      </c>
      <c r="B343" s="445" t="s">
        <v>84</v>
      </c>
      <c r="C343" s="455" t="s">
        <v>85</v>
      </c>
      <c r="D343" s="479"/>
      <c r="E343" s="445" t="s">
        <v>921</v>
      </c>
      <c r="F343" s="499" t="s">
        <v>142</v>
      </c>
      <c r="G343" s="501"/>
      <c r="H343" s="448" t="s">
        <v>1719</v>
      </c>
      <c r="I343" s="451">
        <f>SUMIF('Wege im Detail'!$A:$A,"025356",'Wege im Detail'!$P:$P)</f>
        <v>9.08</v>
      </c>
      <c r="J343" s="508" t="s">
        <v>922</v>
      </c>
      <c r="L343" s="209">
        <v>23</v>
      </c>
      <c r="M343" s="197">
        <v>100</v>
      </c>
      <c r="N343" s="198">
        <v>0</v>
      </c>
      <c r="O343" s="213">
        <v>0</v>
      </c>
      <c r="P343" s="350">
        <v>0</v>
      </c>
      <c r="R343" s="275">
        <v>0</v>
      </c>
      <c r="S343" s="276">
        <v>1.95</v>
      </c>
      <c r="T343" s="277">
        <v>4.88</v>
      </c>
      <c r="U343" s="276">
        <v>0.23899999999999999</v>
      </c>
      <c r="V343" s="277">
        <v>1.64</v>
      </c>
      <c r="W343" s="276">
        <v>0.41799999999999998</v>
      </c>
      <c r="X343" s="277">
        <v>0</v>
      </c>
      <c r="Y343" s="278">
        <f t="shared" si="20"/>
        <v>9.1269999999999989</v>
      </c>
      <c r="Z343" s="282"/>
      <c r="AA343" s="280">
        <v>0.55200000000000005</v>
      </c>
      <c r="AB343" s="281">
        <v>1.29</v>
      </c>
      <c r="AC343" s="280">
        <v>5.03</v>
      </c>
      <c r="AD343" s="294">
        <v>0.60399999999999998</v>
      </c>
      <c r="AE343" s="281">
        <v>0</v>
      </c>
      <c r="AF343" s="288">
        <v>1.64</v>
      </c>
      <c r="AG343" s="303">
        <v>0</v>
      </c>
      <c r="AH343" s="356">
        <v>0</v>
      </c>
      <c r="AI343" s="301">
        <f t="shared" si="21"/>
        <v>4.699999999999882E-2</v>
      </c>
      <c r="AJ343" s="187"/>
      <c r="AK343" s="435" t="s">
        <v>50</v>
      </c>
      <c r="AL343" s="427"/>
      <c r="AM343" s="428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</row>
    <row r="344" spans="1:248" ht="45" customHeight="1" thickBot="1" x14ac:dyDescent="0.25">
      <c r="A344" s="444">
        <v>25732</v>
      </c>
      <c r="B344" s="445" t="s">
        <v>84</v>
      </c>
      <c r="C344" s="445" t="s">
        <v>85</v>
      </c>
      <c r="E344" s="445" t="s">
        <v>923</v>
      </c>
      <c r="F344" s="41" t="s">
        <v>172</v>
      </c>
      <c r="H344" s="83" t="s">
        <v>55</v>
      </c>
      <c r="I344" s="451">
        <f>SUMIF('Wege im Detail'!$A:$A,"025732",'Wege im Detail'!$P:$P)</f>
        <v>7.5250000000000004</v>
      </c>
      <c r="J344" s="508" t="s">
        <v>924</v>
      </c>
      <c r="L344" s="209">
        <v>44</v>
      </c>
      <c r="M344" s="197">
        <v>90</v>
      </c>
      <c r="N344" s="198">
        <v>10</v>
      </c>
      <c r="O344" s="213">
        <v>1</v>
      </c>
      <c r="P344" s="350">
        <v>0</v>
      </c>
      <c r="R344" s="275">
        <v>0</v>
      </c>
      <c r="S344" s="276">
        <v>0.65800000000000003</v>
      </c>
      <c r="T344" s="277">
        <v>1.88</v>
      </c>
      <c r="U344" s="276">
        <v>1.41</v>
      </c>
      <c r="V344" s="277">
        <v>1.63</v>
      </c>
      <c r="W344" s="276">
        <v>1.76</v>
      </c>
      <c r="X344" s="277">
        <v>0.22500000000000001</v>
      </c>
      <c r="Y344" s="278">
        <f t="shared" si="20"/>
        <v>7.5629999999999988</v>
      </c>
      <c r="Z344" s="282"/>
      <c r="AA344" s="280">
        <v>0</v>
      </c>
      <c r="AB344" s="281">
        <v>0.69799999999999995</v>
      </c>
      <c r="AC344" s="280">
        <v>3.26</v>
      </c>
      <c r="AD344" s="294">
        <v>0.214</v>
      </c>
      <c r="AE344" s="281">
        <v>0.55549999999999999</v>
      </c>
      <c r="AF344" s="288">
        <v>3.39</v>
      </c>
      <c r="AG344" s="303">
        <v>0</v>
      </c>
      <c r="AH344" s="356">
        <v>0</v>
      </c>
      <c r="AI344" s="301">
        <f t="shared" si="21"/>
        <v>3.7999999999998479E-2</v>
      </c>
      <c r="AJ344" s="187"/>
      <c r="AK344" s="435" t="s">
        <v>50</v>
      </c>
      <c r="AL344" s="427"/>
      <c r="AM344" s="428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</row>
    <row r="345" spans="1:248" ht="45" customHeight="1" thickBot="1" x14ac:dyDescent="0.25">
      <c r="A345" s="444">
        <v>25912</v>
      </c>
      <c r="B345" s="445" t="s">
        <v>84</v>
      </c>
      <c r="C345" s="445" t="s">
        <v>85</v>
      </c>
      <c r="D345" s="479"/>
      <c r="E345" s="445" t="s">
        <v>925</v>
      </c>
      <c r="F345" s="445" t="s">
        <v>926</v>
      </c>
      <c r="G345" s="448" t="s">
        <v>286</v>
      </c>
      <c r="H345" s="448" t="s">
        <v>55</v>
      </c>
      <c r="I345" s="451">
        <f>SUMIF('Wege im Detail'!$A:$A,"025912",'Wege im Detail'!$P:$P)</f>
        <v>10.5</v>
      </c>
      <c r="J345" s="508" t="s">
        <v>927</v>
      </c>
      <c r="L345" s="256">
        <v>7</v>
      </c>
      <c r="M345" s="195">
        <v>97</v>
      </c>
      <c r="N345" s="196">
        <v>0</v>
      </c>
      <c r="O345" s="212">
        <v>3</v>
      </c>
      <c r="P345" s="350">
        <v>0</v>
      </c>
      <c r="R345" s="668">
        <v>0</v>
      </c>
      <c r="S345" s="669">
        <v>3.1</v>
      </c>
      <c r="T345" s="670">
        <v>4.76</v>
      </c>
      <c r="U345" s="669">
        <v>1.69</v>
      </c>
      <c r="V345" s="670">
        <v>0.17799999999999999</v>
      </c>
      <c r="W345" s="669">
        <v>0.60699999999999998</v>
      </c>
      <c r="X345" s="670">
        <v>0.26400000000000001</v>
      </c>
      <c r="Y345" s="671">
        <f t="shared" si="20"/>
        <v>10.598999999999998</v>
      </c>
      <c r="Z345" s="282"/>
      <c r="AA345" s="672">
        <v>0.157</v>
      </c>
      <c r="AB345" s="673">
        <v>4.0999999999999996</v>
      </c>
      <c r="AC345" s="672">
        <v>3.04</v>
      </c>
      <c r="AD345" s="674">
        <v>0.32200000000000001</v>
      </c>
      <c r="AE345" s="673">
        <v>0.93200000000000005</v>
      </c>
      <c r="AF345" s="675">
        <v>0</v>
      </c>
      <c r="AG345" s="676">
        <v>0</v>
      </c>
      <c r="AH345" s="677">
        <v>0.26400000000000001</v>
      </c>
      <c r="AI345" s="678">
        <f t="shared" si="21"/>
        <v>9.8999999999998423E-2</v>
      </c>
      <c r="AJ345" s="187"/>
      <c r="AK345" s="435" t="s">
        <v>50</v>
      </c>
      <c r="AL345" s="427"/>
      <c r="AM345" s="428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</row>
    <row r="346" spans="1:248" ht="45" customHeight="1" thickBot="1" x14ac:dyDescent="0.25">
      <c r="A346" s="444">
        <v>26469</v>
      </c>
      <c r="B346" s="445" t="s">
        <v>84</v>
      </c>
      <c r="C346" s="445" t="s">
        <v>85</v>
      </c>
      <c r="D346" s="479"/>
      <c r="E346" s="445" t="s">
        <v>928</v>
      </c>
      <c r="F346" s="445" t="s">
        <v>929</v>
      </c>
      <c r="G346" s="448" t="s">
        <v>2282</v>
      </c>
      <c r="H346" s="448" t="s">
        <v>55</v>
      </c>
      <c r="I346" s="451">
        <f>SUMIF('Wege im Detail'!$A:$A,"026469",'Wege im Detail'!$P:$P)</f>
        <v>10.51</v>
      </c>
      <c r="J346" s="508" t="s">
        <v>930</v>
      </c>
      <c r="L346" s="256">
        <v>8</v>
      </c>
      <c r="M346" s="195">
        <v>100</v>
      </c>
      <c r="N346" s="196">
        <v>0</v>
      </c>
      <c r="O346" s="212">
        <v>0</v>
      </c>
      <c r="P346" s="350">
        <v>0</v>
      </c>
      <c r="R346" s="277">
        <v>0</v>
      </c>
      <c r="S346" s="276">
        <v>3.01</v>
      </c>
      <c r="T346" s="277">
        <v>5.01</v>
      </c>
      <c r="U346" s="276">
        <v>1.63</v>
      </c>
      <c r="V346" s="277">
        <v>0</v>
      </c>
      <c r="W346" s="276">
        <v>0.77</v>
      </c>
      <c r="X346" s="277">
        <v>0</v>
      </c>
      <c r="Y346" s="681">
        <f t="shared" si="20"/>
        <v>10.419999999999998</v>
      </c>
      <c r="Z346" s="682"/>
      <c r="AA346" s="280">
        <v>0</v>
      </c>
      <c r="AB346" s="281">
        <v>2.12</v>
      </c>
      <c r="AC346" s="280">
        <v>7.46</v>
      </c>
      <c r="AD346" s="294">
        <v>0</v>
      </c>
      <c r="AE346" s="281">
        <v>0.99</v>
      </c>
      <c r="AF346" s="280">
        <v>0.77</v>
      </c>
      <c r="AG346" s="303">
        <v>0</v>
      </c>
      <c r="AH346" s="356">
        <v>0</v>
      </c>
      <c r="AI346" s="683">
        <f t="shared" si="21"/>
        <v>-9.0000000000001634E-2</v>
      </c>
      <c r="AJ346" s="187"/>
      <c r="AK346" s="435"/>
      <c r="AL346" s="427"/>
      <c r="AM346" s="428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</row>
    <row r="347" spans="1:248" s="707" customFormat="1" ht="45" customHeight="1" x14ac:dyDescent="0.2">
      <c r="A347" s="444">
        <v>26708</v>
      </c>
      <c r="B347" s="445" t="s">
        <v>84</v>
      </c>
      <c r="C347" s="445" t="s">
        <v>85</v>
      </c>
      <c r="D347" s="479"/>
      <c r="E347" s="445" t="s">
        <v>932</v>
      </c>
      <c r="F347" s="445" t="s">
        <v>933</v>
      </c>
      <c r="G347" s="448"/>
      <c r="H347" s="448" t="s">
        <v>55</v>
      </c>
      <c r="I347" s="451">
        <f>SUMIF('Wege im Detail'!$A:$A,"26708",'Wege im Detail'!$P:$P)</f>
        <v>14.7</v>
      </c>
      <c r="J347" s="508" t="s">
        <v>2267</v>
      </c>
      <c r="K347" s="699"/>
      <c r="L347" s="612"/>
      <c r="M347" s="613"/>
      <c r="N347" s="613"/>
      <c r="O347" s="614"/>
      <c r="P347" s="700"/>
      <c r="Q347" s="616"/>
      <c r="R347" s="701"/>
      <c r="S347" s="701"/>
      <c r="T347" s="701"/>
      <c r="U347" s="701"/>
      <c r="V347" s="701"/>
      <c r="W347" s="701"/>
      <c r="X347" s="701"/>
      <c r="Y347" s="701"/>
      <c r="Z347" s="702"/>
      <c r="AA347" s="701"/>
      <c r="AB347" s="701"/>
      <c r="AC347" s="701"/>
      <c r="AD347" s="701"/>
      <c r="AE347" s="701"/>
      <c r="AF347" s="701"/>
      <c r="AG347" s="701"/>
      <c r="AH347" s="701"/>
      <c r="AI347" s="703"/>
      <c r="AJ347" s="704"/>
      <c r="AK347" s="705"/>
      <c r="AL347" s="427"/>
      <c r="AM347" s="427"/>
      <c r="AN347" s="706"/>
      <c r="AO347" s="706"/>
      <c r="AP347" s="706"/>
      <c r="AQ347" s="706"/>
      <c r="AR347" s="706"/>
      <c r="AS347" s="706"/>
      <c r="AT347" s="706"/>
      <c r="AU347" s="706"/>
      <c r="AV347" s="706"/>
      <c r="AW347" s="706"/>
      <c r="AX347" s="706"/>
      <c r="AY347" s="706"/>
      <c r="AZ347" s="706"/>
      <c r="BA347" s="706"/>
      <c r="BB347" s="706"/>
      <c r="BC347" s="706"/>
      <c r="BD347" s="706"/>
      <c r="BE347" s="706"/>
      <c r="BF347" s="706"/>
      <c r="BG347" s="706"/>
      <c r="BH347" s="706"/>
      <c r="BI347" s="706"/>
      <c r="BJ347" s="706"/>
      <c r="BK347" s="706"/>
      <c r="BL347" s="706"/>
      <c r="BM347" s="706"/>
      <c r="BN347" s="706"/>
      <c r="BO347" s="706"/>
      <c r="BP347" s="706"/>
      <c r="BQ347" s="706"/>
      <c r="BR347" s="706"/>
      <c r="BS347" s="706"/>
      <c r="BT347" s="706"/>
      <c r="BU347" s="706"/>
      <c r="BV347" s="706"/>
      <c r="BW347" s="706"/>
      <c r="BX347" s="706"/>
      <c r="BY347" s="706"/>
      <c r="BZ347" s="706"/>
      <c r="CA347" s="706"/>
      <c r="CB347" s="706"/>
      <c r="CC347" s="706"/>
      <c r="CD347" s="706"/>
      <c r="CE347" s="706"/>
      <c r="CF347" s="706"/>
      <c r="CG347" s="706"/>
      <c r="CH347" s="706"/>
      <c r="CI347" s="706"/>
      <c r="CJ347" s="706"/>
      <c r="CK347" s="706"/>
      <c r="CL347" s="706"/>
      <c r="CM347" s="706"/>
      <c r="CN347" s="706"/>
      <c r="CO347" s="706"/>
      <c r="CP347" s="706"/>
      <c r="CQ347" s="706"/>
      <c r="CR347" s="706"/>
      <c r="CS347" s="706"/>
      <c r="CT347" s="706"/>
      <c r="CU347" s="706"/>
      <c r="CV347" s="706"/>
      <c r="CW347" s="706"/>
      <c r="CX347" s="706"/>
      <c r="CY347" s="706"/>
      <c r="CZ347" s="706"/>
      <c r="DA347" s="706"/>
      <c r="DB347" s="706"/>
      <c r="DC347" s="706"/>
      <c r="DD347" s="706"/>
      <c r="DE347" s="706"/>
      <c r="DF347" s="706"/>
      <c r="DG347" s="706"/>
      <c r="DH347" s="706"/>
      <c r="DI347" s="706"/>
      <c r="DJ347" s="706"/>
      <c r="DK347" s="706"/>
      <c r="DL347" s="706"/>
      <c r="DM347" s="706"/>
      <c r="DN347" s="706"/>
      <c r="DO347" s="706"/>
      <c r="DP347" s="706"/>
      <c r="DQ347" s="706"/>
      <c r="DR347" s="706"/>
      <c r="DS347" s="706"/>
      <c r="DT347" s="706"/>
      <c r="DU347" s="706"/>
      <c r="DV347" s="706"/>
      <c r="DW347" s="706"/>
      <c r="DX347" s="706"/>
      <c r="DY347" s="706"/>
      <c r="DZ347" s="706"/>
      <c r="EA347" s="706"/>
      <c r="EB347" s="706"/>
      <c r="EC347" s="706"/>
      <c r="ED347" s="706"/>
      <c r="EE347" s="706"/>
      <c r="EF347" s="706"/>
      <c r="EG347" s="706"/>
      <c r="EH347" s="706"/>
      <c r="EI347" s="706"/>
      <c r="EJ347" s="706"/>
      <c r="EK347" s="706"/>
      <c r="EL347" s="706"/>
      <c r="EM347" s="706"/>
      <c r="EN347" s="706"/>
      <c r="EO347" s="706"/>
      <c r="EP347" s="706"/>
      <c r="EQ347" s="706"/>
      <c r="ER347" s="706"/>
      <c r="ES347" s="706"/>
      <c r="ET347" s="706"/>
      <c r="EU347" s="706"/>
      <c r="EV347" s="706"/>
      <c r="EW347" s="706"/>
      <c r="EX347" s="706"/>
      <c r="EY347" s="706"/>
      <c r="EZ347" s="706"/>
      <c r="FA347" s="706"/>
      <c r="FB347" s="706"/>
      <c r="FC347" s="706"/>
      <c r="FD347" s="706"/>
      <c r="FE347" s="706"/>
      <c r="FF347" s="706"/>
      <c r="FG347" s="706"/>
      <c r="FH347" s="706"/>
      <c r="FI347" s="706"/>
      <c r="FJ347" s="706"/>
      <c r="FK347" s="706"/>
      <c r="FL347" s="706"/>
      <c r="FM347" s="706"/>
      <c r="FN347" s="706"/>
      <c r="FO347" s="706"/>
      <c r="FP347" s="706"/>
      <c r="FQ347" s="706"/>
      <c r="FR347" s="706"/>
      <c r="FS347" s="706"/>
      <c r="FT347" s="706"/>
      <c r="FU347" s="706"/>
      <c r="FV347" s="706"/>
      <c r="FW347" s="706"/>
      <c r="FX347" s="706"/>
      <c r="FY347" s="706"/>
      <c r="FZ347" s="706"/>
      <c r="GA347" s="706"/>
      <c r="GB347" s="706"/>
      <c r="GC347" s="706"/>
      <c r="GD347" s="706"/>
      <c r="GE347" s="706"/>
      <c r="GF347" s="706"/>
      <c r="GG347" s="706"/>
      <c r="GH347" s="706"/>
      <c r="GI347" s="706"/>
      <c r="GJ347" s="706"/>
      <c r="GK347" s="706"/>
      <c r="GL347" s="706"/>
      <c r="GM347" s="706"/>
      <c r="GN347" s="706"/>
      <c r="GO347" s="706"/>
      <c r="GP347" s="706"/>
      <c r="GQ347" s="706"/>
      <c r="GR347" s="706"/>
      <c r="GS347" s="706"/>
      <c r="GT347" s="706"/>
      <c r="GU347" s="706"/>
      <c r="GV347" s="706"/>
      <c r="GW347" s="706"/>
      <c r="GX347" s="706"/>
      <c r="GY347" s="706"/>
      <c r="GZ347" s="706"/>
      <c r="HA347" s="706"/>
      <c r="HB347" s="706"/>
      <c r="HC347" s="706"/>
      <c r="HD347" s="706"/>
      <c r="HE347" s="706"/>
      <c r="HF347" s="706"/>
      <c r="HG347" s="706"/>
      <c r="HH347" s="706"/>
      <c r="HI347" s="706"/>
      <c r="HJ347" s="706"/>
      <c r="HK347" s="706"/>
      <c r="HL347" s="706"/>
      <c r="HM347" s="706"/>
      <c r="HN347" s="706"/>
      <c r="HO347" s="706"/>
      <c r="HP347" s="706"/>
      <c r="HQ347" s="706"/>
      <c r="HR347" s="706"/>
      <c r="HS347" s="706"/>
      <c r="HT347" s="706"/>
      <c r="HU347" s="706"/>
      <c r="HV347" s="706"/>
      <c r="HW347" s="706"/>
      <c r="HX347" s="706"/>
      <c r="HY347" s="706"/>
      <c r="HZ347" s="706"/>
      <c r="IA347" s="706"/>
      <c r="IB347" s="706"/>
      <c r="IC347" s="706"/>
      <c r="ID347" s="706"/>
      <c r="IE347" s="706"/>
      <c r="IF347" s="706"/>
      <c r="IG347" s="706"/>
      <c r="IH347" s="706"/>
      <c r="II347" s="706"/>
      <c r="IJ347" s="706"/>
      <c r="IK347" s="706"/>
      <c r="IL347" s="706"/>
      <c r="IM347" s="706"/>
      <c r="IN347" s="706"/>
    </row>
    <row r="348" spans="1:248" s="707" customFormat="1" ht="45" customHeight="1" x14ac:dyDescent="0.2">
      <c r="A348" s="438" t="s">
        <v>2291</v>
      </c>
      <c r="B348" s="445" t="s">
        <v>84</v>
      </c>
      <c r="C348" s="445" t="s">
        <v>85</v>
      </c>
      <c r="D348" s="479"/>
      <c r="E348" s="445" t="s">
        <v>2294</v>
      </c>
      <c r="F348" s="445" t="s">
        <v>2293</v>
      </c>
      <c r="G348" s="448"/>
      <c r="H348" s="448" t="s">
        <v>55</v>
      </c>
      <c r="I348" s="451">
        <f>SUMIF('Wege im Detail'!$A:$A,"N-2023_Hupferweg",'Wege im Detail'!$P:$P)</f>
        <v>15.62</v>
      </c>
      <c r="J348" s="508" t="s">
        <v>2295</v>
      </c>
      <c r="K348" s="699"/>
      <c r="L348" s="612"/>
      <c r="M348" s="613"/>
      <c r="N348" s="613"/>
      <c r="O348" s="614"/>
      <c r="P348" s="700"/>
      <c r="Q348" s="616"/>
      <c r="R348" s="701"/>
      <c r="S348" s="701"/>
      <c r="T348" s="701"/>
      <c r="U348" s="701"/>
      <c r="V348" s="701"/>
      <c r="W348" s="701"/>
      <c r="X348" s="701"/>
      <c r="Y348" s="701"/>
      <c r="Z348" s="702"/>
      <c r="AA348" s="701"/>
      <c r="AB348" s="701"/>
      <c r="AC348" s="701"/>
      <c r="AD348" s="701"/>
      <c r="AE348" s="701"/>
      <c r="AF348" s="701"/>
      <c r="AG348" s="701"/>
      <c r="AH348" s="701"/>
      <c r="AI348" s="703"/>
      <c r="AJ348" s="704"/>
      <c r="AK348" s="705"/>
      <c r="AL348" s="427"/>
      <c r="AM348" s="427"/>
      <c r="AN348" s="706"/>
      <c r="AO348" s="706"/>
      <c r="AP348" s="706"/>
      <c r="AQ348" s="706"/>
      <c r="AR348" s="706"/>
      <c r="AS348" s="706"/>
      <c r="AT348" s="706"/>
      <c r="AU348" s="706"/>
      <c r="AV348" s="706"/>
      <c r="AW348" s="706"/>
      <c r="AX348" s="706"/>
      <c r="AY348" s="706"/>
      <c r="AZ348" s="706"/>
      <c r="BA348" s="706"/>
      <c r="BB348" s="706"/>
      <c r="BC348" s="706"/>
      <c r="BD348" s="706"/>
      <c r="BE348" s="706"/>
      <c r="BF348" s="706"/>
      <c r="BG348" s="706"/>
      <c r="BH348" s="706"/>
      <c r="BI348" s="706"/>
      <c r="BJ348" s="706"/>
      <c r="BK348" s="706"/>
      <c r="BL348" s="706"/>
      <c r="BM348" s="706"/>
      <c r="BN348" s="706"/>
      <c r="BO348" s="706"/>
      <c r="BP348" s="706"/>
      <c r="BQ348" s="706"/>
      <c r="BR348" s="706"/>
      <c r="BS348" s="706"/>
      <c r="BT348" s="706"/>
      <c r="BU348" s="706"/>
      <c r="BV348" s="706"/>
      <c r="BW348" s="706"/>
      <c r="BX348" s="706"/>
      <c r="BY348" s="706"/>
      <c r="BZ348" s="706"/>
      <c r="CA348" s="706"/>
      <c r="CB348" s="706"/>
      <c r="CC348" s="706"/>
      <c r="CD348" s="706"/>
      <c r="CE348" s="706"/>
      <c r="CF348" s="706"/>
      <c r="CG348" s="706"/>
      <c r="CH348" s="706"/>
      <c r="CI348" s="706"/>
      <c r="CJ348" s="706"/>
      <c r="CK348" s="706"/>
      <c r="CL348" s="706"/>
      <c r="CM348" s="706"/>
      <c r="CN348" s="706"/>
      <c r="CO348" s="706"/>
      <c r="CP348" s="706"/>
      <c r="CQ348" s="706"/>
      <c r="CR348" s="706"/>
      <c r="CS348" s="706"/>
      <c r="CT348" s="706"/>
      <c r="CU348" s="706"/>
      <c r="CV348" s="706"/>
      <c r="CW348" s="706"/>
      <c r="CX348" s="706"/>
      <c r="CY348" s="706"/>
      <c r="CZ348" s="706"/>
      <c r="DA348" s="706"/>
      <c r="DB348" s="706"/>
      <c r="DC348" s="706"/>
      <c r="DD348" s="706"/>
      <c r="DE348" s="706"/>
      <c r="DF348" s="706"/>
      <c r="DG348" s="706"/>
      <c r="DH348" s="706"/>
      <c r="DI348" s="706"/>
      <c r="DJ348" s="706"/>
      <c r="DK348" s="706"/>
      <c r="DL348" s="706"/>
      <c r="DM348" s="706"/>
      <c r="DN348" s="706"/>
      <c r="DO348" s="706"/>
      <c r="DP348" s="706"/>
      <c r="DQ348" s="706"/>
      <c r="DR348" s="706"/>
      <c r="DS348" s="706"/>
      <c r="DT348" s="706"/>
      <c r="DU348" s="706"/>
      <c r="DV348" s="706"/>
      <c r="DW348" s="706"/>
      <c r="DX348" s="706"/>
      <c r="DY348" s="706"/>
      <c r="DZ348" s="706"/>
      <c r="EA348" s="706"/>
      <c r="EB348" s="706"/>
      <c r="EC348" s="706"/>
      <c r="ED348" s="706"/>
      <c r="EE348" s="706"/>
      <c r="EF348" s="706"/>
      <c r="EG348" s="706"/>
      <c r="EH348" s="706"/>
      <c r="EI348" s="706"/>
      <c r="EJ348" s="706"/>
      <c r="EK348" s="706"/>
      <c r="EL348" s="706"/>
      <c r="EM348" s="706"/>
      <c r="EN348" s="706"/>
      <c r="EO348" s="706"/>
      <c r="EP348" s="706"/>
      <c r="EQ348" s="706"/>
      <c r="ER348" s="706"/>
      <c r="ES348" s="706"/>
      <c r="ET348" s="706"/>
      <c r="EU348" s="706"/>
      <c r="EV348" s="706"/>
      <c r="EW348" s="706"/>
      <c r="EX348" s="706"/>
      <c r="EY348" s="706"/>
      <c r="EZ348" s="706"/>
      <c r="FA348" s="706"/>
      <c r="FB348" s="706"/>
      <c r="FC348" s="706"/>
      <c r="FD348" s="706"/>
      <c r="FE348" s="706"/>
      <c r="FF348" s="706"/>
      <c r="FG348" s="706"/>
      <c r="FH348" s="706"/>
      <c r="FI348" s="706"/>
      <c r="FJ348" s="706"/>
      <c r="FK348" s="706"/>
      <c r="FL348" s="706"/>
      <c r="FM348" s="706"/>
      <c r="FN348" s="706"/>
      <c r="FO348" s="706"/>
      <c r="FP348" s="706"/>
      <c r="FQ348" s="706"/>
      <c r="FR348" s="706"/>
      <c r="FS348" s="706"/>
      <c r="FT348" s="706"/>
      <c r="FU348" s="706"/>
      <c r="FV348" s="706"/>
      <c r="FW348" s="706"/>
      <c r="FX348" s="706"/>
      <c r="FY348" s="706"/>
      <c r="FZ348" s="706"/>
      <c r="GA348" s="706"/>
      <c r="GB348" s="706"/>
      <c r="GC348" s="706"/>
      <c r="GD348" s="706"/>
      <c r="GE348" s="706"/>
      <c r="GF348" s="706"/>
      <c r="GG348" s="706"/>
      <c r="GH348" s="706"/>
      <c r="GI348" s="706"/>
      <c r="GJ348" s="706"/>
      <c r="GK348" s="706"/>
      <c r="GL348" s="706"/>
      <c r="GM348" s="706"/>
      <c r="GN348" s="706"/>
      <c r="GO348" s="706"/>
      <c r="GP348" s="706"/>
      <c r="GQ348" s="706"/>
      <c r="GR348" s="706"/>
      <c r="GS348" s="706"/>
      <c r="GT348" s="706"/>
      <c r="GU348" s="706"/>
      <c r="GV348" s="706"/>
      <c r="GW348" s="706"/>
      <c r="GX348" s="706"/>
      <c r="GY348" s="706"/>
      <c r="GZ348" s="706"/>
      <c r="HA348" s="706"/>
      <c r="HB348" s="706"/>
      <c r="HC348" s="706"/>
      <c r="HD348" s="706"/>
      <c r="HE348" s="706"/>
      <c r="HF348" s="706"/>
      <c r="HG348" s="706"/>
      <c r="HH348" s="706"/>
      <c r="HI348" s="706"/>
      <c r="HJ348" s="706"/>
      <c r="HK348" s="706"/>
      <c r="HL348" s="706"/>
      <c r="HM348" s="706"/>
      <c r="HN348" s="706"/>
      <c r="HO348" s="706"/>
      <c r="HP348" s="706"/>
      <c r="HQ348" s="706"/>
      <c r="HR348" s="706"/>
      <c r="HS348" s="706"/>
      <c r="HT348" s="706"/>
      <c r="HU348" s="706"/>
      <c r="HV348" s="706"/>
      <c r="HW348" s="706"/>
      <c r="HX348" s="706"/>
      <c r="HY348" s="706"/>
      <c r="HZ348" s="706"/>
      <c r="IA348" s="706"/>
      <c r="IB348" s="706"/>
      <c r="IC348" s="706"/>
      <c r="ID348" s="706"/>
      <c r="IE348" s="706"/>
      <c r="IF348" s="706"/>
      <c r="IG348" s="706"/>
      <c r="IH348" s="706"/>
      <c r="II348" s="706"/>
      <c r="IJ348" s="706"/>
      <c r="IK348" s="706"/>
      <c r="IL348" s="706"/>
      <c r="IM348" s="706"/>
      <c r="IN348" s="706"/>
    </row>
    <row r="349" spans="1:248" ht="45" customHeight="1" x14ac:dyDescent="0.2">
      <c r="F349" s="740" t="s">
        <v>2279</v>
      </c>
      <c r="G349" s="748"/>
      <c r="H349" s="749"/>
      <c r="I349" s="276">
        <f>SUM(I2:I346)</f>
        <v>3884.5381000000002</v>
      </c>
      <c r="L349" s="608">
        <f>SUM(L3:L346)/343</f>
        <v>28.300734438494818</v>
      </c>
      <c r="M349" s="608">
        <f>SUM(M3:M346)/343</f>
        <v>88.827988338192426</v>
      </c>
      <c r="N349" s="608">
        <f>SUM(N3:N346)/343</f>
        <v>4.8221574344023326</v>
      </c>
      <c r="O349" s="608">
        <f>SUM(O3:O346)/343</f>
        <v>2.1428571428571428</v>
      </c>
      <c r="P349" s="608">
        <f>SUM(P3:P346)/343</f>
        <v>5.5393586005830907E-2</v>
      </c>
      <c r="Q349" s="609"/>
      <c r="R349" s="611">
        <f t="shared" ref="R349:X349" si="22">SUM(R3:R346)</f>
        <v>11.136499999999998</v>
      </c>
      <c r="S349" s="611">
        <f t="shared" si="22"/>
        <v>327.6840000000002</v>
      </c>
      <c r="T349" s="611">
        <f t="shared" si="22"/>
        <v>1925.2759999999996</v>
      </c>
      <c r="U349" s="611">
        <f t="shared" si="22"/>
        <v>385.57399999999978</v>
      </c>
      <c r="V349" s="611">
        <f t="shared" si="22"/>
        <v>757.30900000000065</v>
      </c>
      <c r="W349" s="611">
        <f t="shared" si="22"/>
        <v>357.15650000000005</v>
      </c>
      <c r="X349" s="611">
        <f t="shared" si="22"/>
        <v>118.86639999999994</v>
      </c>
      <c r="Y349" s="679">
        <f>SUM(R346:X349)</f>
        <v>3893.4223999999999</v>
      </c>
      <c r="Z349" s="282"/>
      <c r="AA349" s="611">
        <f t="shared" ref="AA349:AH349" si="23">SUM(AA3:AA346)</f>
        <v>312.34649999999982</v>
      </c>
      <c r="AB349" s="611">
        <f t="shared" si="23"/>
        <v>861.11150000000066</v>
      </c>
      <c r="AC349" s="611">
        <f t="shared" si="23"/>
        <v>1282.6475</v>
      </c>
      <c r="AD349" s="611">
        <f t="shared" si="23"/>
        <v>410.57099999999997</v>
      </c>
      <c r="AE349" s="611">
        <f t="shared" si="23"/>
        <v>361.53840000000025</v>
      </c>
      <c r="AF349" s="611">
        <f t="shared" si="23"/>
        <v>463.71299999999997</v>
      </c>
      <c r="AG349" s="611">
        <f t="shared" si="23"/>
        <v>6.913000000000002</v>
      </c>
      <c r="AH349" s="611">
        <f t="shared" si="23"/>
        <v>16.282499999999999</v>
      </c>
      <c r="AI349" s="680"/>
      <c r="AJ349" s="187"/>
      <c r="AL349" s="427"/>
      <c r="AM349" s="428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</row>
    <row r="350" spans="1:248" ht="45" customHeight="1" thickBot="1" x14ac:dyDescent="0.25">
      <c r="A350" s="438"/>
      <c r="B350" s="526" t="s">
        <v>934</v>
      </c>
      <c r="F350" s="734" t="s">
        <v>2280</v>
      </c>
      <c r="G350" s="735"/>
      <c r="H350" s="736"/>
      <c r="I350" s="715">
        <f>SUMIF(Wegeübersicht!$H:$H,"JA",Wegeübersicht!$I:$I)</f>
        <v>3836.0160999999998</v>
      </c>
      <c r="L350" s="608" t="s">
        <v>935</v>
      </c>
      <c r="M350" s="608" t="s">
        <v>935</v>
      </c>
      <c r="N350" s="608" t="s">
        <v>935</v>
      </c>
      <c r="O350" s="608" t="s">
        <v>935</v>
      </c>
      <c r="P350" s="608" t="s">
        <v>935</v>
      </c>
      <c r="Q350" s="609"/>
      <c r="R350" s="610" t="s">
        <v>936</v>
      </c>
      <c r="S350" s="610" t="s">
        <v>936</v>
      </c>
      <c r="T350" s="610" t="s">
        <v>936</v>
      </c>
      <c r="U350" s="610" t="s">
        <v>936</v>
      </c>
      <c r="V350" s="610" t="s">
        <v>936</v>
      </c>
      <c r="W350" s="610" t="s">
        <v>936</v>
      </c>
      <c r="X350" s="610" t="s">
        <v>936</v>
      </c>
      <c r="Y350" s="610" t="s">
        <v>936</v>
      </c>
      <c r="Z350" s="282"/>
      <c r="AA350" s="610" t="s">
        <v>936</v>
      </c>
      <c r="AB350" s="610" t="s">
        <v>936</v>
      </c>
      <c r="AC350" s="610" t="s">
        <v>936</v>
      </c>
      <c r="AD350" s="610" t="s">
        <v>936</v>
      </c>
      <c r="AE350" s="610" t="s">
        <v>936</v>
      </c>
      <c r="AF350" s="610" t="s">
        <v>936</v>
      </c>
      <c r="AG350" s="610" t="s">
        <v>936</v>
      </c>
      <c r="AH350" s="610" t="s">
        <v>936</v>
      </c>
      <c r="AI350" s="301"/>
      <c r="AJ350" s="187"/>
      <c r="AL350" s="427"/>
      <c r="AM350" s="428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</row>
    <row r="351" spans="1:248" ht="45" customHeight="1" thickBot="1" x14ac:dyDescent="0.25">
      <c r="A351" s="184"/>
      <c r="B351" s="541" t="s">
        <v>937</v>
      </c>
      <c r="L351" s="612"/>
      <c r="M351" s="613"/>
      <c r="N351" s="613"/>
      <c r="O351" s="614"/>
      <c r="P351" s="615"/>
      <c r="Q351" s="616"/>
      <c r="R351" s="617"/>
      <c r="S351" s="618"/>
      <c r="T351" s="618"/>
      <c r="U351" s="618"/>
      <c r="V351" s="618"/>
      <c r="W351" s="618"/>
      <c r="X351" s="618"/>
      <c r="Y351" s="619"/>
      <c r="Z351" s="620"/>
      <c r="AA351" s="621"/>
      <c r="AB351" s="621"/>
      <c r="AC351" s="621"/>
      <c r="AD351" s="621"/>
      <c r="AE351" s="621"/>
      <c r="AF351" s="622"/>
      <c r="AG351" s="621"/>
      <c r="AH351" s="621"/>
      <c r="AI351" s="623"/>
      <c r="AJ351" s="187"/>
      <c r="AL351" s="427"/>
      <c r="AM351" s="428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</row>
    <row r="352" spans="1:248" ht="84" customHeight="1" thickBot="1" x14ac:dyDescent="0.25">
      <c r="A352" s="441"/>
      <c r="B352" s="541" t="s">
        <v>938</v>
      </c>
      <c r="L352" s="612"/>
      <c r="M352" s="613"/>
      <c r="N352" s="613"/>
      <c r="O352" s="614"/>
      <c r="P352" s="615"/>
      <c r="Q352" s="616"/>
      <c r="R352" s="617"/>
      <c r="S352" s="618"/>
      <c r="T352" s="618"/>
      <c r="U352" s="618"/>
      <c r="V352" s="618"/>
      <c r="W352" s="618"/>
      <c r="X352" s="618"/>
      <c r="Y352" s="619"/>
      <c r="Z352" s="620"/>
      <c r="AA352" s="621"/>
      <c r="AB352" s="621"/>
      <c r="AC352" s="621"/>
      <c r="AD352" s="621"/>
      <c r="AE352" s="621"/>
      <c r="AF352" s="622"/>
      <c r="AG352" s="621"/>
      <c r="AH352" s="621"/>
      <c r="AI352" s="623"/>
      <c r="AJ352" s="187"/>
      <c r="AL352" s="427"/>
      <c r="AM352" s="428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</row>
    <row r="353" spans="12:248" ht="45" customHeight="1" thickBot="1" x14ac:dyDescent="0.25">
      <c r="L353" s="612"/>
      <c r="M353" s="613"/>
      <c r="N353" s="613"/>
      <c r="O353" s="614"/>
      <c r="P353" s="615"/>
      <c r="Q353" s="616"/>
      <c r="R353" s="617"/>
      <c r="S353" s="618"/>
      <c r="T353" s="618"/>
      <c r="U353" s="618"/>
      <c r="V353" s="618"/>
      <c r="W353" s="618"/>
      <c r="X353" s="618"/>
      <c r="Y353" s="619"/>
      <c r="Z353" s="620"/>
      <c r="AA353" s="621"/>
      <c r="AB353" s="621"/>
      <c r="AC353" s="621"/>
      <c r="AD353" s="621"/>
      <c r="AE353" s="621"/>
      <c r="AF353" s="622"/>
      <c r="AG353" s="621"/>
      <c r="AH353" s="621"/>
      <c r="AI353" s="623"/>
      <c r="AJ353" s="187"/>
      <c r="AL353" s="427"/>
      <c r="AM353" s="428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</row>
    <row r="354" spans="12:248" ht="45" customHeight="1" thickBot="1" x14ac:dyDescent="0.25">
      <c r="L354" s="624"/>
      <c r="M354" s="625"/>
      <c r="N354" s="625"/>
      <c r="O354" s="626"/>
      <c r="P354" s="615"/>
      <c r="Q354" s="616"/>
      <c r="R354" s="617"/>
      <c r="S354" s="618"/>
      <c r="T354" s="618"/>
      <c r="U354" s="618"/>
      <c r="V354" s="618"/>
      <c r="W354" s="618"/>
      <c r="X354" s="618"/>
      <c r="Y354" s="619"/>
      <c r="Z354" s="620"/>
      <c r="AA354" s="621"/>
      <c r="AB354" s="621"/>
      <c r="AC354" s="621"/>
      <c r="AD354" s="621"/>
      <c r="AE354" s="621"/>
      <c r="AF354" s="622"/>
      <c r="AG354" s="621"/>
      <c r="AH354" s="621"/>
      <c r="AI354" s="623"/>
      <c r="AJ354" s="187"/>
      <c r="AL354" s="427"/>
      <c r="AM354" s="428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</row>
    <row r="355" spans="12:248" ht="45" customHeight="1" thickBot="1" x14ac:dyDescent="0.3">
      <c r="L355" s="624"/>
      <c r="M355" s="625"/>
      <c r="N355" s="625"/>
      <c r="O355" s="626"/>
      <c r="P355" s="615"/>
      <c r="Q355" s="616"/>
      <c r="R355" s="617"/>
      <c r="S355" s="618"/>
      <c r="T355" s="618"/>
      <c r="U355" s="618"/>
      <c r="V355" s="618"/>
      <c r="W355" s="618"/>
      <c r="X355" s="618"/>
      <c r="Y355" s="619"/>
      <c r="Z355" s="627"/>
      <c r="AA355" s="621"/>
      <c r="AB355" s="621"/>
      <c r="AC355" s="621"/>
      <c r="AD355" s="621"/>
      <c r="AE355" s="621"/>
      <c r="AF355" s="622"/>
      <c r="AG355" s="621"/>
      <c r="AH355" s="621"/>
      <c r="AI355" s="623"/>
    </row>
    <row r="356" spans="12:248" ht="45" customHeight="1" thickBot="1" x14ac:dyDescent="0.3">
      <c r="L356" s="624"/>
      <c r="M356" s="625"/>
      <c r="N356" s="625"/>
      <c r="O356" s="626"/>
      <c r="P356" s="615"/>
      <c r="Q356" s="616"/>
      <c r="R356" s="617"/>
      <c r="S356" s="618"/>
      <c r="T356" s="618"/>
      <c r="U356" s="618"/>
      <c r="V356" s="618"/>
      <c r="W356" s="618"/>
      <c r="X356" s="618"/>
      <c r="Y356" s="619"/>
      <c r="Z356" s="627"/>
      <c r="AA356" s="621"/>
      <c r="AB356" s="621"/>
      <c r="AC356" s="621"/>
      <c r="AD356" s="621"/>
      <c r="AE356" s="621"/>
      <c r="AF356" s="622"/>
      <c r="AG356" s="621"/>
      <c r="AH356" s="621"/>
      <c r="AI356" s="623"/>
    </row>
    <row r="357" spans="12:248" ht="45" customHeight="1" thickBot="1" x14ac:dyDescent="0.3">
      <c r="L357" s="624"/>
      <c r="M357" s="625"/>
      <c r="N357" s="625"/>
      <c r="O357" s="626"/>
      <c r="P357" s="615"/>
      <c r="Q357" s="616"/>
      <c r="R357" s="628"/>
      <c r="S357" s="629"/>
      <c r="T357" s="629"/>
      <c r="U357" s="629"/>
      <c r="V357" s="629"/>
      <c r="W357" s="629"/>
      <c r="X357" s="629"/>
      <c r="Y357" s="619"/>
      <c r="Z357" s="630"/>
      <c r="AA357" s="631"/>
      <c r="AB357" s="631"/>
      <c r="AC357" s="631"/>
      <c r="AD357" s="631"/>
      <c r="AE357" s="631"/>
      <c r="AF357" s="622"/>
      <c r="AG357" s="621"/>
      <c r="AH357" s="621"/>
      <c r="AI357" s="623"/>
    </row>
    <row r="358" spans="12:248" ht="45" customHeight="1" thickBot="1" x14ac:dyDescent="0.25">
      <c r="L358" s="624"/>
      <c r="M358" s="625"/>
      <c r="N358" s="625"/>
      <c r="O358" s="626"/>
      <c r="P358" s="615"/>
      <c r="Q358" s="616"/>
      <c r="R358" s="628"/>
      <c r="S358" s="629"/>
      <c r="T358" s="629"/>
      <c r="U358" s="629"/>
      <c r="V358" s="629"/>
      <c r="W358" s="629"/>
      <c r="X358" s="629"/>
      <c r="Y358" s="619"/>
      <c r="Z358" s="632"/>
      <c r="AA358" s="631"/>
      <c r="AB358" s="631"/>
      <c r="AC358" s="631"/>
      <c r="AD358" s="631"/>
      <c r="AE358" s="631"/>
      <c r="AF358" s="622"/>
      <c r="AG358" s="621"/>
      <c r="AH358" s="621"/>
      <c r="AI358" s="623"/>
      <c r="AJ358" s="187"/>
      <c r="AL358" s="427"/>
      <c r="AM358" s="428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</row>
    <row r="359" spans="12:248" ht="45" customHeight="1" thickBot="1" x14ac:dyDescent="0.3">
      <c r="L359" s="624"/>
      <c r="M359" s="625"/>
      <c r="N359" s="625"/>
      <c r="O359" s="626"/>
      <c r="P359" s="615"/>
      <c r="Q359" s="616"/>
      <c r="R359" s="628"/>
      <c r="S359" s="629"/>
      <c r="T359" s="629"/>
      <c r="U359" s="629"/>
      <c r="V359" s="629"/>
      <c r="W359" s="629"/>
      <c r="X359" s="629"/>
      <c r="Y359" s="619"/>
      <c r="Z359" s="630"/>
      <c r="AA359" s="631"/>
      <c r="AB359" s="631"/>
      <c r="AC359" s="631"/>
      <c r="AD359" s="631"/>
      <c r="AE359" s="631"/>
      <c r="AF359" s="622"/>
      <c r="AG359" s="621"/>
      <c r="AH359" s="621"/>
      <c r="AI359" s="623"/>
    </row>
    <row r="360" spans="12:248" ht="45" customHeight="1" thickBot="1" x14ac:dyDescent="0.3">
      <c r="L360" s="624"/>
      <c r="M360" s="625"/>
      <c r="N360" s="625"/>
      <c r="O360" s="626"/>
      <c r="P360" s="615"/>
      <c r="Q360" s="616"/>
      <c r="R360" s="628"/>
      <c r="S360" s="629"/>
      <c r="T360" s="629"/>
      <c r="U360" s="629"/>
      <c r="V360" s="629"/>
      <c r="W360" s="629"/>
      <c r="X360" s="629"/>
      <c r="Y360" s="619"/>
      <c r="Z360" s="630"/>
      <c r="AA360" s="631"/>
      <c r="AB360" s="631"/>
      <c r="AC360" s="631"/>
      <c r="AD360" s="631"/>
      <c r="AE360" s="631"/>
      <c r="AF360" s="622"/>
      <c r="AG360" s="621"/>
      <c r="AH360" s="621"/>
      <c r="AI360" s="623"/>
    </row>
    <row r="361" spans="12:248" ht="45" customHeight="1" thickBot="1" x14ac:dyDescent="0.3">
      <c r="L361" s="624"/>
      <c r="M361" s="625"/>
      <c r="N361" s="625"/>
      <c r="O361" s="626"/>
      <c r="P361" s="615"/>
      <c r="Q361" s="616"/>
      <c r="R361" s="628"/>
      <c r="S361" s="629"/>
      <c r="T361" s="629"/>
      <c r="U361" s="629"/>
      <c r="V361" s="629"/>
      <c r="W361" s="629"/>
      <c r="X361" s="629"/>
      <c r="Y361" s="619"/>
      <c r="Z361" s="630"/>
      <c r="AA361" s="631"/>
      <c r="AB361" s="631"/>
      <c r="AC361" s="631"/>
      <c r="AD361" s="631"/>
      <c r="AE361" s="631"/>
      <c r="AF361" s="622"/>
      <c r="AG361" s="621"/>
      <c r="AH361" s="621"/>
      <c r="AI361" s="623"/>
    </row>
    <row r="362" spans="12:248" ht="45" customHeight="1" thickBot="1" x14ac:dyDescent="0.3">
      <c r="L362" s="624"/>
      <c r="M362" s="625"/>
      <c r="N362" s="625"/>
      <c r="O362" s="626"/>
      <c r="P362" s="615"/>
      <c r="Q362" s="616"/>
      <c r="R362" s="628"/>
      <c r="S362" s="629"/>
      <c r="T362" s="629"/>
      <c r="U362" s="629"/>
      <c r="V362" s="629"/>
      <c r="W362" s="629"/>
      <c r="X362" s="629"/>
      <c r="Y362" s="619"/>
      <c r="Z362" s="630"/>
      <c r="AA362" s="631"/>
      <c r="AB362" s="631"/>
      <c r="AC362" s="631"/>
      <c r="AD362" s="631"/>
      <c r="AE362" s="631"/>
      <c r="AF362" s="622"/>
      <c r="AG362" s="621"/>
      <c r="AH362" s="621"/>
      <c r="AI362" s="623"/>
    </row>
    <row r="363" spans="12:248" ht="45" customHeight="1" thickBot="1" x14ac:dyDescent="0.3">
      <c r="L363" s="624"/>
      <c r="M363" s="625"/>
      <c r="N363" s="625"/>
      <c r="O363" s="626"/>
      <c r="P363" s="615"/>
      <c r="Q363" s="616"/>
      <c r="R363" s="628"/>
      <c r="S363" s="629"/>
      <c r="T363" s="629"/>
      <c r="U363" s="629"/>
      <c r="V363" s="629"/>
      <c r="W363" s="629"/>
      <c r="X363" s="629"/>
      <c r="Y363" s="619"/>
      <c r="Z363" s="630"/>
      <c r="AA363" s="631"/>
      <c r="AB363" s="631"/>
      <c r="AC363" s="631"/>
      <c r="AD363" s="631"/>
      <c r="AE363" s="631"/>
      <c r="AF363" s="622"/>
      <c r="AG363" s="621"/>
      <c r="AH363" s="621"/>
      <c r="AI363" s="623"/>
    </row>
    <row r="364" spans="12:248" ht="45" customHeight="1" thickBot="1" x14ac:dyDescent="0.3">
      <c r="L364" s="624"/>
      <c r="M364" s="625"/>
      <c r="N364" s="625"/>
      <c r="O364" s="626"/>
      <c r="P364" s="615"/>
      <c r="Q364" s="616"/>
      <c r="R364" s="628"/>
      <c r="S364" s="629"/>
      <c r="T364" s="629"/>
      <c r="U364" s="629"/>
      <c r="V364" s="629"/>
      <c r="W364" s="629"/>
      <c r="X364" s="629"/>
      <c r="Y364" s="619"/>
      <c r="Z364" s="630"/>
      <c r="AA364" s="631"/>
      <c r="AB364" s="631"/>
      <c r="AC364" s="631"/>
      <c r="AD364" s="631"/>
      <c r="AE364" s="631"/>
      <c r="AF364" s="622"/>
      <c r="AG364" s="621"/>
      <c r="AH364" s="621"/>
      <c r="AI364" s="623"/>
    </row>
    <row r="365" spans="12:248" ht="45" customHeight="1" thickBot="1" x14ac:dyDescent="0.3">
      <c r="L365" s="624"/>
      <c r="M365" s="625"/>
      <c r="N365" s="625"/>
      <c r="O365" s="626"/>
      <c r="P365" s="615"/>
      <c r="Q365" s="616"/>
      <c r="R365" s="628"/>
      <c r="S365" s="629"/>
      <c r="T365" s="629"/>
      <c r="U365" s="629"/>
      <c r="V365" s="629"/>
      <c r="W365" s="629"/>
      <c r="X365" s="629"/>
      <c r="Y365" s="619"/>
      <c r="Z365" s="630"/>
      <c r="AA365" s="631"/>
      <c r="AB365" s="631"/>
      <c r="AC365" s="631"/>
      <c r="AD365" s="631"/>
      <c r="AE365" s="631"/>
      <c r="AF365" s="622"/>
      <c r="AG365" s="621"/>
      <c r="AH365" s="621"/>
      <c r="AI365" s="623"/>
    </row>
    <row r="366" spans="12:248" ht="45" customHeight="1" thickBot="1" x14ac:dyDescent="0.3">
      <c r="L366" s="624"/>
      <c r="M366" s="625"/>
      <c r="N366" s="625"/>
      <c r="O366" s="626"/>
      <c r="P366" s="615"/>
      <c r="Q366" s="616"/>
      <c r="R366" s="628"/>
      <c r="S366" s="629"/>
      <c r="T366" s="629"/>
      <c r="U366" s="629"/>
      <c r="V366" s="629"/>
      <c r="W366" s="629"/>
      <c r="X366" s="629"/>
      <c r="Y366" s="619"/>
      <c r="Z366" s="630"/>
      <c r="AA366" s="631"/>
      <c r="AB366" s="631"/>
      <c r="AC366" s="631"/>
      <c r="AD366" s="631"/>
      <c r="AE366" s="631"/>
      <c r="AF366" s="622"/>
      <c r="AG366" s="621"/>
      <c r="AH366" s="621"/>
      <c r="AI366" s="623"/>
    </row>
    <row r="367" spans="12:248" ht="45" customHeight="1" thickBot="1" x14ac:dyDescent="0.3">
      <c r="L367" s="624"/>
      <c r="M367" s="625"/>
      <c r="N367" s="625"/>
      <c r="O367" s="626"/>
      <c r="P367" s="615"/>
      <c r="Q367" s="616"/>
      <c r="R367" s="628"/>
      <c r="S367" s="629"/>
      <c r="T367" s="629"/>
      <c r="U367" s="629"/>
      <c r="V367" s="629"/>
      <c r="W367" s="629"/>
      <c r="X367" s="629"/>
      <c r="Y367" s="619"/>
      <c r="Z367" s="630"/>
      <c r="AA367" s="631"/>
      <c r="AB367" s="631"/>
      <c r="AC367" s="631"/>
      <c r="AD367" s="631"/>
      <c r="AE367" s="631"/>
      <c r="AF367" s="622"/>
      <c r="AG367" s="621"/>
      <c r="AH367" s="621"/>
      <c r="AI367" s="623"/>
    </row>
    <row r="368" spans="12:248" ht="45" customHeight="1" thickBot="1" x14ac:dyDescent="0.3">
      <c r="L368" s="624"/>
      <c r="M368" s="625"/>
      <c r="N368" s="625"/>
      <c r="O368" s="626"/>
      <c r="P368" s="615"/>
      <c r="Q368" s="616"/>
      <c r="R368" s="628"/>
      <c r="S368" s="629"/>
      <c r="T368" s="629"/>
      <c r="U368" s="629"/>
      <c r="V368" s="629"/>
      <c r="W368" s="629"/>
      <c r="X368" s="629"/>
      <c r="Y368" s="619"/>
      <c r="Z368" s="630"/>
      <c r="AA368" s="631"/>
      <c r="AB368" s="631"/>
      <c r="AC368" s="631"/>
      <c r="AD368" s="631"/>
      <c r="AE368" s="631"/>
      <c r="AF368" s="622"/>
      <c r="AG368" s="621"/>
      <c r="AH368" s="621"/>
      <c r="AI368" s="623"/>
    </row>
    <row r="369" spans="1:248" ht="45" customHeight="1" thickBot="1" x14ac:dyDescent="0.3">
      <c r="L369" s="624"/>
      <c r="M369" s="625"/>
      <c r="N369" s="625"/>
      <c r="O369" s="626"/>
      <c r="P369" s="615"/>
      <c r="Q369" s="616"/>
      <c r="R369" s="628"/>
      <c r="S369" s="629"/>
      <c r="T369" s="629"/>
      <c r="U369" s="629"/>
      <c r="V369" s="629"/>
      <c r="W369" s="629"/>
      <c r="X369" s="629"/>
      <c r="Y369" s="619"/>
      <c r="Z369" s="630"/>
      <c r="AA369" s="631"/>
      <c r="AB369" s="631"/>
      <c r="AC369" s="631"/>
      <c r="AD369" s="631"/>
      <c r="AE369" s="631"/>
      <c r="AF369" s="622"/>
      <c r="AG369" s="621"/>
      <c r="AH369" s="621"/>
      <c r="AI369" s="623"/>
    </row>
    <row r="370" spans="1:248" ht="45" customHeight="1" thickBot="1" x14ac:dyDescent="0.3">
      <c r="L370" s="624"/>
      <c r="M370" s="625"/>
      <c r="N370" s="625"/>
      <c r="O370" s="626"/>
      <c r="P370" s="615"/>
      <c r="Q370" s="616"/>
      <c r="R370" s="628"/>
      <c r="S370" s="629"/>
      <c r="T370" s="629"/>
      <c r="U370" s="629"/>
      <c r="V370" s="629"/>
      <c r="W370" s="629"/>
      <c r="X370" s="629"/>
      <c r="Y370" s="619"/>
      <c r="Z370" s="630"/>
      <c r="AA370" s="631"/>
      <c r="AB370" s="631"/>
      <c r="AC370" s="631"/>
      <c r="AD370" s="631"/>
      <c r="AE370" s="631"/>
      <c r="AF370" s="622"/>
      <c r="AG370" s="621"/>
      <c r="AH370" s="621"/>
      <c r="AI370" s="623"/>
    </row>
    <row r="371" spans="1:248" s="35" customFormat="1" ht="45" customHeight="1" thickBot="1" x14ac:dyDescent="0.3">
      <c r="A371" s="188"/>
      <c r="B371" s="41"/>
      <c r="C371" s="57"/>
      <c r="D371" s="57"/>
      <c r="E371" s="41"/>
      <c r="F371" s="83"/>
      <c r="G371" s="83"/>
      <c r="H371" s="83"/>
      <c r="I371" s="111"/>
      <c r="J371" s="108"/>
      <c r="K371" s="237"/>
      <c r="L371" s="624"/>
      <c r="M371" s="625"/>
      <c r="N371" s="625"/>
      <c r="O371" s="626"/>
      <c r="P371" s="615"/>
      <c r="Q371" s="616"/>
      <c r="R371" s="628"/>
      <c r="S371" s="629"/>
      <c r="T371" s="629"/>
      <c r="U371" s="629"/>
      <c r="V371" s="629"/>
      <c r="W371" s="629"/>
      <c r="X371" s="629"/>
      <c r="Y371" s="619"/>
      <c r="Z371" s="630"/>
      <c r="AA371" s="631"/>
      <c r="AB371" s="631"/>
      <c r="AC371" s="631"/>
      <c r="AD371" s="631"/>
      <c r="AE371" s="631"/>
      <c r="AF371" s="622"/>
      <c r="AG371" s="621"/>
      <c r="AH371" s="621"/>
      <c r="AI371" s="623"/>
      <c r="AJ371" s="401"/>
      <c r="AK371" s="437"/>
      <c r="AL371" s="425"/>
      <c r="AM371" s="426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</row>
    <row r="372" spans="1:248" ht="45" customHeight="1" thickBot="1" x14ac:dyDescent="0.3">
      <c r="L372" s="624"/>
      <c r="M372" s="625"/>
      <c r="N372" s="625"/>
      <c r="O372" s="626"/>
      <c r="P372" s="615"/>
      <c r="Q372" s="616"/>
      <c r="R372" s="628"/>
      <c r="S372" s="629"/>
      <c r="T372" s="629"/>
      <c r="U372" s="629"/>
      <c r="V372" s="629"/>
      <c r="W372" s="629"/>
      <c r="X372" s="629"/>
      <c r="Y372" s="619"/>
      <c r="Z372" s="630"/>
      <c r="AA372" s="631"/>
      <c r="AB372" s="631"/>
      <c r="AC372" s="631"/>
      <c r="AD372" s="631"/>
      <c r="AE372" s="631"/>
      <c r="AF372" s="622"/>
      <c r="AG372" s="621"/>
      <c r="AH372" s="621"/>
      <c r="AI372" s="623"/>
    </row>
    <row r="373" spans="1:248" ht="45" customHeight="1" thickBot="1" x14ac:dyDescent="0.25">
      <c r="C373" s="36"/>
      <c r="D373" s="41"/>
      <c r="F373" s="41"/>
      <c r="G373" s="41"/>
      <c r="L373" s="624"/>
      <c r="M373" s="625"/>
      <c r="N373" s="625"/>
      <c r="O373" s="626"/>
      <c r="P373" s="615"/>
      <c r="Q373" s="616"/>
      <c r="R373" s="628"/>
      <c r="S373" s="629"/>
      <c r="T373" s="629"/>
      <c r="U373" s="629"/>
      <c r="V373" s="629"/>
      <c r="W373" s="629"/>
      <c r="X373" s="629"/>
      <c r="Y373" s="619"/>
      <c r="Z373" s="632"/>
      <c r="AA373" s="631"/>
      <c r="AB373" s="631"/>
      <c r="AC373" s="631"/>
      <c r="AD373" s="631"/>
      <c r="AE373" s="631"/>
      <c r="AF373" s="622"/>
      <c r="AG373" s="621"/>
      <c r="AH373" s="621"/>
      <c r="AI373" s="623"/>
      <c r="AJ373" s="187"/>
      <c r="AL373" s="427"/>
      <c r="AM373" s="428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</row>
    <row r="374" spans="1:248" ht="45" customHeight="1" thickBot="1" x14ac:dyDescent="0.25">
      <c r="L374" s="624"/>
      <c r="M374" s="625"/>
      <c r="N374" s="625"/>
      <c r="O374" s="626"/>
      <c r="P374" s="615"/>
      <c r="Q374" s="616"/>
      <c r="R374" s="628"/>
      <c r="S374" s="629"/>
      <c r="T374" s="629"/>
      <c r="U374" s="629"/>
      <c r="V374" s="629"/>
      <c r="W374" s="629"/>
      <c r="X374" s="629"/>
      <c r="Y374" s="619"/>
      <c r="Z374" s="632"/>
      <c r="AA374" s="631"/>
      <c r="AB374" s="631"/>
      <c r="AC374" s="631"/>
      <c r="AD374" s="631"/>
      <c r="AE374" s="631"/>
      <c r="AF374" s="622"/>
      <c r="AG374" s="621"/>
      <c r="AH374" s="621"/>
      <c r="AI374" s="623"/>
      <c r="AJ374" s="187"/>
      <c r="AL374" s="427"/>
      <c r="AM374" s="428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</row>
    <row r="375" spans="1:248" ht="45" customHeight="1" thickBot="1" x14ac:dyDescent="0.25">
      <c r="L375" s="624"/>
      <c r="M375" s="625"/>
      <c r="N375" s="625"/>
      <c r="O375" s="626"/>
      <c r="P375" s="615"/>
      <c r="Q375" s="616"/>
      <c r="R375" s="628"/>
      <c r="S375" s="629"/>
      <c r="T375" s="629"/>
      <c r="U375" s="629"/>
      <c r="V375" s="629"/>
      <c r="W375" s="629"/>
      <c r="X375" s="629"/>
      <c r="Y375" s="619"/>
      <c r="Z375" s="632"/>
      <c r="AA375" s="631"/>
      <c r="AB375" s="631"/>
      <c r="AC375" s="631"/>
      <c r="AD375" s="631"/>
      <c r="AE375" s="631"/>
      <c r="AF375" s="622"/>
      <c r="AG375" s="621"/>
      <c r="AH375" s="621"/>
      <c r="AI375" s="623"/>
      <c r="AJ375" s="187"/>
      <c r="AL375" s="427"/>
      <c r="AM375" s="428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</row>
    <row r="376" spans="1:248" ht="45" customHeight="1" thickBot="1" x14ac:dyDescent="0.25">
      <c r="L376" s="624"/>
      <c r="M376" s="625"/>
      <c r="N376" s="625"/>
      <c r="O376" s="626"/>
      <c r="P376" s="615"/>
      <c r="Q376" s="616"/>
      <c r="R376" s="628"/>
      <c r="S376" s="629"/>
      <c r="T376" s="629"/>
      <c r="U376" s="629"/>
      <c r="V376" s="629"/>
      <c r="W376" s="629"/>
      <c r="X376" s="629"/>
      <c r="Y376" s="619"/>
      <c r="Z376" s="632"/>
      <c r="AA376" s="631"/>
      <c r="AB376" s="631"/>
      <c r="AC376" s="631"/>
      <c r="AD376" s="631"/>
      <c r="AE376" s="631"/>
      <c r="AF376" s="622"/>
      <c r="AG376" s="621"/>
      <c r="AH376" s="621"/>
      <c r="AI376" s="623"/>
      <c r="AJ376" s="187"/>
      <c r="AL376" s="427"/>
      <c r="AM376" s="428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</row>
    <row r="377" spans="1:248" ht="45" customHeight="1" thickBot="1" x14ac:dyDescent="0.3">
      <c r="L377" s="624"/>
      <c r="M377" s="625"/>
      <c r="N377" s="625"/>
      <c r="O377" s="626"/>
      <c r="P377" s="615"/>
      <c r="Q377" s="616"/>
      <c r="R377" s="628"/>
      <c r="S377" s="629"/>
      <c r="T377" s="629"/>
      <c r="U377" s="629"/>
      <c r="V377" s="629"/>
      <c r="W377" s="629"/>
      <c r="X377" s="629"/>
      <c r="Y377" s="619"/>
      <c r="Z377" s="630"/>
      <c r="AA377" s="631"/>
      <c r="AB377" s="631"/>
      <c r="AC377" s="631"/>
      <c r="AD377" s="631"/>
      <c r="AE377" s="631"/>
      <c r="AF377" s="622"/>
      <c r="AG377" s="621"/>
      <c r="AH377" s="621"/>
      <c r="AI377" s="623"/>
    </row>
    <row r="378" spans="1:248" ht="45" customHeight="1" thickBot="1" x14ac:dyDescent="0.3">
      <c r="L378" s="624"/>
      <c r="M378" s="625"/>
      <c r="N378" s="625"/>
      <c r="O378" s="626"/>
      <c r="P378" s="615"/>
      <c r="Q378" s="616"/>
      <c r="R378" s="628"/>
      <c r="S378" s="629"/>
      <c r="T378" s="629"/>
      <c r="U378" s="629"/>
      <c r="V378" s="629"/>
      <c r="W378" s="629"/>
      <c r="X378" s="629"/>
      <c r="Y378" s="619"/>
      <c r="Z378" s="630"/>
      <c r="AA378" s="631"/>
      <c r="AB378" s="631"/>
      <c r="AC378" s="631"/>
      <c r="AD378" s="631"/>
      <c r="AE378" s="631"/>
      <c r="AF378" s="622"/>
      <c r="AG378" s="621"/>
      <c r="AH378" s="621"/>
      <c r="AI378" s="623"/>
    </row>
    <row r="379" spans="1:248" ht="45" customHeight="1" thickBot="1" x14ac:dyDescent="0.3">
      <c r="L379" s="624"/>
      <c r="M379" s="625"/>
      <c r="N379" s="625"/>
      <c r="O379" s="626"/>
      <c r="P379" s="615"/>
      <c r="Q379" s="616"/>
      <c r="R379" s="628"/>
      <c r="S379" s="629"/>
      <c r="T379" s="629"/>
      <c r="U379" s="629"/>
      <c r="V379" s="629"/>
      <c r="W379" s="629"/>
      <c r="X379" s="629"/>
      <c r="Y379" s="619"/>
      <c r="Z379" s="630"/>
      <c r="AA379" s="631"/>
      <c r="AB379" s="631"/>
      <c r="AC379" s="631"/>
      <c r="AD379" s="631"/>
      <c r="AE379" s="631"/>
      <c r="AF379" s="622"/>
      <c r="AG379" s="621"/>
      <c r="AH379" s="621"/>
      <c r="AI379" s="623"/>
    </row>
    <row r="380" spans="1:248" ht="45" customHeight="1" thickBot="1" x14ac:dyDescent="0.3">
      <c r="L380" s="624"/>
      <c r="M380" s="625"/>
      <c r="N380" s="625"/>
      <c r="O380" s="626"/>
      <c r="P380" s="615"/>
      <c r="Q380" s="616"/>
      <c r="R380" s="628"/>
      <c r="S380" s="629"/>
      <c r="T380" s="629"/>
      <c r="U380" s="629"/>
      <c r="V380" s="629"/>
      <c r="W380" s="629"/>
      <c r="X380" s="629"/>
      <c r="Y380" s="619"/>
      <c r="Z380" s="630"/>
      <c r="AA380" s="631"/>
      <c r="AB380" s="631"/>
      <c r="AC380" s="631"/>
      <c r="AD380" s="631"/>
      <c r="AE380" s="631"/>
      <c r="AF380" s="622"/>
      <c r="AG380" s="621"/>
      <c r="AH380" s="621"/>
      <c r="AI380" s="623"/>
    </row>
    <row r="381" spans="1:248" ht="45" customHeight="1" thickBot="1" x14ac:dyDescent="0.25">
      <c r="A381" s="112"/>
      <c r="B381" s="112"/>
      <c r="C381" s="113"/>
      <c r="D381" s="113"/>
      <c r="E381" s="112"/>
      <c r="F381" s="114"/>
      <c r="G381" s="114"/>
      <c r="H381" s="114"/>
      <c r="I381" s="115"/>
      <c r="J381" s="116"/>
      <c r="L381" s="624"/>
      <c r="M381" s="625"/>
      <c r="N381" s="625"/>
      <c r="O381" s="626"/>
      <c r="P381" s="615"/>
      <c r="Q381" s="616"/>
      <c r="R381" s="633"/>
      <c r="S381" s="634"/>
      <c r="T381" s="634"/>
      <c r="U381" s="634"/>
      <c r="V381" s="634"/>
      <c r="W381" s="634"/>
      <c r="X381" s="634"/>
      <c r="Y381" s="619"/>
      <c r="Z381" s="635"/>
      <c r="AA381" s="636"/>
      <c r="AB381" s="636"/>
      <c r="AC381" s="636"/>
      <c r="AD381" s="636"/>
      <c r="AE381" s="636"/>
      <c r="AF381" s="637"/>
      <c r="AG381" s="638"/>
      <c r="AH381" s="638"/>
      <c r="AI381" s="623"/>
      <c r="AJ381" s="404"/>
      <c r="AK381" s="436"/>
      <c r="AL381" s="432"/>
      <c r="AM381" s="433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</row>
    <row r="382" spans="1:248" ht="45" customHeight="1" thickBot="1" x14ac:dyDescent="0.3">
      <c r="L382" s="624"/>
      <c r="M382" s="625"/>
      <c r="N382" s="625"/>
      <c r="O382" s="626"/>
      <c r="P382" s="615"/>
      <c r="Q382" s="616"/>
      <c r="R382" s="628"/>
      <c r="S382" s="629"/>
      <c r="T382" s="629"/>
      <c r="U382" s="629"/>
      <c r="V382" s="629"/>
      <c r="W382" s="629"/>
      <c r="X382" s="629"/>
      <c r="Y382" s="619"/>
      <c r="Z382" s="630"/>
      <c r="AA382" s="631"/>
      <c r="AB382" s="631"/>
      <c r="AC382" s="631"/>
      <c r="AD382" s="631"/>
      <c r="AE382" s="631"/>
      <c r="AF382" s="622"/>
      <c r="AG382" s="621"/>
      <c r="AH382" s="621"/>
      <c r="AI382" s="623"/>
    </row>
    <row r="383" spans="1:248" ht="45" customHeight="1" thickBot="1" x14ac:dyDescent="0.3">
      <c r="L383" s="624"/>
      <c r="M383" s="625"/>
      <c r="N383" s="625"/>
      <c r="O383" s="626"/>
      <c r="P383" s="615"/>
      <c r="Q383" s="616"/>
      <c r="R383" s="628"/>
      <c r="S383" s="629"/>
      <c r="T383" s="629"/>
      <c r="U383" s="629"/>
      <c r="V383" s="629"/>
      <c r="W383" s="629"/>
      <c r="X383" s="629"/>
      <c r="Y383" s="619"/>
      <c r="Z383" s="630"/>
      <c r="AA383" s="631"/>
      <c r="AB383" s="631"/>
      <c r="AC383" s="631"/>
      <c r="AD383" s="631"/>
      <c r="AE383" s="631"/>
      <c r="AF383" s="622"/>
      <c r="AG383" s="621"/>
      <c r="AH383" s="621"/>
      <c r="AI383" s="623"/>
    </row>
    <row r="384" spans="1:248" ht="45" customHeight="1" thickBot="1" x14ac:dyDescent="0.3">
      <c r="L384" s="624"/>
      <c r="M384" s="625"/>
      <c r="N384" s="625"/>
      <c r="O384" s="626"/>
      <c r="P384" s="615"/>
      <c r="Q384" s="616"/>
      <c r="R384" s="628"/>
      <c r="S384" s="629"/>
      <c r="T384" s="629"/>
      <c r="U384" s="629"/>
      <c r="V384" s="629"/>
      <c r="W384" s="629"/>
      <c r="X384" s="629"/>
      <c r="Y384" s="619"/>
      <c r="Z384" s="630"/>
      <c r="AA384" s="631"/>
      <c r="AB384" s="631"/>
      <c r="AC384" s="631"/>
      <c r="AD384" s="631"/>
      <c r="AE384" s="631"/>
      <c r="AF384" s="622"/>
      <c r="AG384" s="621"/>
      <c r="AH384" s="621"/>
      <c r="AI384" s="623"/>
    </row>
    <row r="385" spans="1:248" ht="45" customHeight="1" thickBot="1" x14ac:dyDescent="0.3">
      <c r="L385" s="624"/>
      <c r="M385" s="625"/>
      <c r="N385" s="625"/>
      <c r="O385" s="626"/>
      <c r="P385" s="615"/>
      <c r="Q385" s="616"/>
      <c r="R385" s="628"/>
      <c r="S385" s="629"/>
      <c r="T385" s="629"/>
      <c r="U385" s="629"/>
      <c r="V385" s="629"/>
      <c r="W385" s="629"/>
      <c r="X385" s="629"/>
      <c r="Y385" s="619"/>
      <c r="Z385" s="630"/>
      <c r="AA385" s="631"/>
      <c r="AB385" s="631"/>
      <c r="AC385" s="631"/>
      <c r="AD385" s="631"/>
      <c r="AE385" s="631"/>
      <c r="AF385" s="622"/>
      <c r="AG385" s="621"/>
      <c r="AH385" s="621"/>
      <c r="AI385" s="623"/>
    </row>
    <row r="386" spans="1:248" ht="45" customHeight="1" thickBot="1" x14ac:dyDescent="0.3">
      <c r="L386" s="624"/>
      <c r="M386" s="625"/>
      <c r="N386" s="625"/>
      <c r="O386" s="626"/>
      <c r="P386" s="615"/>
      <c r="Q386" s="616"/>
      <c r="R386" s="628"/>
      <c r="S386" s="629"/>
      <c r="T386" s="629"/>
      <c r="U386" s="629"/>
      <c r="V386" s="629"/>
      <c r="W386" s="629"/>
      <c r="X386" s="629"/>
      <c r="Y386" s="619"/>
      <c r="Z386" s="630"/>
      <c r="AA386" s="631"/>
      <c r="AB386" s="631"/>
      <c r="AC386" s="631"/>
      <c r="AD386" s="631"/>
      <c r="AE386" s="631"/>
      <c r="AF386" s="622"/>
      <c r="AG386" s="621"/>
      <c r="AH386" s="621"/>
      <c r="AI386" s="623"/>
    </row>
    <row r="387" spans="1:248" ht="45" customHeight="1" thickBot="1" x14ac:dyDescent="0.3">
      <c r="L387" s="624"/>
      <c r="M387" s="625"/>
      <c r="N387" s="625"/>
      <c r="O387" s="626"/>
      <c r="P387" s="615"/>
      <c r="Q387" s="616"/>
      <c r="R387" s="628"/>
      <c r="S387" s="629"/>
      <c r="T387" s="629"/>
      <c r="U387" s="629"/>
      <c r="V387" s="629"/>
      <c r="W387" s="629"/>
      <c r="X387" s="629"/>
      <c r="Y387" s="619"/>
      <c r="Z387" s="630"/>
      <c r="AA387" s="631"/>
      <c r="AB387" s="631"/>
      <c r="AC387" s="631"/>
      <c r="AD387" s="631"/>
      <c r="AE387" s="631"/>
      <c r="AF387" s="622"/>
      <c r="AG387" s="621"/>
      <c r="AH387" s="621"/>
      <c r="AI387" s="623"/>
    </row>
    <row r="388" spans="1:248" ht="45" customHeight="1" thickBot="1" x14ac:dyDescent="0.3">
      <c r="L388" s="624"/>
      <c r="M388" s="625"/>
      <c r="N388" s="625"/>
      <c r="O388" s="626"/>
      <c r="P388" s="615"/>
      <c r="Q388" s="616"/>
      <c r="R388" s="628"/>
      <c r="S388" s="629"/>
      <c r="T388" s="629"/>
      <c r="U388" s="629"/>
      <c r="V388" s="629"/>
      <c r="W388" s="629"/>
      <c r="X388" s="629"/>
      <c r="Y388" s="619"/>
      <c r="Z388" s="630"/>
      <c r="AA388" s="631"/>
      <c r="AB388" s="631"/>
      <c r="AC388" s="631"/>
      <c r="AD388" s="631"/>
      <c r="AE388" s="631"/>
      <c r="AF388" s="622"/>
      <c r="AG388" s="621"/>
      <c r="AH388" s="621"/>
      <c r="AI388" s="623"/>
    </row>
    <row r="389" spans="1:248" s="35" customFormat="1" ht="45" customHeight="1" thickBot="1" x14ac:dyDescent="0.3">
      <c r="A389" s="188"/>
      <c r="B389" s="41"/>
      <c r="C389" s="57"/>
      <c r="D389" s="57"/>
      <c r="E389" s="41"/>
      <c r="F389" s="83"/>
      <c r="G389" s="83"/>
      <c r="H389" s="83"/>
      <c r="I389" s="111"/>
      <c r="J389" s="108"/>
      <c r="K389" s="237"/>
      <c r="L389" s="624"/>
      <c r="M389" s="625"/>
      <c r="N389" s="625"/>
      <c r="O389" s="626"/>
      <c r="P389" s="615"/>
      <c r="Q389" s="616"/>
      <c r="R389" s="628"/>
      <c r="S389" s="629"/>
      <c r="T389" s="629"/>
      <c r="U389" s="629"/>
      <c r="V389" s="629"/>
      <c r="W389" s="629"/>
      <c r="X389" s="629"/>
      <c r="Y389" s="619"/>
      <c r="Z389" s="630"/>
      <c r="AA389" s="631"/>
      <c r="AB389" s="631"/>
      <c r="AC389" s="631"/>
      <c r="AD389" s="631"/>
      <c r="AE389" s="631"/>
      <c r="AF389" s="622"/>
      <c r="AG389" s="621"/>
      <c r="AH389" s="621"/>
      <c r="AI389" s="623"/>
      <c r="AJ389" s="401"/>
      <c r="AK389" s="437"/>
      <c r="AL389" s="425"/>
      <c r="AM389" s="426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</row>
    <row r="390" spans="1:248" s="35" customFormat="1" ht="45" customHeight="1" thickBot="1" x14ac:dyDescent="0.3">
      <c r="A390" s="188"/>
      <c r="B390" s="41"/>
      <c r="C390" s="57"/>
      <c r="D390" s="57"/>
      <c r="E390" s="41"/>
      <c r="F390" s="83"/>
      <c r="G390" s="83"/>
      <c r="H390" s="83"/>
      <c r="I390" s="111"/>
      <c r="J390" s="108"/>
      <c r="K390" s="237"/>
      <c r="L390" s="624"/>
      <c r="M390" s="625"/>
      <c r="N390" s="625"/>
      <c r="O390" s="626"/>
      <c r="P390" s="615"/>
      <c r="Q390" s="616"/>
      <c r="R390" s="628"/>
      <c r="S390" s="629"/>
      <c r="T390" s="629"/>
      <c r="U390" s="629"/>
      <c r="V390" s="629"/>
      <c r="W390" s="629"/>
      <c r="X390" s="629"/>
      <c r="Y390" s="619"/>
      <c r="Z390" s="630"/>
      <c r="AA390" s="631"/>
      <c r="AB390" s="631"/>
      <c r="AC390" s="631"/>
      <c r="AD390" s="631"/>
      <c r="AE390" s="631"/>
      <c r="AF390" s="622"/>
      <c r="AG390" s="621"/>
      <c r="AH390" s="621"/>
      <c r="AI390" s="623"/>
      <c r="AJ390" s="401"/>
      <c r="AK390" s="437"/>
      <c r="AL390" s="425"/>
      <c r="AM390" s="426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</row>
    <row r="391" spans="1:248" s="35" customFormat="1" ht="45" customHeight="1" thickBot="1" x14ac:dyDescent="0.3">
      <c r="A391" s="188"/>
      <c r="B391" s="41"/>
      <c r="C391" s="57"/>
      <c r="D391" s="57"/>
      <c r="E391" s="41"/>
      <c r="F391" s="83"/>
      <c r="G391" s="83"/>
      <c r="H391" s="83"/>
      <c r="I391" s="111"/>
      <c r="J391" s="108"/>
      <c r="K391" s="237"/>
      <c r="L391" s="624"/>
      <c r="M391" s="625"/>
      <c r="N391" s="625"/>
      <c r="O391" s="626"/>
      <c r="P391" s="615"/>
      <c r="Q391" s="616"/>
      <c r="R391" s="628"/>
      <c r="S391" s="629"/>
      <c r="T391" s="629"/>
      <c r="U391" s="629"/>
      <c r="V391" s="629"/>
      <c r="W391" s="629"/>
      <c r="X391" s="629"/>
      <c r="Y391" s="619"/>
      <c r="Z391" s="630"/>
      <c r="AA391" s="631"/>
      <c r="AB391" s="631"/>
      <c r="AC391" s="631"/>
      <c r="AD391" s="631"/>
      <c r="AE391" s="631"/>
      <c r="AF391" s="622"/>
      <c r="AG391" s="621"/>
      <c r="AH391" s="621"/>
      <c r="AI391" s="623"/>
      <c r="AJ391" s="401"/>
      <c r="AK391" s="437"/>
      <c r="AL391" s="425"/>
      <c r="AM391" s="426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</row>
    <row r="392" spans="1:248" s="35" customFormat="1" ht="45" customHeight="1" thickBot="1" x14ac:dyDescent="0.3">
      <c r="A392" s="188"/>
      <c r="B392" s="41"/>
      <c r="C392" s="57"/>
      <c r="D392" s="57"/>
      <c r="E392" s="41"/>
      <c r="F392" s="83"/>
      <c r="G392" s="83"/>
      <c r="H392" s="83"/>
      <c r="I392" s="111"/>
      <c r="J392" s="108"/>
      <c r="K392" s="237"/>
      <c r="L392" s="624"/>
      <c r="M392" s="625"/>
      <c r="N392" s="625"/>
      <c r="O392" s="626"/>
      <c r="P392" s="615"/>
      <c r="Q392" s="616"/>
      <c r="R392" s="628"/>
      <c r="S392" s="629"/>
      <c r="T392" s="629"/>
      <c r="U392" s="629"/>
      <c r="V392" s="629"/>
      <c r="W392" s="629"/>
      <c r="X392" s="629"/>
      <c r="Y392" s="619"/>
      <c r="Z392" s="630"/>
      <c r="AA392" s="631"/>
      <c r="AB392" s="631"/>
      <c r="AC392" s="631"/>
      <c r="AD392" s="631"/>
      <c r="AE392" s="631"/>
      <c r="AF392" s="622"/>
      <c r="AG392" s="621"/>
      <c r="AH392" s="621"/>
      <c r="AI392" s="623"/>
      <c r="AJ392" s="401"/>
      <c r="AK392" s="437"/>
      <c r="AL392" s="425"/>
      <c r="AM392" s="426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</row>
    <row r="393" spans="1:248" s="35" customFormat="1" ht="45" customHeight="1" thickBot="1" x14ac:dyDescent="0.3">
      <c r="A393" s="188"/>
      <c r="B393" s="41"/>
      <c r="C393" s="57"/>
      <c r="D393" s="57"/>
      <c r="E393" s="41"/>
      <c r="F393" s="83"/>
      <c r="G393" s="83"/>
      <c r="H393" s="83"/>
      <c r="I393" s="111"/>
      <c r="J393" s="108"/>
      <c r="K393" s="237"/>
      <c r="L393" s="624"/>
      <c r="M393" s="625"/>
      <c r="N393" s="625"/>
      <c r="O393" s="626"/>
      <c r="P393" s="615"/>
      <c r="Q393" s="616"/>
      <c r="R393" s="628"/>
      <c r="S393" s="629"/>
      <c r="T393" s="629"/>
      <c r="U393" s="629"/>
      <c r="V393" s="629"/>
      <c r="W393" s="629"/>
      <c r="X393" s="629"/>
      <c r="Y393" s="619"/>
      <c r="Z393" s="630"/>
      <c r="AA393" s="631"/>
      <c r="AB393" s="631"/>
      <c r="AC393" s="631"/>
      <c r="AD393" s="631"/>
      <c r="AE393" s="631"/>
      <c r="AF393" s="622"/>
      <c r="AG393" s="621"/>
      <c r="AH393" s="621"/>
      <c r="AI393" s="623"/>
      <c r="AJ393" s="401"/>
      <c r="AK393" s="437"/>
      <c r="AL393" s="425"/>
      <c r="AM393" s="426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</row>
    <row r="394" spans="1:248" s="35" customFormat="1" ht="45" customHeight="1" thickBot="1" x14ac:dyDescent="0.3">
      <c r="A394" s="188"/>
      <c r="B394" s="41"/>
      <c r="C394" s="57"/>
      <c r="D394" s="57"/>
      <c r="E394" s="41"/>
      <c r="F394" s="83"/>
      <c r="G394" s="83"/>
      <c r="H394" s="83"/>
      <c r="I394" s="111"/>
      <c r="J394" s="108"/>
      <c r="K394" s="237"/>
      <c r="L394" s="624"/>
      <c r="M394" s="625"/>
      <c r="N394" s="625"/>
      <c r="O394" s="626"/>
      <c r="P394" s="615"/>
      <c r="Q394" s="616"/>
      <c r="R394" s="628"/>
      <c r="S394" s="629"/>
      <c r="T394" s="629"/>
      <c r="U394" s="629"/>
      <c r="V394" s="629"/>
      <c r="W394" s="629"/>
      <c r="X394" s="629"/>
      <c r="Y394" s="619"/>
      <c r="Z394" s="630"/>
      <c r="AA394" s="631"/>
      <c r="AB394" s="631"/>
      <c r="AC394" s="631"/>
      <c r="AD394" s="631"/>
      <c r="AE394" s="631"/>
      <c r="AF394" s="622"/>
      <c r="AG394" s="621"/>
      <c r="AH394" s="621"/>
      <c r="AI394" s="623"/>
      <c r="AJ394" s="401"/>
      <c r="AK394" s="437"/>
      <c r="AL394" s="425"/>
      <c r="AM394" s="426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</row>
    <row r="395" spans="1:248" s="35" customFormat="1" ht="45" customHeight="1" thickBot="1" x14ac:dyDescent="0.3">
      <c r="A395" s="188"/>
      <c r="B395" s="41"/>
      <c r="C395" s="57"/>
      <c r="D395" s="57"/>
      <c r="E395" s="41"/>
      <c r="F395" s="83"/>
      <c r="G395" s="83"/>
      <c r="H395" s="83"/>
      <c r="I395" s="111"/>
      <c r="J395" s="108"/>
      <c r="K395" s="237"/>
      <c r="L395" s="624"/>
      <c r="M395" s="625"/>
      <c r="N395" s="625"/>
      <c r="O395" s="626"/>
      <c r="P395" s="615"/>
      <c r="Q395" s="616"/>
      <c r="R395" s="628"/>
      <c r="S395" s="629"/>
      <c r="T395" s="629"/>
      <c r="U395" s="629"/>
      <c r="V395" s="629"/>
      <c r="W395" s="629"/>
      <c r="X395" s="629"/>
      <c r="Y395" s="619"/>
      <c r="Z395" s="630"/>
      <c r="AA395" s="631"/>
      <c r="AB395" s="631"/>
      <c r="AC395" s="631"/>
      <c r="AD395" s="631"/>
      <c r="AE395" s="631"/>
      <c r="AF395" s="622"/>
      <c r="AG395" s="621"/>
      <c r="AH395" s="621"/>
      <c r="AI395" s="623"/>
      <c r="AJ395" s="401"/>
      <c r="AK395" s="437"/>
      <c r="AL395" s="425"/>
      <c r="AM395" s="426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</row>
    <row r="396" spans="1:248" s="35" customFormat="1" ht="45" customHeight="1" thickBot="1" x14ac:dyDescent="0.3">
      <c r="A396" s="188"/>
      <c r="B396" s="41"/>
      <c r="C396" s="57"/>
      <c r="D396" s="57"/>
      <c r="E396" s="41"/>
      <c r="F396" s="83"/>
      <c r="G396" s="83"/>
      <c r="H396" s="83"/>
      <c r="I396" s="111"/>
      <c r="J396" s="108"/>
      <c r="K396" s="237"/>
      <c r="L396" s="624"/>
      <c r="M396" s="625"/>
      <c r="N396" s="625"/>
      <c r="O396" s="626"/>
      <c r="P396" s="615"/>
      <c r="Q396" s="616"/>
      <c r="R396" s="628"/>
      <c r="S396" s="629"/>
      <c r="T396" s="629"/>
      <c r="U396" s="629"/>
      <c r="V396" s="629"/>
      <c r="W396" s="629"/>
      <c r="X396" s="629"/>
      <c r="Y396" s="619"/>
      <c r="Z396" s="630"/>
      <c r="AA396" s="631"/>
      <c r="AB396" s="631"/>
      <c r="AC396" s="631"/>
      <c r="AD396" s="631"/>
      <c r="AE396" s="631"/>
      <c r="AF396" s="622"/>
      <c r="AG396" s="621"/>
      <c r="AH396" s="621"/>
      <c r="AI396" s="623"/>
      <c r="AJ396" s="401"/>
      <c r="AK396" s="437"/>
      <c r="AL396" s="425"/>
      <c r="AM396" s="426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</row>
    <row r="397" spans="1:248" ht="45" customHeight="1" thickBot="1" x14ac:dyDescent="0.3">
      <c r="L397" s="624"/>
      <c r="M397" s="625"/>
      <c r="N397" s="625"/>
      <c r="O397" s="626"/>
      <c r="P397" s="615"/>
      <c r="Q397" s="616"/>
      <c r="R397" s="628"/>
      <c r="S397" s="629"/>
      <c r="T397" s="629"/>
      <c r="U397" s="629"/>
      <c r="V397" s="629"/>
      <c r="W397" s="629"/>
      <c r="X397" s="629"/>
      <c r="Y397" s="619"/>
      <c r="Z397" s="630"/>
      <c r="AA397" s="631"/>
      <c r="AB397" s="631"/>
      <c r="AC397" s="631"/>
      <c r="AD397" s="631"/>
      <c r="AE397" s="631"/>
      <c r="AF397" s="622"/>
      <c r="AG397" s="621"/>
      <c r="AH397" s="621"/>
      <c r="AI397" s="623"/>
    </row>
    <row r="398" spans="1:248" s="35" customFormat="1" ht="45" customHeight="1" thickBot="1" x14ac:dyDescent="0.3">
      <c r="A398" s="188"/>
      <c r="B398" s="41"/>
      <c r="C398" s="57"/>
      <c r="D398" s="57"/>
      <c r="E398" s="41"/>
      <c r="F398" s="83"/>
      <c r="G398" s="83"/>
      <c r="H398" s="83"/>
      <c r="I398" s="111"/>
      <c r="J398" s="108"/>
      <c r="K398" s="237"/>
      <c r="L398" s="624"/>
      <c r="M398" s="625"/>
      <c r="N398" s="625"/>
      <c r="O398" s="626"/>
      <c r="P398" s="615"/>
      <c r="Q398" s="616"/>
      <c r="R398" s="628"/>
      <c r="S398" s="629"/>
      <c r="T398" s="629"/>
      <c r="U398" s="629"/>
      <c r="V398" s="629"/>
      <c r="W398" s="629"/>
      <c r="X398" s="629"/>
      <c r="Y398" s="619"/>
      <c r="Z398" s="630"/>
      <c r="AA398" s="631"/>
      <c r="AB398" s="631"/>
      <c r="AC398" s="631"/>
      <c r="AD398" s="631"/>
      <c r="AE398" s="631"/>
      <c r="AF398" s="622"/>
      <c r="AG398" s="621"/>
      <c r="AH398" s="621"/>
      <c r="AI398" s="623"/>
      <c r="AJ398" s="401"/>
      <c r="AK398" s="437"/>
      <c r="AL398" s="425"/>
      <c r="AM398" s="426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</row>
    <row r="399" spans="1:248" s="35" customFormat="1" ht="45" customHeight="1" thickBot="1" x14ac:dyDescent="0.3">
      <c r="A399" s="188"/>
      <c r="B399" s="41"/>
      <c r="C399" s="57"/>
      <c r="D399" s="57"/>
      <c r="E399" s="41"/>
      <c r="F399" s="83"/>
      <c r="G399" s="83"/>
      <c r="H399" s="83"/>
      <c r="I399" s="111"/>
      <c r="J399" s="108"/>
      <c r="K399" s="237"/>
      <c r="L399" s="624"/>
      <c r="M399" s="625"/>
      <c r="N399" s="625"/>
      <c r="O399" s="626"/>
      <c r="P399" s="615"/>
      <c r="Q399" s="616"/>
      <c r="R399" s="628"/>
      <c r="S399" s="629"/>
      <c r="T399" s="629"/>
      <c r="U399" s="629"/>
      <c r="V399" s="629"/>
      <c r="W399" s="629"/>
      <c r="X399" s="629"/>
      <c r="Y399" s="619"/>
      <c r="Z399" s="630"/>
      <c r="AA399" s="631"/>
      <c r="AB399" s="631"/>
      <c r="AC399" s="631"/>
      <c r="AD399" s="631"/>
      <c r="AE399" s="631"/>
      <c r="AF399" s="622"/>
      <c r="AG399" s="621"/>
      <c r="AH399" s="621"/>
      <c r="AI399" s="623"/>
      <c r="AJ399" s="401"/>
      <c r="AK399" s="437"/>
      <c r="AL399" s="425"/>
      <c r="AM399" s="426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</row>
    <row r="400" spans="1:248" s="35" customFormat="1" ht="45" customHeight="1" thickBot="1" x14ac:dyDescent="0.3">
      <c r="A400" s="188"/>
      <c r="B400" s="41"/>
      <c r="C400" s="57"/>
      <c r="D400" s="57"/>
      <c r="E400" s="41"/>
      <c r="F400" s="83"/>
      <c r="G400" s="83"/>
      <c r="H400" s="83"/>
      <c r="I400" s="111"/>
      <c r="J400" s="108"/>
      <c r="K400" s="237"/>
      <c r="L400" s="624"/>
      <c r="M400" s="625"/>
      <c r="N400" s="625"/>
      <c r="O400" s="626"/>
      <c r="P400" s="615"/>
      <c r="Q400" s="616"/>
      <c r="R400" s="628"/>
      <c r="S400" s="629"/>
      <c r="T400" s="629"/>
      <c r="U400" s="629"/>
      <c r="V400" s="629"/>
      <c r="W400" s="629"/>
      <c r="X400" s="629"/>
      <c r="Y400" s="619"/>
      <c r="Z400" s="630"/>
      <c r="AA400" s="631"/>
      <c r="AB400" s="631"/>
      <c r="AC400" s="631"/>
      <c r="AD400" s="631"/>
      <c r="AE400" s="631"/>
      <c r="AF400" s="622"/>
      <c r="AG400" s="621"/>
      <c r="AH400" s="621"/>
      <c r="AI400" s="623"/>
      <c r="AJ400" s="401"/>
      <c r="AK400" s="437"/>
      <c r="AL400" s="425"/>
      <c r="AM400" s="426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</row>
    <row r="401" spans="1:248" s="35" customFormat="1" ht="45" customHeight="1" thickBot="1" x14ac:dyDescent="0.3">
      <c r="A401" s="188"/>
      <c r="B401" s="41"/>
      <c r="C401" s="57"/>
      <c r="D401" s="57"/>
      <c r="E401" s="41"/>
      <c r="F401" s="83"/>
      <c r="G401" s="83"/>
      <c r="H401" s="83"/>
      <c r="I401" s="111"/>
      <c r="J401" s="108"/>
      <c r="K401" s="237"/>
      <c r="L401" s="624"/>
      <c r="M401" s="625"/>
      <c r="N401" s="625"/>
      <c r="O401" s="626"/>
      <c r="P401" s="615"/>
      <c r="Q401" s="616"/>
      <c r="R401" s="628"/>
      <c r="S401" s="629"/>
      <c r="T401" s="629"/>
      <c r="U401" s="629"/>
      <c r="V401" s="629"/>
      <c r="W401" s="629"/>
      <c r="X401" s="629"/>
      <c r="Y401" s="619"/>
      <c r="Z401" s="630"/>
      <c r="AA401" s="631"/>
      <c r="AB401" s="631"/>
      <c r="AC401" s="631"/>
      <c r="AD401" s="631"/>
      <c r="AE401" s="631"/>
      <c r="AF401" s="622"/>
      <c r="AG401" s="621"/>
      <c r="AH401" s="621"/>
      <c r="AI401" s="623"/>
      <c r="AJ401" s="401"/>
      <c r="AK401" s="437"/>
      <c r="AL401" s="425"/>
      <c r="AM401" s="426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</row>
    <row r="402" spans="1:248" s="35" customFormat="1" ht="45" customHeight="1" thickBot="1" x14ac:dyDescent="0.3">
      <c r="A402" s="188"/>
      <c r="B402" s="41"/>
      <c r="C402" s="57"/>
      <c r="D402" s="57"/>
      <c r="E402" s="41"/>
      <c r="F402" s="83"/>
      <c r="G402" s="83"/>
      <c r="H402" s="83"/>
      <c r="I402" s="111"/>
      <c r="J402" s="108"/>
      <c r="K402" s="237"/>
      <c r="L402" s="624"/>
      <c r="M402" s="625"/>
      <c r="N402" s="625"/>
      <c r="O402" s="626"/>
      <c r="P402" s="615"/>
      <c r="Q402" s="616"/>
      <c r="R402" s="628"/>
      <c r="S402" s="629"/>
      <c r="T402" s="629"/>
      <c r="U402" s="629"/>
      <c r="V402" s="629"/>
      <c r="W402" s="629"/>
      <c r="X402" s="629"/>
      <c r="Y402" s="619"/>
      <c r="Z402" s="630"/>
      <c r="AA402" s="631"/>
      <c r="AB402" s="631"/>
      <c r="AC402" s="631"/>
      <c r="AD402" s="631"/>
      <c r="AE402" s="631"/>
      <c r="AF402" s="622"/>
      <c r="AG402" s="621"/>
      <c r="AH402" s="621"/>
      <c r="AI402" s="623"/>
      <c r="AJ402" s="401"/>
      <c r="AK402" s="437"/>
      <c r="AL402" s="425"/>
      <c r="AM402" s="426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</row>
    <row r="403" spans="1:248" s="35" customFormat="1" ht="45" customHeight="1" thickBot="1" x14ac:dyDescent="0.3">
      <c r="A403" s="188"/>
      <c r="B403" s="41"/>
      <c r="C403" s="57"/>
      <c r="D403" s="57"/>
      <c r="E403" s="41"/>
      <c r="F403" s="83"/>
      <c r="G403" s="83"/>
      <c r="H403" s="83"/>
      <c r="I403" s="111"/>
      <c r="J403" s="108"/>
      <c r="K403" s="237"/>
      <c r="L403" s="624"/>
      <c r="M403" s="625"/>
      <c r="N403" s="625"/>
      <c r="O403" s="626"/>
      <c r="P403" s="615"/>
      <c r="Q403" s="616"/>
      <c r="R403" s="628"/>
      <c r="S403" s="629"/>
      <c r="T403" s="629"/>
      <c r="U403" s="629"/>
      <c r="V403" s="629"/>
      <c r="W403" s="629"/>
      <c r="X403" s="629"/>
      <c r="Y403" s="619"/>
      <c r="Z403" s="630"/>
      <c r="AA403" s="631"/>
      <c r="AB403" s="631"/>
      <c r="AC403" s="631"/>
      <c r="AD403" s="631"/>
      <c r="AE403" s="631"/>
      <c r="AF403" s="622"/>
      <c r="AG403" s="621"/>
      <c r="AH403" s="621"/>
      <c r="AI403" s="623"/>
      <c r="AJ403" s="401"/>
      <c r="AK403" s="437"/>
      <c r="AL403" s="425"/>
      <c r="AM403" s="426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</row>
    <row r="404" spans="1:248" ht="45" customHeight="1" thickBot="1" x14ac:dyDescent="0.3">
      <c r="L404" s="624"/>
      <c r="M404" s="625"/>
      <c r="N404" s="625"/>
      <c r="O404" s="626"/>
      <c r="P404" s="615"/>
      <c r="Q404" s="616"/>
      <c r="R404" s="628"/>
      <c r="S404" s="629"/>
      <c r="T404" s="629"/>
      <c r="U404" s="629"/>
      <c r="V404" s="629"/>
      <c r="W404" s="629"/>
      <c r="X404" s="629"/>
      <c r="Y404" s="619"/>
      <c r="Z404" s="630"/>
      <c r="AA404" s="631"/>
      <c r="AB404" s="631"/>
      <c r="AC404" s="631"/>
      <c r="AD404" s="631"/>
      <c r="AE404" s="631"/>
      <c r="AF404" s="622"/>
      <c r="AG404" s="621"/>
      <c r="AH404" s="621"/>
      <c r="AI404" s="623"/>
    </row>
    <row r="405" spans="1:248" ht="45" customHeight="1" thickBot="1" x14ac:dyDescent="0.3">
      <c r="L405" s="612"/>
      <c r="M405" s="613"/>
      <c r="N405" s="613"/>
      <c r="O405" s="614"/>
      <c r="P405" s="615"/>
      <c r="Q405" s="616"/>
      <c r="R405" s="628"/>
      <c r="S405" s="629"/>
      <c r="T405" s="629"/>
      <c r="U405" s="629"/>
      <c r="V405" s="629"/>
      <c r="W405" s="629"/>
      <c r="X405" s="629"/>
      <c r="Y405" s="619"/>
      <c r="Z405" s="630"/>
      <c r="AA405" s="631"/>
      <c r="AB405" s="631"/>
      <c r="AC405" s="631"/>
      <c r="AD405" s="631"/>
      <c r="AE405" s="631"/>
      <c r="AF405" s="622"/>
      <c r="AG405" s="621"/>
      <c r="AH405" s="621"/>
      <c r="AI405" s="623"/>
    </row>
    <row r="406" spans="1:248" ht="45" customHeight="1" thickBot="1" x14ac:dyDescent="0.3">
      <c r="L406" s="612"/>
      <c r="M406" s="613"/>
      <c r="N406" s="613"/>
      <c r="O406" s="614"/>
      <c r="P406" s="615"/>
      <c r="Q406" s="616"/>
      <c r="R406" s="628"/>
      <c r="S406" s="629"/>
      <c r="T406" s="629"/>
      <c r="U406" s="629"/>
      <c r="V406" s="629"/>
      <c r="W406" s="629"/>
      <c r="X406" s="629"/>
      <c r="Y406" s="619"/>
      <c r="Z406" s="630"/>
      <c r="AA406" s="631"/>
      <c r="AB406" s="631"/>
      <c r="AC406" s="631"/>
      <c r="AD406" s="631"/>
      <c r="AE406" s="631"/>
      <c r="AF406" s="622"/>
      <c r="AG406" s="621"/>
      <c r="AH406" s="621"/>
      <c r="AI406" s="623"/>
    </row>
    <row r="407" spans="1:248" s="35" customFormat="1" ht="45" customHeight="1" thickBot="1" x14ac:dyDescent="0.3">
      <c r="A407" s="188"/>
      <c r="B407" s="41"/>
      <c r="C407" s="57"/>
      <c r="D407" s="57"/>
      <c r="E407" s="41"/>
      <c r="F407" s="83"/>
      <c r="G407" s="83"/>
      <c r="H407" s="83"/>
      <c r="I407" s="111"/>
      <c r="J407" s="108"/>
      <c r="K407" s="237"/>
      <c r="L407" s="612"/>
      <c r="M407" s="613"/>
      <c r="N407" s="613"/>
      <c r="O407" s="614"/>
      <c r="P407" s="615"/>
      <c r="Q407" s="616"/>
      <c r="R407" s="628"/>
      <c r="S407" s="629"/>
      <c r="T407" s="629"/>
      <c r="U407" s="629"/>
      <c r="V407" s="629"/>
      <c r="W407" s="629"/>
      <c r="X407" s="629"/>
      <c r="Y407" s="619"/>
      <c r="Z407" s="630"/>
      <c r="AA407" s="631"/>
      <c r="AB407" s="631"/>
      <c r="AC407" s="631"/>
      <c r="AD407" s="631"/>
      <c r="AE407" s="631"/>
      <c r="AF407" s="622"/>
      <c r="AG407" s="621"/>
      <c r="AH407" s="621"/>
      <c r="AI407" s="623"/>
      <c r="AJ407" s="401"/>
      <c r="AK407" s="437"/>
      <c r="AL407" s="425"/>
      <c r="AM407" s="426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</row>
    <row r="408" spans="1:248" ht="45" customHeight="1" thickBot="1" x14ac:dyDescent="0.3">
      <c r="L408" s="612"/>
      <c r="M408" s="613"/>
      <c r="N408" s="613"/>
      <c r="O408" s="614"/>
      <c r="P408" s="615"/>
      <c r="Q408" s="616"/>
      <c r="R408" s="628"/>
      <c r="S408" s="629"/>
      <c r="T408" s="629"/>
      <c r="U408" s="629"/>
      <c r="V408" s="629"/>
      <c r="W408" s="629"/>
      <c r="X408" s="629"/>
      <c r="Y408" s="619"/>
      <c r="Z408" s="630"/>
      <c r="AA408" s="631"/>
      <c r="AB408" s="631"/>
      <c r="AC408" s="631"/>
      <c r="AD408" s="631"/>
      <c r="AE408" s="631"/>
      <c r="AF408" s="622"/>
      <c r="AG408" s="621"/>
      <c r="AH408" s="621"/>
      <c r="AI408" s="623"/>
    </row>
    <row r="409" spans="1:248" s="35" customFormat="1" ht="45" customHeight="1" thickBot="1" x14ac:dyDescent="0.3">
      <c r="A409" s="188"/>
      <c r="B409" s="41"/>
      <c r="C409" s="57"/>
      <c r="D409" s="57"/>
      <c r="E409" s="41"/>
      <c r="F409" s="83"/>
      <c r="G409" s="83"/>
      <c r="H409" s="83"/>
      <c r="I409" s="111"/>
      <c r="J409" s="108"/>
      <c r="K409" s="237"/>
      <c r="L409" s="639"/>
      <c r="M409" s="640"/>
      <c r="N409" s="640"/>
      <c r="O409" s="641"/>
      <c r="P409" s="615"/>
      <c r="Q409" s="616"/>
      <c r="R409" s="628"/>
      <c r="S409" s="629"/>
      <c r="T409" s="629"/>
      <c r="U409" s="629"/>
      <c r="V409" s="629"/>
      <c r="W409" s="629"/>
      <c r="X409" s="629"/>
      <c r="Y409" s="619"/>
      <c r="Z409" s="630"/>
      <c r="AA409" s="631"/>
      <c r="AB409" s="631"/>
      <c r="AC409" s="631"/>
      <c r="AD409" s="631"/>
      <c r="AE409" s="631"/>
      <c r="AF409" s="622"/>
      <c r="AG409" s="621"/>
      <c r="AH409" s="621"/>
      <c r="AI409" s="623"/>
      <c r="AJ409" s="401"/>
      <c r="AK409" s="437"/>
      <c r="AL409" s="425"/>
      <c r="AM409" s="426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</row>
    <row r="410" spans="1:248" s="35" customFormat="1" ht="45" customHeight="1" thickBot="1" x14ac:dyDescent="0.3">
      <c r="A410" s="188"/>
      <c r="B410" s="41"/>
      <c r="C410" s="57"/>
      <c r="D410" s="57"/>
      <c r="E410" s="41"/>
      <c r="F410" s="83"/>
      <c r="G410" s="83"/>
      <c r="H410" s="83"/>
      <c r="I410" s="111"/>
      <c r="J410" s="108"/>
      <c r="K410" s="237"/>
      <c r="L410" s="642"/>
      <c r="M410" s="615"/>
      <c r="N410" s="615"/>
      <c r="O410" s="643"/>
      <c r="P410" s="615"/>
      <c r="Q410" s="644"/>
      <c r="R410" s="628"/>
      <c r="S410" s="629"/>
      <c r="T410" s="629"/>
      <c r="U410" s="629"/>
      <c r="V410" s="629"/>
      <c r="W410" s="629"/>
      <c r="X410" s="629"/>
      <c r="Y410" s="619"/>
      <c r="Z410" s="630"/>
      <c r="AA410" s="631"/>
      <c r="AB410" s="631"/>
      <c r="AC410" s="631"/>
      <c r="AD410" s="631"/>
      <c r="AE410" s="631"/>
      <c r="AF410" s="622"/>
      <c r="AG410" s="621"/>
      <c r="AH410" s="621"/>
      <c r="AI410" s="623"/>
      <c r="AJ410" s="401"/>
      <c r="AK410" s="437"/>
      <c r="AL410" s="425"/>
      <c r="AM410" s="426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</row>
    <row r="411" spans="1:248" s="35" customFormat="1" ht="45" customHeight="1" thickBot="1" x14ac:dyDescent="0.3">
      <c r="A411" s="188"/>
      <c r="B411" s="41"/>
      <c r="C411" s="57"/>
      <c r="D411" s="57"/>
      <c r="E411" s="41"/>
      <c r="F411" s="83"/>
      <c r="G411" s="83"/>
      <c r="H411" s="83"/>
      <c r="I411" s="111"/>
      <c r="J411" s="108"/>
      <c r="K411" s="237"/>
      <c r="L411" s="612"/>
      <c r="M411" s="613"/>
      <c r="N411" s="613"/>
      <c r="O411" s="614"/>
      <c r="P411" s="615"/>
      <c r="Q411" s="616"/>
      <c r="R411" s="628"/>
      <c r="S411" s="629"/>
      <c r="T411" s="629"/>
      <c r="U411" s="629"/>
      <c r="V411" s="629"/>
      <c r="W411" s="629"/>
      <c r="X411" s="629"/>
      <c r="Y411" s="619"/>
      <c r="Z411" s="630"/>
      <c r="AA411" s="631"/>
      <c r="AB411" s="631"/>
      <c r="AC411" s="631"/>
      <c r="AD411" s="631"/>
      <c r="AE411" s="631"/>
      <c r="AF411" s="622"/>
      <c r="AG411" s="621"/>
      <c r="AH411" s="621"/>
      <c r="AI411" s="623"/>
      <c r="AJ411" s="401"/>
      <c r="AK411" s="437"/>
      <c r="AL411" s="425"/>
      <c r="AM411" s="426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</row>
    <row r="412" spans="1:248" s="35" customFormat="1" ht="45" customHeight="1" thickBot="1" x14ac:dyDescent="0.3">
      <c r="A412" s="188"/>
      <c r="B412" s="41"/>
      <c r="C412" s="57"/>
      <c r="D412" s="57"/>
      <c r="E412" s="41"/>
      <c r="F412" s="83"/>
      <c r="G412" s="83"/>
      <c r="H412" s="83"/>
      <c r="I412" s="111"/>
      <c r="J412" s="108"/>
      <c r="K412" s="237"/>
      <c r="L412" s="612"/>
      <c r="M412" s="613"/>
      <c r="N412" s="613"/>
      <c r="O412" s="614"/>
      <c r="P412" s="615"/>
      <c r="Q412" s="616"/>
      <c r="R412" s="628"/>
      <c r="S412" s="629"/>
      <c r="T412" s="629"/>
      <c r="U412" s="629"/>
      <c r="V412" s="629"/>
      <c r="W412" s="629"/>
      <c r="X412" s="629"/>
      <c r="Y412" s="619"/>
      <c r="Z412" s="630"/>
      <c r="AA412" s="631"/>
      <c r="AB412" s="631"/>
      <c r="AC412" s="631"/>
      <c r="AD412" s="631"/>
      <c r="AE412" s="631"/>
      <c r="AF412" s="622"/>
      <c r="AG412" s="621"/>
      <c r="AH412" s="621"/>
      <c r="AI412" s="623"/>
      <c r="AJ412" s="401"/>
      <c r="AK412" s="437"/>
      <c r="AL412" s="425"/>
      <c r="AM412" s="426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</row>
    <row r="413" spans="1:248" s="35" customFormat="1" ht="45" customHeight="1" thickBot="1" x14ac:dyDescent="0.3">
      <c r="A413" s="188"/>
      <c r="B413" s="41"/>
      <c r="C413" s="57"/>
      <c r="D413" s="57"/>
      <c r="E413" s="41"/>
      <c r="F413" s="83"/>
      <c r="G413" s="83"/>
      <c r="H413" s="83"/>
      <c r="I413" s="111"/>
      <c r="J413" s="108"/>
      <c r="K413" s="237"/>
      <c r="L413" s="624"/>
      <c r="M413" s="625"/>
      <c r="N413" s="625"/>
      <c r="O413" s="626"/>
      <c r="P413" s="615"/>
      <c r="Q413" s="616"/>
      <c r="R413" s="628"/>
      <c r="S413" s="629"/>
      <c r="T413" s="629"/>
      <c r="U413" s="629"/>
      <c r="V413" s="629"/>
      <c r="W413" s="629"/>
      <c r="X413" s="629"/>
      <c r="Y413" s="619"/>
      <c r="Z413" s="630"/>
      <c r="AA413" s="631"/>
      <c r="AB413" s="631"/>
      <c r="AC413" s="631"/>
      <c r="AD413" s="631"/>
      <c r="AE413" s="631"/>
      <c r="AF413" s="622"/>
      <c r="AG413" s="621"/>
      <c r="AH413" s="621"/>
      <c r="AI413" s="623"/>
      <c r="AJ413" s="401"/>
      <c r="AK413" s="437"/>
      <c r="AL413" s="425"/>
      <c r="AM413" s="426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</row>
    <row r="414" spans="1:248" s="35" customFormat="1" ht="45" customHeight="1" thickBot="1" x14ac:dyDescent="0.3">
      <c r="A414" s="188"/>
      <c r="B414" s="41"/>
      <c r="C414" s="57"/>
      <c r="D414" s="57"/>
      <c r="E414" s="41"/>
      <c r="F414" s="83"/>
      <c r="G414" s="83"/>
      <c r="H414" s="83"/>
      <c r="I414" s="111"/>
      <c r="J414" s="108"/>
      <c r="K414" s="237"/>
      <c r="L414" s="624"/>
      <c r="M414" s="625"/>
      <c r="N414" s="625"/>
      <c r="O414" s="626"/>
      <c r="P414" s="615"/>
      <c r="Q414" s="616"/>
      <c r="R414" s="628"/>
      <c r="S414" s="629"/>
      <c r="T414" s="629"/>
      <c r="U414" s="629"/>
      <c r="V414" s="629"/>
      <c r="W414" s="629"/>
      <c r="X414" s="629"/>
      <c r="Y414" s="619"/>
      <c r="Z414" s="630"/>
      <c r="AA414" s="631"/>
      <c r="AB414" s="631"/>
      <c r="AC414" s="631"/>
      <c r="AD414" s="631"/>
      <c r="AE414" s="631"/>
      <c r="AF414" s="622"/>
      <c r="AG414" s="621"/>
      <c r="AH414" s="621"/>
      <c r="AI414" s="623"/>
      <c r="AJ414" s="401"/>
      <c r="AK414" s="437"/>
      <c r="AL414" s="425"/>
      <c r="AM414" s="426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</row>
    <row r="415" spans="1:248" s="35" customFormat="1" ht="45" customHeight="1" thickBot="1" x14ac:dyDescent="0.3">
      <c r="A415" s="188"/>
      <c r="B415" s="41"/>
      <c r="C415" s="57"/>
      <c r="D415" s="57"/>
      <c r="E415" s="41"/>
      <c r="F415" s="83"/>
      <c r="G415" s="83"/>
      <c r="H415" s="83"/>
      <c r="I415" s="111"/>
      <c r="J415" s="108"/>
      <c r="K415" s="237"/>
      <c r="L415" s="624"/>
      <c r="M415" s="625"/>
      <c r="N415" s="625"/>
      <c r="O415" s="626"/>
      <c r="P415" s="615"/>
      <c r="Q415" s="616"/>
      <c r="R415" s="628"/>
      <c r="S415" s="629"/>
      <c r="T415" s="629"/>
      <c r="U415" s="629"/>
      <c r="V415" s="629"/>
      <c r="W415" s="629"/>
      <c r="X415" s="629"/>
      <c r="Y415" s="619"/>
      <c r="Z415" s="630"/>
      <c r="AA415" s="631"/>
      <c r="AB415" s="631"/>
      <c r="AC415" s="631"/>
      <c r="AD415" s="631"/>
      <c r="AE415" s="631"/>
      <c r="AF415" s="622"/>
      <c r="AG415" s="621"/>
      <c r="AH415" s="621"/>
      <c r="AI415" s="623"/>
      <c r="AJ415" s="401"/>
      <c r="AK415" s="437"/>
      <c r="AL415" s="425"/>
      <c r="AM415" s="426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</row>
    <row r="416" spans="1:248" ht="45" customHeight="1" thickBot="1" x14ac:dyDescent="0.3">
      <c r="C416" s="42"/>
      <c r="E416" s="36"/>
      <c r="F416" s="42"/>
      <c r="G416" s="42"/>
      <c r="H416" s="42"/>
      <c r="I416" s="117"/>
      <c r="J416" s="123"/>
      <c r="L416" s="624"/>
      <c r="M416" s="625"/>
      <c r="N416" s="625"/>
      <c r="O416" s="626"/>
      <c r="P416" s="615"/>
      <c r="Q416" s="616"/>
      <c r="R416" s="628"/>
      <c r="S416" s="629"/>
      <c r="T416" s="629"/>
      <c r="U416" s="629"/>
      <c r="V416" s="629"/>
      <c r="W416" s="629"/>
      <c r="X416" s="629"/>
      <c r="Y416" s="619"/>
      <c r="Z416" s="630"/>
      <c r="AA416" s="631"/>
      <c r="AB416" s="631"/>
      <c r="AC416" s="631"/>
      <c r="AD416" s="631"/>
      <c r="AE416" s="631"/>
      <c r="AF416" s="622"/>
      <c r="AG416" s="621"/>
      <c r="AH416" s="621"/>
      <c r="AI416" s="623"/>
    </row>
    <row r="417" spans="1:248" ht="45" customHeight="1" thickBot="1" x14ac:dyDescent="0.3">
      <c r="L417" s="624"/>
      <c r="M417" s="625"/>
      <c r="N417" s="625"/>
      <c r="O417" s="626"/>
      <c r="P417" s="615"/>
      <c r="Q417" s="616"/>
      <c r="R417" s="628"/>
      <c r="S417" s="629"/>
      <c r="T417" s="629"/>
      <c r="U417" s="629"/>
      <c r="V417" s="629"/>
      <c r="W417" s="629"/>
      <c r="X417" s="629"/>
      <c r="Y417" s="619"/>
      <c r="Z417" s="630"/>
      <c r="AA417" s="631"/>
      <c r="AB417" s="631"/>
      <c r="AC417" s="631"/>
      <c r="AD417" s="631"/>
      <c r="AE417" s="631"/>
      <c r="AF417" s="622"/>
      <c r="AG417" s="621"/>
      <c r="AH417" s="621"/>
      <c r="AI417" s="623"/>
    </row>
    <row r="418" spans="1:248" ht="45" customHeight="1" thickBot="1" x14ac:dyDescent="0.3">
      <c r="L418" s="624"/>
      <c r="M418" s="625"/>
      <c r="N418" s="625"/>
      <c r="O418" s="626"/>
      <c r="P418" s="615"/>
      <c r="Q418" s="616"/>
      <c r="R418" s="628"/>
      <c r="S418" s="629"/>
      <c r="T418" s="629"/>
      <c r="U418" s="629"/>
      <c r="V418" s="629"/>
      <c r="W418" s="629"/>
      <c r="X418" s="629"/>
      <c r="Y418" s="619"/>
      <c r="Z418" s="630"/>
      <c r="AA418" s="631"/>
      <c r="AB418" s="631"/>
      <c r="AC418" s="631"/>
      <c r="AD418" s="631"/>
      <c r="AE418" s="631"/>
      <c r="AF418" s="622"/>
      <c r="AG418" s="621"/>
      <c r="AH418" s="621"/>
      <c r="AI418" s="623"/>
    </row>
    <row r="419" spans="1:248" ht="45" customHeight="1" thickBot="1" x14ac:dyDescent="0.3">
      <c r="L419" s="624"/>
      <c r="M419" s="625"/>
      <c r="N419" s="625"/>
      <c r="O419" s="626"/>
      <c r="P419" s="615"/>
      <c r="Q419" s="616"/>
      <c r="R419" s="628"/>
      <c r="S419" s="629"/>
      <c r="T419" s="629"/>
      <c r="U419" s="629"/>
      <c r="V419" s="629"/>
      <c r="W419" s="629"/>
      <c r="X419" s="629"/>
      <c r="Y419" s="619"/>
      <c r="Z419" s="630"/>
      <c r="AA419" s="631"/>
      <c r="AB419" s="631"/>
      <c r="AC419" s="631"/>
      <c r="AD419" s="631"/>
      <c r="AE419" s="631"/>
      <c r="AF419" s="622"/>
      <c r="AG419" s="621"/>
      <c r="AH419" s="621"/>
      <c r="AI419" s="623"/>
    </row>
    <row r="420" spans="1:248" s="35" customFormat="1" ht="45" customHeight="1" thickBot="1" x14ac:dyDescent="0.3">
      <c r="A420" s="188"/>
      <c r="B420" s="41"/>
      <c r="C420" s="57"/>
      <c r="D420" s="57"/>
      <c r="E420" s="41"/>
      <c r="F420" s="83"/>
      <c r="G420" s="83"/>
      <c r="H420" s="83"/>
      <c r="I420" s="111"/>
      <c r="J420" s="108"/>
      <c r="K420" s="237"/>
      <c r="L420" s="624"/>
      <c r="M420" s="625"/>
      <c r="N420" s="625"/>
      <c r="O420" s="626"/>
      <c r="P420" s="615"/>
      <c r="Q420" s="616"/>
      <c r="R420" s="628"/>
      <c r="S420" s="629"/>
      <c r="T420" s="629"/>
      <c r="U420" s="629"/>
      <c r="V420" s="629"/>
      <c r="W420" s="629"/>
      <c r="X420" s="629"/>
      <c r="Y420" s="619"/>
      <c r="Z420" s="630"/>
      <c r="AA420" s="631"/>
      <c r="AB420" s="631"/>
      <c r="AC420" s="631"/>
      <c r="AD420" s="631"/>
      <c r="AE420" s="631"/>
      <c r="AF420" s="622"/>
      <c r="AG420" s="621"/>
      <c r="AH420" s="621"/>
      <c r="AI420" s="623"/>
      <c r="AJ420" s="401"/>
      <c r="AK420" s="437"/>
      <c r="AL420" s="425"/>
      <c r="AM420" s="426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</row>
    <row r="421" spans="1:248" ht="45" customHeight="1" thickBot="1" x14ac:dyDescent="0.3">
      <c r="L421" s="624"/>
      <c r="M421" s="625"/>
      <c r="N421" s="625"/>
      <c r="O421" s="626"/>
      <c r="P421" s="615"/>
      <c r="Q421" s="616"/>
      <c r="R421" s="628"/>
      <c r="S421" s="629"/>
      <c r="T421" s="629"/>
      <c r="U421" s="629"/>
      <c r="V421" s="629"/>
      <c r="W421" s="629"/>
      <c r="X421" s="629"/>
      <c r="Y421" s="619"/>
      <c r="Z421" s="630"/>
      <c r="AA421" s="631"/>
      <c r="AB421" s="631"/>
      <c r="AC421" s="631"/>
      <c r="AD421" s="631"/>
      <c r="AE421" s="631"/>
      <c r="AF421" s="622"/>
      <c r="AG421" s="621"/>
      <c r="AH421" s="621"/>
      <c r="AI421" s="623"/>
    </row>
    <row r="422" spans="1:248" s="35" customFormat="1" ht="45" customHeight="1" thickBot="1" x14ac:dyDescent="0.3">
      <c r="A422" s="188"/>
      <c r="B422" s="41"/>
      <c r="C422" s="57"/>
      <c r="D422" s="57"/>
      <c r="E422" s="41"/>
      <c r="F422" s="83"/>
      <c r="G422" s="83"/>
      <c r="H422" s="83"/>
      <c r="I422" s="111"/>
      <c r="J422" s="108"/>
      <c r="K422" s="237"/>
      <c r="L422" s="624"/>
      <c r="M422" s="625"/>
      <c r="N422" s="625"/>
      <c r="O422" s="626"/>
      <c r="P422" s="615"/>
      <c r="Q422" s="616"/>
      <c r="R422" s="628"/>
      <c r="S422" s="629"/>
      <c r="T422" s="629"/>
      <c r="U422" s="629"/>
      <c r="V422" s="629"/>
      <c r="W422" s="629"/>
      <c r="X422" s="629"/>
      <c r="Y422" s="619"/>
      <c r="Z422" s="630"/>
      <c r="AA422" s="631"/>
      <c r="AB422" s="631"/>
      <c r="AC422" s="631"/>
      <c r="AD422" s="631"/>
      <c r="AE422" s="631"/>
      <c r="AF422" s="622"/>
      <c r="AG422" s="621"/>
      <c r="AH422" s="621"/>
      <c r="AI422" s="623"/>
      <c r="AJ422" s="401"/>
      <c r="AK422" s="437"/>
      <c r="AL422" s="425"/>
      <c r="AM422" s="426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</row>
    <row r="423" spans="1:248" s="35" customFormat="1" ht="45" customHeight="1" thickBot="1" x14ac:dyDescent="0.3">
      <c r="A423" s="188"/>
      <c r="B423" s="41"/>
      <c r="C423" s="57"/>
      <c r="D423" s="57"/>
      <c r="E423" s="41"/>
      <c r="F423" s="83"/>
      <c r="G423" s="83"/>
      <c r="H423" s="83"/>
      <c r="I423" s="111"/>
      <c r="J423" s="108"/>
      <c r="K423" s="237"/>
      <c r="L423" s="624"/>
      <c r="M423" s="625"/>
      <c r="N423" s="625"/>
      <c r="O423" s="626"/>
      <c r="P423" s="615"/>
      <c r="Q423" s="616"/>
      <c r="R423" s="628"/>
      <c r="S423" s="629"/>
      <c r="T423" s="629"/>
      <c r="U423" s="629"/>
      <c r="V423" s="629"/>
      <c r="W423" s="629"/>
      <c r="X423" s="629"/>
      <c r="Y423" s="619"/>
      <c r="Z423" s="630"/>
      <c r="AA423" s="631"/>
      <c r="AB423" s="631"/>
      <c r="AC423" s="631"/>
      <c r="AD423" s="631"/>
      <c r="AE423" s="631"/>
      <c r="AF423" s="622"/>
      <c r="AG423" s="621"/>
      <c r="AH423" s="621"/>
      <c r="AI423" s="623"/>
      <c r="AJ423" s="401"/>
      <c r="AK423" s="437"/>
      <c r="AL423" s="425"/>
      <c r="AM423" s="426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</row>
    <row r="424" spans="1:248" s="35" customFormat="1" ht="45" customHeight="1" thickBot="1" x14ac:dyDescent="0.3">
      <c r="A424" s="188"/>
      <c r="B424" s="41"/>
      <c r="C424" s="57"/>
      <c r="D424" s="57"/>
      <c r="E424" s="41"/>
      <c r="F424" s="83"/>
      <c r="G424" s="83"/>
      <c r="H424" s="83"/>
      <c r="I424" s="111"/>
      <c r="J424" s="108"/>
      <c r="K424" s="237"/>
      <c r="L424" s="624"/>
      <c r="M424" s="625"/>
      <c r="N424" s="625"/>
      <c r="O424" s="626"/>
      <c r="P424" s="615"/>
      <c r="Q424" s="616"/>
      <c r="R424" s="628"/>
      <c r="S424" s="629"/>
      <c r="T424" s="629"/>
      <c r="U424" s="629"/>
      <c r="V424" s="629"/>
      <c r="W424" s="629"/>
      <c r="X424" s="629"/>
      <c r="Y424" s="619"/>
      <c r="Z424" s="630"/>
      <c r="AA424" s="631"/>
      <c r="AB424" s="631"/>
      <c r="AC424" s="631"/>
      <c r="AD424" s="631"/>
      <c r="AE424" s="631"/>
      <c r="AF424" s="622"/>
      <c r="AG424" s="621"/>
      <c r="AH424" s="621"/>
      <c r="AI424" s="623"/>
      <c r="AJ424" s="401"/>
      <c r="AK424" s="437"/>
      <c r="AL424" s="425"/>
      <c r="AM424" s="426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</row>
    <row r="425" spans="1:248" s="35" customFormat="1" ht="45" customHeight="1" thickBot="1" x14ac:dyDescent="0.3">
      <c r="A425" s="439"/>
      <c r="B425" s="118"/>
      <c r="C425" s="57"/>
      <c r="D425" s="57"/>
      <c r="E425" s="41"/>
      <c r="F425" s="83"/>
      <c r="G425" s="83"/>
      <c r="H425" s="83"/>
      <c r="I425" s="111"/>
      <c r="J425" s="108"/>
      <c r="K425" s="237"/>
      <c r="L425" s="624"/>
      <c r="M425" s="625"/>
      <c r="N425" s="625"/>
      <c r="O425" s="626"/>
      <c r="P425" s="615"/>
      <c r="Q425" s="616"/>
      <c r="R425" s="628"/>
      <c r="S425" s="629"/>
      <c r="T425" s="629"/>
      <c r="U425" s="629"/>
      <c r="V425" s="629"/>
      <c r="W425" s="629"/>
      <c r="X425" s="629"/>
      <c r="Y425" s="619"/>
      <c r="Z425" s="630"/>
      <c r="AA425" s="631"/>
      <c r="AB425" s="631"/>
      <c r="AC425" s="631"/>
      <c r="AD425" s="631"/>
      <c r="AE425" s="631"/>
      <c r="AF425" s="622"/>
      <c r="AG425" s="621"/>
      <c r="AH425" s="621"/>
      <c r="AI425" s="623"/>
      <c r="AJ425" s="401"/>
      <c r="AK425" s="437"/>
      <c r="AL425" s="425"/>
      <c r="AM425" s="426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</row>
    <row r="426" spans="1:248" ht="45" customHeight="1" thickBot="1" x14ac:dyDescent="0.3">
      <c r="A426" s="439"/>
      <c r="B426" s="118"/>
      <c r="L426" s="624"/>
      <c r="M426" s="625"/>
      <c r="N426" s="625"/>
      <c r="O426" s="626"/>
      <c r="P426" s="615"/>
      <c r="Q426" s="616"/>
      <c r="R426" s="628"/>
      <c r="S426" s="629"/>
      <c r="T426" s="629"/>
      <c r="U426" s="629"/>
      <c r="V426" s="629"/>
      <c r="W426" s="629"/>
      <c r="X426" s="629"/>
      <c r="Y426" s="619"/>
      <c r="Z426" s="630"/>
      <c r="AA426" s="631"/>
      <c r="AB426" s="631"/>
      <c r="AC426" s="631"/>
      <c r="AD426" s="631"/>
      <c r="AE426" s="631"/>
      <c r="AF426" s="622"/>
      <c r="AG426" s="621"/>
      <c r="AH426" s="621"/>
      <c r="AI426" s="623"/>
    </row>
    <row r="427" spans="1:248" ht="45" customHeight="1" thickBot="1" x14ac:dyDescent="0.3">
      <c r="A427" s="439"/>
      <c r="B427" s="118"/>
      <c r="L427" s="624"/>
      <c r="M427" s="625"/>
      <c r="N427" s="625"/>
      <c r="O427" s="626"/>
      <c r="P427" s="615"/>
      <c r="Q427" s="616"/>
      <c r="R427" s="628"/>
      <c r="S427" s="629"/>
      <c r="T427" s="629"/>
      <c r="U427" s="629"/>
      <c r="V427" s="629"/>
      <c r="W427" s="629"/>
      <c r="X427" s="629"/>
      <c r="Y427" s="619"/>
      <c r="Z427" s="630"/>
      <c r="AA427" s="631"/>
      <c r="AB427" s="631"/>
      <c r="AC427" s="631"/>
      <c r="AD427" s="631"/>
      <c r="AE427" s="631"/>
      <c r="AF427" s="622"/>
      <c r="AG427" s="621"/>
      <c r="AH427" s="621"/>
      <c r="AI427" s="623"/>
    </row>
    <row r="428" spans="1:248" ht="45" customHeight="1" thickBot="1" x14ac:dyDescent="0.3">
      <c r="A428" s="439"/>
      <c r="B428" s="118"/>
      <c r="L428" s="624"/>
      <c r="M428" s="625"/>
      <c r="N428" s="625"/>
      <c r="O428" s="626"/>
      <c r="P428" s="615"/>
      <c r="Q428" s="616"/>
      <c r="R428" s="628"/>
      <c r="S428" s="629"/>
      <c r="T428" s="629"/>
      <c r="U428" s="629"/>
      <c r="V428" s="629"/>
      <c r="W428" s="629"/>
      <c r="X428" s="629"/>
      <c r="Y428" s="619"/>
      <c r="Z428" s="630"/>
      <c r="AA428" s="631"/>
      <c r="AB428" s="631"/>
      <c r="AC428" s="631"/>
      <c r="AD428" s="631"/>
      <c r="AE428" s="631"/>
      <c r="AF428" s="622"/>
      <c r="AG428" s="621"/>
      <c r="AH428" s="621"/>
      <c r="AI428" s="623"/>
    </row>
    <row r="429" spans="1:248" ht="45" customHeight="1" thickBot="1" x14ac:dyDescent="0.3">
      <c r="L429" s="624"/>
      <c r="M429" s="625"/>
      <c r="N429" s="625"/>
      <c r="O429" s="626"/>
      <c r="P429" s="615"/>
      <c r="Q429" s="616"/>
      <c r="R429" s="628"/>
      <c r="S429" s="629"/>
      <c r="T429" s="629"/>
      <c r="U429" s="629"/>
      <c r="V429" s="629"/>
      <c r="W429" s="629"/>
      <c r="X429" s="629"/>
      <c r="Y429" s="619"/>
      <c r="Z429" s="630"/>
      <c r="AA429" s="631"/>
      <c r="AB429" s="631"/>
      <c r="AC429" s="631"/>
      <c r="AD429" s="631"/>
      <c r="AE429" s="631"/>
      <c r="AF429" s="622"/>
      <c r="AG429" s="621"/>
      <c r="AH429" s="621"/>
      <c r="AI429" s="623"/>
    </row>
    <row r="430" spans="1:248" ht="45" customHeight="1" thickBot="1" x14ac:dyDescent="0.3">
      <c r="L430" s="624"/>
      <c r="M430" s="625"/>
      <c r="N430" s="625"/>
      <c r="O430" s="626"/>
      <c r="P430" s="615"/>
      <c r="Q430" s="616"/>
      <c r="R430" s="628"/>
      <c r="S430" s="629"/>
      <c r="T430" s="629"/>
      <c r="U430" s="629"/>
      <c r="V430" s="629"/>
      <c r="W430" s="629"/>
      <c r="X430" s="629"/>
      <c r="Y430" s="619"/>
      <c r="Z430" s="630"/>
      <c r="AA430" s="631"/>
      <c r="AB430" s="631"/>
      <c r="AC430" s="631"/>
      <c r="AD430" s="631"/>
      <c r="AE430" s="631"/>
      <c r="AF430" s="622"/>
      <c r="AG430" s="621"/>
      <c r="AH430" s="621"/>
      <c r="AI430" s="623"/>
    </row>
    <row r="431" spans="1:248" ht="45" customHeight="1" thickBot="1" x14ac:dyDescent="0.3">
      <c r="L431" s="624"/>
      <c r="M431" s="625"/>
      <c r="N431" s="625"/>
      <c r="O431" s="626"/>
      <c r="P431" s="615"/>
      <c r="Q431" s="616"/>
      <c r="R431" s="628"/>
      <c r="S431" s="629"/>
      <c r="T431" s="629"/>
      <c r="U431" s="629"/>
      <c r="V431" s="629"/>
      <c r="W431" s="629"/>
      <c r="X431" s="629"/>
      <c r="Y431" s="619"/>
      <c r="Z431" s="630"/>
      <c r="AA431" s="631"/>
      <c r="AB431" s="631"/>
      <c r="AC431" s="631"/>
      <c r="AD431" s="631"/>
      <c r="AE431" s="631"/>
      <c r="AF431" s="622"/>
      <c r="AG431" s="621"/>
      <c r="AH431" s="621"/>
      <c r="AI431" s="623"/>
    </row>
    <row r="432" spans="1:248" ht="45" customHeight="1" thickBot="1" x14ac:dyDescent="0.3">
      <c r="L432" s="624"/>
      <c r="M432" s="625"/>
      <c r="N432" s="625"/>
      <c r="O432" s="626"/>
      <c r="P432" s="615"/>
      <c r="Q432" s="616"/>
      <c r="R432" s="628"/>
      <c r="S432" s="629"/>
      <c r="T432" s="629"/>
      <c r="U432" s="629"/>
      <c r="V432" s="629"/>
      <c r="W432" s="629"/>
      <c r="X432" s="629"/>
      <c r="Y432" s="619"/>
      <c r="Z432" s="630"/>
      <c r="AA432" s="631"/>
      <c r="AB432" s="631"/>
      <c r="AC432" s="631"/>
      <c r="AD432" s="631"/>
      <c r="AE432" s="631"/>
      <c r="AF432" s="622"/>
      <c r="AG432" s="621"/>
      <c r="AH432" s="621"/>
      <c r="AI432" s="623"/>
    </row>
    <row r="433" spans="1:248" s="35" customFormat="1" ht="45" customHeight="1" thickBot="1" x14ac:dyDescent="0.3">
      <c r="A433" s="188"/>
      <c r="B433" s="41"/>
      <c r="C433" s="57"/>
      <c r="D433" s="57"/>
      <c r="E433" s="41"/>
      <c r="F433" s="83"/>
      <c r="G433" s="83"/>
      <c r="H433" s="83"/>
      <c r="I433" s="111"/>
      <c r="J433" s="108"/>
      <c r="K433" s="237"/>
      <c r="L433" s="624"/>
      <c r="M433" s="625"/>
      <c r="N433" s="625"/>
      <c r="O433" s="626"/>
      <c r="P433" s="615"/>
      <c r="Q433" s="616"/>
      <c r="R433" s="628"/>
      <c r="S433" s="629"/>
      <c r="T433" s="629"/>
      <c r="U433" s="629"/>
      <c r="V433" s="629"/>
      <c r="W433" s="629"/>
      <c r="X433" s="629"/>
      <c r="Y433" s="619"/>
      <c r="Z433" s="630"/>
      <c r="AA433" s="631"/>
      <c r="AB433" s="631"/>
      <c r="AC433" s="631"/>
      <c r="AD433" s="631"/>
      <c r="AE433" s="631"/>
      <c r="AF433" s="622"/>
      <c r="AG433" s="621"/>
      <c r="AH433" s="621"/>
      <c r="AI433" s="623"/>
      <c r="AJ433" s="401"/>
      <c r="AK433" s="437"/>
      <c r="AL433" s="425"/>
      <c r="AM433" s="426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</row>
    <row r="434" spans="1:248" ht="45" customHeight="1" thickBot="1" x14ac:dyDescent="0.3">
      <c r="L434" s="624"/>
      <c r="M434" s="625"/>
      <c r="N434" s="625"/>
      <c r="O434" s="626"/>
      <c r="P434" s="615"/>
      <c r="Q434" s="616"/>
      <c r="R434" s="628"/>
      <c r="S434" s="629"/>
      <c r="T434" s="629"/>
      <c r="U434" s="629"/>
      <c r="V434" s="629"/>
      <c r="W434" s="629"/>
      <c r="X434" s="629"/>
      <c r="Y434" s="619"/>
      <c r="Z434" s="630"/>
      <c r="AA434" s="631"/>
      <c r="AB434" s="631"/>
      <c r="AC434" s="631"/>
      <c r="AD434" s="631"/>
      <c r="AE434" s="631"/>
      <c r="AF434" s="622"/>
      <c r="AG434" s="621"/>
      <c r="AH434" s="621"/>
      <c r="AI434" s="623"/>
    </row>
    <row r="435" spans="1:248" ht="45" customHeight="1" thickBot="1" x14ac:dyDescent="0.3">
      <c r="L435" s="624"/>
      <c r="M435" s="625"/>
      <c r="N435" s="625"/>
      <c r="O435" s="626"/>
      <c r="P435" s="615"/>
      <c r="Q435" s="616"/>
      <c r="R435" s="628"/>
      <c r="S435" s="629"/>
      <c r="T435" s="629"/>
      <c r="U435" s="629"/>
      <c r="V435" s="629"/>
      <c r="W435" s="629"/>
      <c r="X435" s="629"/>
      <c r="Y435" s="619"/>
      <c r="Z435" s="630"/>
      <c r="AA435" s="631"/>
      <c r="AB435" s="631"/>
      <c r="AC435" s="631"/>
      <c r="AD435" s="631"/>
      <c r="AE435" s="631"/>
      <c r="AF435" s="622"/>
      <c r="AG435" s="621"/>
      <c r="AH435" s="621"/>
      <c r="AI435" s="623"/>
    </row>
    <row r="436" spans="1:248" s="35" customFormat="1" ht="45" customHeight="1" thickBot="1" x14ac:dyDescent="0.3">
      <c r="A436" s="188"/>
      <c r="B436" s="41"/>
      <c r="C436" s="57"/>
      <c r="D436" s="57"/>
      <c r="E436" s="41"/>
      <c r="F436" s="83"/>
      <c r="G436" s="83"/>
      <c r="H436" s="83"/>
      <c r="I436" s="111"/>
      <c r="J436" s="108"/>
      <c r="K436" s="237"/>
      <c r="L436" s="624"/>
      <c r="M436" s="625"/>
      <c r="N436" s="625"/>
      <c r="O436" s="626"/>
      <c r="P436" s="615"/>
      <c r="Q436" s="616"/>
      <c r="R436" s="628"/>
      <c r="S436" s="629"/>
      <c r="T436" s="629"/>
      <c r="U436" s="629"/>
      <c r="V436" s="629"/>
      <c r="W436" s="629"/>
      <c r="X436" s="629"/>
      <c r="Y436" s="619"/>
      <c r="Z436" s="630"/>
      <c r="AA436" s="631"/>
      <c r="AB436" s="631"/>
      <c r="AC436" s="631"/>
      <c r="AD436" s="631"/>
      <c r="AE436" s="631"/>
      <c r="AF436" s="622"/>
      <c r="AG436" s="621"/>
      <c r="AH436" s="621"/>
      <c r="AI436" s="623"/>
      <c r="AJ436" s="401"/>
      <c r="AK436" s="437"/>
      <c r="AL436" s="425"/>
      <c r="AM436" s="426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</row>
    <row r="437" spans="1:248" ht="45" customHeight="1" thickBot="1" x14ac:dyDescent="0.3">
      <c r="L437" s="624"/>
      <c r="M437" s="625"/>
      <c r="N437" s="625"/>
      <c r="O437" s="626"/>
      <c r="P437" s="615"/>
      <c r="Q437" s="616"/>
      <c r="R437" s="628"/>
      <c r="S437" s="629"/>
      <c r="T437" s="629"/>
      <c r="U437" s="629"/>
      <c r="V437" s="629"/>
      <c r="W437" s="629"/>
      <c r="X437" s="629"/>
      <c r="Y437" s="619"/>
      <c r="Z437" s="630"/>
      <c r="AA437" s="631"/>
      <c r="AB437" s="631"/>
      <c r="AC437" s="631"/>
      <c r="AD437" s="631"/>
      <c r="AE437" s="631"/>
      <c r="AF437" s="622"/>
      <c r="AG437" s="621"/>
      <c r="AH437" s="621"/>
      <c r="AI437" s="623"/>
    </row>
    <row r="438" spans="1:248" ht="45" customHeight="1" thickBot="1" x14ac:dyDescent="0.3">
      <c r="L438" s="624"/>
      <c r="M438" s="625"/>
      <c r="N438" s="625"/>
      <c r="O438" s="626"/>
      <c r="P438" s="615"/>
      <c r="Q438" s="616"/>
      <c r="R438" s="628"/>
      <c r="S438" s="629"/>
      <c r="T438" s="629"/>
      <c r="U438" s="629"/>
      <c r="V438" s="629"/>
      <c r="W438" s="629"/>
      <c r="X438" s="629"/>
      <c r="Y438" s="619"/>
      <c r="Z438" s="630"/>
      <c r="AA438" s="631"/>
      <c r="AB438" s="631"/>
      <c r="AC438" s="631"/>
      <c r="AD438" s="631"/>
      <c r="AE438" s="631"/>
      <c r="AF438" s="622"/>
      <c r="AG438" s="621"/>
      <c r="AH438" s="621"/>
      <c r="AI438" s="623"/>
    </row>
    <row r="439" spans="1:248" ht="45" customHeight="1" thickBot="1" x14ac:dyDescent="0.3">
      <c r="L439" s="624"/>
      <c r="M439" s="625"/>
      <c r="N439" s="625"/>
      <c r="O439" s="626"/>
      <c r="P439" s="615"/>
      <c r="Q439" s="616"/>
      <c r="R439" s="628"/>
      <c r="S439" s="629"/>
      <c r="T439" s="629"/>
      <c r="U439" s="629"/>
      <c r="V439" s="629"/>
      <c r="W439" s="629"/>
      <c r="X439" s="629"/>
      <c r="Y439" s="619"/>
      <c r="Z439" s="630"/>
      <c r="AA439" s="631"/>
      <c r="AB439" s="631"/>
      <c r="AC439" s="631"/>
      <c r="AD439" s="631"/>
      <c r="AE439" s="631"/>
      <c r="AF439" s="622"/>
      <c r="AG439" s="621"/>
      <c r="AH439" s="621"/>
      <c r="AI439" s="623"/>
    </row>
    <row r="440" spans="1:248" ht="45" customHeight="1" thickBot="1" x14ac:dyDescent="0.3">
      <c r="L440" s="624"/>
      <c r="M440" s="625"/>
      <c r="N440" s="625"/>
      <c r="O440" s="626"/>
      <c r="P440" s="615"/>
      <c r="Q440" s="616"/>
      <c r="R440" s="628"/>
      <c r="S440" s="629"/>
      <c r="T440" s="629"/>
      <c r="U440" s="629"/>
      <c r="V440" s="629"/>
      <c r="W440" s="629"/>
      <c r="X440" s="629"/>
      <c r="Y440" s="619"/>
      <c r="Z440" s="630"/>
      <c r="AA440" s="631"/>
      <c r="AB440" s="631"/>
      <c r="AC440" s="631"/>
      <c r="AD440" s="631"/>
      <c r="AE440" s="631"/>
      <c r="AF440" s="622"/>
      <c r="AG440" s="621"/>
      <c r="AH440" s="621"/>
      <c r="AI440" s="623"/>
    </row>
    <row r="441" spans="1:248" ht="45" customHeight="1" thickBot="1" x14ac:dyDescent="0.3">
      <c r="L441" s="624"/>
      <c r="M441" s="625"/>
      <c r="N441" s="625"/>
      <c r="O441" s="626"/>
      <c r="P441" s="615"/>
      <c r="Q441" s="616"/>
      <c r="R441" s="628"/>
      <c r="S441" s="629"/>
      <c r="T441" s="629"/>
      <c r="U441" s="629"/>
      <c r="V441" s="629"/>
      <c r="W441" s="629"/>
      <c r="X441" s="629"/>
      <c r="Y441" s="619"/>
      <c r="Z441" s="630"/>
      <c r="AA441" s="631"/>
      <c r="AB441" s="631"/>
      <c r="AC441" s="631"/>
      <c r="AD441" s="631"/>
      <c r="AE441" s="631"/>
      <c r="AF441" s="622"/>
      <c r="AG441" s="621"/>
      <c r="AH441" s="621"/>
      <c r="AI441" s="623"/>
    </row>
    <row r="442" spans="1:248" ht="45" customHeight="1" thickBot="1" x14ac:dyDescent="0.3">
      <c r="L442" s="624"/>
      <c r="M442" s="625"/>
      <c r="N442" s="625"/>
      <c r="O442" s="626"/>
      <c r="P442" s="615"/>
      <c r="Q442" s="616"/>
      <c r="R442" s="628"/>
      <c r="S442" s="629"/>
      <c r="T442" s="629"/>
      <c r="U442" s="629"/>
      <c r="V442" s="629"/>
      <c r="W442" s="629"/>
      <c r="X442" s="629"/>
      <c r="Y442" s="619"/>
      <c r="Z442" s="630"/>
      <c r="AA442" s="631"/>
      <c r="AB442" s="631"/>
      <c r="AC442" s="631"/>
      <c r="AD442" s="631"/>
      <c r="AE442" s="631"/>
      <c r="AF442" s="622"/>
      <c r="AG442" s="621"/>
      <c r="AH442" s="621"/>
      <c r="AI442" s="623"/>
    </row>
    <row r="443" spans="1:248" ht="45" customHeight="1" thickBot="1" x14ac:dyDescent="0.3">
      <c r="L443" s="624"/>
      <c r="M443" s="625"/>
      <c r="N443" s="625"/>
      <c r="O443" s="626"/>
      <c r="P443" s="615"/>
      <c r="Q443" s="616"/>
      <c r="R443" s="628"/>
      <c r="S443" s="629"/>
      <c r="T443" s="629"/>
      <c r="U443" s="629"/>
      <c r="V443" s="629"/>
      <c r="W443" s="629"/>
      <c r="X443" s="629"/>
      <c r="Y443" s="619"/>
      <c r="Z443" s="630"/>
      <c r="AA443" s="631"/>
      <c r="AB443" s="631"/>
      <c r="AC443" s="631"/>
      <c r="AD443" s="631"/>
      <c r="AE443" s="631"/>
      <c r="AF443" s="622"/>
      <c r="AG443" s="621"/>
      <c r="AH443" s="621"/>
      <c r="AI443" s="623"/>
    </row>
    <row r="444" spans="1:248" ht="45" customHeight="1" thickBot="1" x14ac:dyDescent="0.3">
      <c r="L444" s="645"/>
      <c r="M444" s="616"/>
      <c r="N444" s="616"/>
      <c r="O444" s="616"/>
      <c r="P444" s="615"/>
      <c r="Q444" s="616"/>
      <c r="R444" s="628"/>
      <c r="S444" s="629"/>
      <c r="T444" s="629"/>
      <c r="U444" s="629"/>
      <c r="V444" s="629"/>
      <c r="W444" s="629"/>
      <c r="X444" s="629"/>
      <c r="Y444" s="619"/>
      <c r="Z444" s="630"/>
      <c r="AA444" s="631"/>
      <c r="AB444" s="631"/>
      <c r="AC444" s="631"/>
      <c r="AD444" s="631"/>
      <c r="AE444" s="631"/>
      <c r="AF444" s="622"/>
      <c r="AG444" s="621"/>
      <c r="AH444" s="621"/>
      <c r="AI444" s="623"/>
    </row>
    <row r="445" spans="1:248" ht="45" customHeight="1" thickBot="1" x14ac:dyDescent="0.3">
      <c r="L445" s="645"/>
      <c r="M445" s="616"/>
      <c r="N445" s="616"/>
      <c r="O445" s="616"/>
      <c r="P445" s="615"/>
      <c r="Q445" s="616"/>
      <c r="R445" s="628"/>
      <c r="S445" s="629"/>
      <c r="T445" s="629"/>
      <c r="U445" s="629"/>
      <c r="V445" s="629"/>
      <c r="W445" s="629"/>
      <c r="X445" s="629"/>
      <c r="Y445" s="619"/>
      <c r="Z445" s="630"/>
      <c r="AA445" s="631"/>
      <c r="AB445" s="631"/>
      <c r="AC445" s="631"/>
      <c r="AD445" s="631"/>
      <c r="AE445" s="631"/>
      <c r="AF445" s="622"/>
      <c r="AG445" s="621"/>
      <c r="AH445" s="621"/>
      <c r="AI445" s="623"/>
    </row>
    <row r="446" spans="1:248" ht="45" customHeight="1" thickBot="1" x14ac:dyDescent="0.3">
      <c r="L446" s="624"/>
      <c r="M446" s="625"/>
      <c r="N446" s="625"/>
      <c r="O446" s="626"/>
      <c r="P446" s="615"/>
      <c r="Q446" s="616"/>
      <c r="R446" s="628"/>
      <c r="S446" s="629"/>
      <c r="T446" s="629"/>
      <c r="U446" s="629"/>
      <c r="V446" s="629"/>
      <c r="W446" s="629"/>
      <c r="X446" s="629"/>
      <c r="Y446" s="619"/>
      <c r="Z446" s="630"/>
      <c r="AA446" s="631"/>
      <c r="AB446" s="631"/>
      <c r="AC446" s="631"/>
      <c r="AD446" s="631"/>
      <c r="AE446" s="631"/>
      <c r="AF446" s="622"/>
      <c r="AG446" s="621"/>
      <c r="AH446" s="621"/>
      <c r="AI446" s="623"/>
    </row>
    <row r="447" spans="1:248" ht="45" customHeight="1" thickBot="1" x14ac:dyDescent="0.3">
      <c r="L447" s="624"/>
      <c r="M447" s="625"/>
      <c r="N447" s="625"/>
      <c r="O447" s="626"/>
      <c r="P447" s="615"/>
      <c r="Q447" s="616"/>
      <c r="R447" s="628"/>
      <c r="S447" s="629"/>
      <c r="T447" s="629"/>
      <c r="U447" s="629"/>
      <c r="V447" s="629"/>
      <c r="W447" s="629"/>
      <c r="X447" s="629"/>
      <c r="Y447" s="619"/>
      <c r="Z447" s="630"/>
      <c r="AA447" s="631"/>
      <c r="AB447" s="631"/>
      <c r="AC447" s="631"/>
      <c r="AD447" s="631"/>
      <c r="AE447" s="631"/>
      <c r="AF447" s="622"/>
      <c r="AG447" s="621"/>
      <c r="AH447" s="621"/>
      <c r="AI447" s="623"/>
    </row>
    <row r="448" spans="1:248" ht="45" customHeight="1" thickBot="1" x14ac:dyDescent="0.3">
      <c r="L448" s="624"/>
      <c r="M448" s="625"/>
      <c r="N448" s="625"/>
      <c r="O448" s="626"/>
      <c r="P448" s="615"/>
      <c r="Q448" s="616"/>
      <c r="R448" s="628"/>
      <c r="S448" s="629"/>
      <c r="T448" s="629"/>
      <c r="U448" s="629"/>
      <c r="V448" s="629"/>
      <c r="W448" s="629"/>
      <c r="X448" s="629"/>
      <c r="Y448" s="619"/>
      <c r="Z448" s="630"/>
      <c r="AA448" s="631"/>
      <c r="AB448" s="631"/>
      <c r="AC448" s="631"/>
      <c r="AD448" s="631"/>
      <c r="AE448" s="631"/>
      <c r="AF448" s="622"/>
      <c r="AG448" s="621"/>
      <c r="AH448" s="621"/>
      <c r="AI448" s="623"/>
    </row>
    <row r="449" spans="12:35" ht="45" customHeight="1" thickBot="1" x14ac:dyDescent="0.3">
      <c r="L449" s="624"/>
      <c r="M449" s="625"/>
      <c r="N449" s="625"/>
      <c r="O449" s="626"/>
      <c r="P449" s="615"/>
      <c r="Q449" s="616"/>
      <c r="R449" s="628"/>
      <c r="S449" s="629"/>
      <c r="T449" s="629"/>
      <c r="U449" s="629"/>
      <c r="V449" s="629"/>
      <c r="W449" s="629"/>
      <c r="X449" s="629"/>
      <c r="Y449" s="619"/>
      <c r="Z449" s="630"/>
      <c r="AA449" s="631"/>
      <c r="AB449" s="631"/>
      <c r="AC449" s="631"/>
      <c r="AD449" s="631"/>
      <c r="AE449" s="631"/>
      <c r="AF449" s="622"/>
      <c r="AG449" s="621"/>
      <c r="AH449" s="621"/>
      <c r="AI449" s="623"/>
    </row>
    <row r="450" spans="12:35" ht="45" customHeight="1" thickBot="1" x14ac:dyDescent="0.3">
      <c r="L450" s="624"/>
      <c r="M450" s="625"/>
      <c r="N450" s="625"/>
      <c r="O450" s="626"/>
      <c r="P450" s="615"/>
      <c r="Q450" s="616"/>
      <c r="R450" s="628"/>
      <c r="S450" s="629"/>
      <c r="T450" s="629"/>
      <c r="U450" s="629"/>
      <c r="V450" s="629"/>
      <c r="W450" s="629"/>
      <c r="X450" s="629"/>
      <c r="Y450" s="619"/>
      <c r="Z450" s="630"/>
      <c r="AA450" s="631"/>
      <c r="AB450" s="631"/>
      <c r="AC450" s="631"/>
      <c r="AD450" s="631"/>
      <c r="AE450" s="631"/>
      <c r="AF450" s="622"/>
      <c r="AG450" s="621"/>
      <c r="AH450" s="621"/>
      <c r="AI450" s="623"/>
    </row>
    <row r="451" spans="12:35" ht="45" customHeight="1" thickBot="1" x14ac:dyDescent="0.3">
      <c r="L451" s="624"/>
      <c r="M451" s="625"/>
      <c r="N451" s="625"/>
      <c r="O451" s="626"/>
      <c r="P451" s="615"/>
      <c r="Q451" s="616"/>
      <c r="R451" s="628"/>
      <c r="S451" s="629"/>
      <c r="T451" s="629"/>
      <c r="U451" s="629"/>
      <c r="V451" s="629"/>
      <c r="W451" s="629"/>
      <c r="X451" s="629"/>
      <c r="Y451" s="619"/>
      <c r="Z451" s="630"/>
      <c r="AA451" s="631"/>
      <c r="AB451" s="631"/>
      <c r="AC451" s="631"/>
      <c r="AD451" s="631"/>
      <c r="AE451" s="631"/>
      <c r="AF451" s="622"/>
      <c r="AG451" s="621"/>
      <c r="AH451" s="621"/>
      <c r="AI451" s="623"/>
    </row>
    <row r="452" spans="12:35" ht="45" customHeight="1" thickBot="1" x14ac:dyDescent="0.25">
      <c r="L452" s="624"/>
      <c r="M452" s="625"/>
      <c r="N452" s="625"/>
      <c r="O452" s="626"/>
      <c r="P452" s="615"/>
      <c r="Q452" s="616"/>
      <c r="R452" s="646"/>
      <c r="S452" s="615"/>
      <c r="T452" s="615"/>
      <c r="U452" s="615"/>
      <c r="V452" s="615"/>
      <c r="W452" s="615"/>
      <c r="X452" s="615"/>
      <c r="Y452" s="619"/>
      <c r="Z452" s="647"/>
      <c r="AA452" s="648"/>
      <c r="AB452" s="648"/>
      <c r="AC452" s="648"/>
      <c r="AD452" s="648"/>
      <c r="AE452" s="648"/>
      <c r="AF452" s="649"/>
      <c r="AG452" s="650"/>
      <c r="AH452" s="650"/>
      <c r="AI452" s="623"/>
    </row>
    <row r="453" spans="12:35" ht="45" customHeight="1" thickBot="1" x14ac:dyDescent="0.25">
      <c r="L453" s="624"/>
      <c r="M453" s="625"/>
      <c r="N453" s="625"/>
      <c r="O453" s="626"/>
      <c r="P453" s="615"/>
      <c r="Q453" s="616"/>
      <c r="R453" s="646"/>
      <c r="S453" s="615"/>
      <c r="T453" s="615"/>
      <c r="U453" s="615"/>
      <c r="V453" s="615"/>
      <c r="W453" s="615"/>
      <c r="X453" s="615"/>
      <c r="Y453" s="619"/>
      <c r="Z453" s="647"/>
      <c r="AA453" s="648"/>
      <c r="AB453" s="648"/>
      <c r="AC453" s="648"/>
      <c r="AD453" s="648"/>
      <c r="AE453" s="648"/>
      <c r="AF453" s="649"/>
      <c r="AG453" s="650"/>
      <c r="AH453" s="650"/>
      <c r="AI453" s="623"/>
    </row>
    <row r="454" spans="12:35" ht="45" customHeight="1" thickBot="1" x14ac:dyDescent="0.25">
      <c r="L454" s="624"/>
      <c r="M454" s="625"/>
      <c r="N454" s="625"/>
      <c r="O454" s="626"/>
      <c r="P454" s="615"/>
      <c r="Q454" s="616"/>
      <c r="R454" s="646"/>
      <c r="S454" s="615"/>
      <c r="T454" s="615"/>
      <c r="U454" s="615"/>
      <c r="V454" s="615"/>
      <c r="W454" s="615"/>
      <c r="X454" s="615"/>
      <c r="Y454" s="619"/>
      <c r="Z454" s="647"/>
      <c r="AA454" s="648"/>
      <c r="AB454" s="648"/>
      <c r="AC454" s="648"/>
      <c r="AD454" s="648"/>
      <c r="AE454" s="648"/>
      <c r="AF454" s="649"/>
      <c r="AG454" s="650"/>
      <c r="AH454" s="650"/>
      <c r="AI454" s="623"/>
    </row>
    <row r="455" spans="12:35" ht="45" customHeight="1" thickBot="1" x14ac:dyDescent="0.25">
      <c r="L455" s="624"/>
      <c r="M455" s="625"/>
      <c r="N455" s="625"/>
      <c r="O455" s="626"/>
      <c r="P455" s="615"/>
      <c r="Q455" s="616"/>
      <c r="R455" s="646"/>
      <c r="S455" s="615"/>
      <c r="T455" s="615"/>
      <c r="U455" s="615"/>
      <c r="V455" s="615"/>
      <c r="W455" s="615"/>
      <c r="X455" s="615"/>
      <c r="Y455" s="619"/>
      <c r="Z455" s="647"/>
      <c r="AA455" s="648"/>
      <c r="AB455" s="648"/>
      <c r="AC455" s="648"/>
      <c r="AD455" s="648"/>
      <c r="AE455" s="648"/>
      <c r="AF455" s="649"/>
      <c r="AG455" s="650"/>
      <c r="AH455" s="650"/>
      <c r="AI455" s="623"/>
    </row>
    <row r="456" spans="12:35" ht="45" customHeight="1" thickBot="1" x14ac:dyDescent="0.25">
      <c r="L456" s="624"/>
      <c r="M456" s="625"/>
      <c r="N456" s="625"/>
      <c r="O456" s="626"/>
      <c r="P456" s="615"/>
      <c r="Q456" s="616"/>
      <c r="R456" s="646"/>
      <c r="S456" s="615"/>
      <c r="T456" s="615"/>
      <c r="U456" s="615"/>
      <c r="V456" s="615"/>
      <c r="W456" s="615"/>
      <c r="X456" s="615"/>
      <c r="Y456" s="619"/>
      <c r="Z456" s="647"/>
      <c r="AA456" s="648"/>
      <c r="AB456" s="648"/>
      <c r="AC456" s="648"/>
      <c r="AD456" s="648"/>
      <c r="AE456" s="648"/>
      <c r="AF456" s="649"/>
      <c r="AG456" s="650"/>
      <c r="AH456" s="650"/>
      <c r="AI456" s="623"/>
    </row>
    <row r="457" spans="12:35" ht="45" customHeight="1" thickBot="1" x14ac:dyDescent="0.25">
      <c r="L457" s="624"/>
      <c r="M457" s="625"/>
      <c r="N457" s="625"/>
      <c r="O457" s="626"/>
      <c r="P457" s="615"/>
      <c r="Q457" s="616"/>
      <c r="R457" s="646"/>
      <c r="S457" s="615"/>
      <c r="T457" s="615"/>
      <c r="U457" s="615"/>
      <c r="V457" s="615"/>
      <c r="W457" s="615"/>
      <c r="X457" s="615"/>
      <c r="Y457" s="619"/>
      <c r="Z457" s="647"/>
      <c r="AA457" s="648"/>
      <c r="AB457" s="648"/>
      <c r="AC457" s="648"/>
      <c r="AD457" s="648"/>
      <c r="AE457" s="648"/>
      <c r="AF457" s="649"/>
      <c r="AG457" s="650"/>
      <c r="AH457" s="650"/>
      <c r="AI457" s="623"/>
    </row>
    <row r="458" spans="12:35" ht="45" customHeight="1" thickBot="1" x14ac:dyDescent="0.25">
      <c r="L458" s="624"/>
      <c r="M458" s="625"/>
      <c r="N458" s="625"/>
      <c r="O458" s="626"/>
      <c r="P458" s="615"/>
      <c r="Q458" s="616"/>
      <c r="R458" s="646"/>
      <c r="S458" s="615"/>
      <c r="T458" s="615"/>
      <c r="U458" s="615"/>
      <c r="V458" s="615"/>
      <c r="W458" s="615"/>
      <c r="X458" s="615"/>
      <c r="Y458" s="619"/>
      <c r="Z458" s="647"/>
      <c r="AA458" s="648"/>
      <c r="AB458" s="648"/>
      <c r="AC458" s="648"/>
      <c r="AD458" s="648"/>
      <c r="AE458" s="648"/>
      <c r="AF458" s="649"/>
      <c r="AG458" s="650"/>
      <c r="AH458" s="650"/>
      <c r="AI458" s="623"/>
    </row>
    <row r="459" spans="12:35" ht="45" customHeight="1" thickBot="1" x14ac:dyDescent="0.25">
      <c r="L459" s="624"/>
      <c r="M459" s="625"/>
      <c r="N459" s="625"/>
      <c r="O459" s="626"/>
      <c r="P459" s="615"/>
      <c r="Q459" s="616"/>
      <c r="R459" s="646"/>
      <c r="S459" s="615"/>
      <c r="T459" s="615"/>
      <c r="U459" s="615"/>
      <c r="V459" s="615"/>
      <c r="W459" s="615"/>
      <c r="X459" s="615"/>
      <c r="Y459" s="619"/>
      <c r="Z459" s="647"/>
      <c r="AA459" s="648"/>
      <c r="AB459" s="648"/>
      <c r="AC459" s="648"/>
      <c r="AD459" s="648"/>
      <c r="AE459" s="648"/>
      <c r="AF459" s="649"/>
      <c r="AG459" s="650"/>
      <c r="AH459" s="650"/>
      <c r="AI459" s="623"/>
    </row>
    <row r="460" spans="12:35" ht="45" customHeight="1" thickBot="1" x14ac:dyDescent="0.25">
      <c r="L460" s="624"/>
      <c r="M460" s="625"/>
      <c r="N460" s="625"/>
      <c r="O460" s="626"/>
      <c r="P460" s="615"/>
      <c r="Q460" s="616"/>
      <c r="R460" s="646"/>
      <c r="S460" s="615"/>
      <c r="T460" s="615"/>
      <c r="U460" s="615"/>
      <c r="V460" s="615"/>
      <c r="W460" s="615"/>
      <c r="X460" s="615"/>
      <c r="Y460" s="619"/>
      <c r="Z460" s="647"/>
      <c r="AA460" s="648"/>
      <c r="AB460" s="648"/>
      <c r="AC460" s="648"/>
      <c r="AD460" s="648"/>
      <c r="AE460" s="648"/>
      <c r="AF460" s="649"/>
      <c r="AG460" s="650"/>
      <c r="AH460" s="650"/>
      <c r="AI460" s="623"/>
    </row>
    <row r="461" spans="12:35" ht="45" customHeight="1" thickBot="1" x14ac:dyDescent="0.25">
      <c r="L461" s="624"/>
      <c r="M461" s="625"/>
      <c r="N461" s="625"/>
      <c r="O461" s="626"/>
      <c r="P461" s="615"/>
      <c r="Q461" s="616"/>
      <c r="R461" s="646"/>
      <c r="S461" s="615"/>
      <c r="T461" s="615"/>
      <c r="U461" s="615"/>
      <c r="V461" s="615"/>
      <c r="W461" s="615"/>
      <c r="X461" s="615"/>
      <c r="Y461" s="619"/>
      <c r="Z461" s="647"/>
      <c r="AA461" s="648"/>
      <c r="AB461" s="648"/>
      <c r="AC461" s="648"/>
      <c r="AD461" s="648"/>
      <c r="AE461" s="648"/>
      <c r="AF461" s="649"/>
      <c r="AG461" s="650"/>
      <c r="AH461" s="650"/>
      <c r="AI461" s="623"/>
    </row>
    <row r="462" spans="12:35" ht="45" customHeight="1" thickBot="1" x14ac:dyDescent="0.25">
      <c r="L462" s="624"/>
      <c r="M462" s="625"/>
      <c r="N462" s="625"/>
      <c r="O462" s="626"/>
      <c r="P462" s="615"/>
      <c r="Q462" s="616"/>
      <c r="R462" s="646"/>
      <c r="S462" s="615"/>
      <c r="T462" s="615"/>
      <c r="U462" s="615"/>
      <c r="V462" s="615"/>
      <c r="W462" s="615"/>
      <c r="X462" s="615"/>
      <c r="Y462" s="619"/>
      <c r="Z462" s="647"/>
      <c r="AA462" s="648"/>
      <c r="AB462" s="648"/>
      <c r="AC462" s="648"/>
      <c r="AD462" s="648"/>
      <c r="AE462" s="648"/>
      <c r="AF462" s="649"/>
      <c r="AG462" s="650"/>
      <c r="AH462" s="650"/>
      <c r="AI462" s="623"/>
    </row>
    <row r="463" spans="12:35" ht="45" customHeight="1" thickBot="1" x14ac:dyDescent="0.25">
      <c r="L463" s="624"/>
      <c r="M463" s="625"/>
      <c r="N463" s="625"/>
      <c r="O463" s="626"/>
      <c r="P463" s="615"/>
      <c r="Q463" s="616"/>
      <c r="R463" s="646"/>
      <c r="S463" s="615"/>
      <c r="T463" s="615"/>
      <c r="U463" s="615"/>
      <c r="V463" s="615"/>
      <c r="W463" s="615"/>
      <c r="X463" s="615"/>
      <c r="Y463" s="619"/>
      <c r="Z463" s="647"/>
      <c r="AA463" s="648"/>
      <c r="AB463" s="648"/>
      <c r="AC463" s="648"/>
      <c r="AD463" s="648"/>
      <c r="AE463" s="648"/>
      <c r="AF463" s="649"/>
      <c r="AG463" s="650"/>
      <c r="AH463" s="650"/>
      <c r="AI463" s="623"/>
    </row>
    <row r="464" spans="12:35" ht="45" customHeight="1" thickBot="1" x14ac:dyDescent="0.25">
      <c r="L464" s="624"/>
      <c r="M464" s="625"/>
      <c r="N464" s="625"/>
      <c r="O464" s="626"/>
      <c r="P464" s="615"/>
      <c r="Q464" s="616"/>
      <c r="R464" s="646"/>
      <c r="S464" s="615"/>
      <c r="T464" s="615"/>
      <c r="U464" s="615"/>
      <c r="V464" s="615"/>
      <c r="W464" s="615"/>
      <c r="X464" s="615"/>
      <c r="Y464" s="619"/>
      <c r="Z464" s="647"/>
      <c r="AA464" s="648"/>
      <c r="AB464" s="648"/>
      <c r="AC464" s="648"/>
      <c r="AD464" s="648"/>
      <c r="AE464" s="648"/>
      <c r="AF464" s="649"/>
      <c r="AG464" s="650"/>
      <c r="AH464" s="650"/>
      <c r="AI464" s="623"/>
    </row>
    <row r="465" spans="12:35" ht="45" customHeight="1" thickBot="1" x14ac:dyDescent="0.25">
      <c r="L465" s="624"/>
      <c r="M465" s="625"/>
      <c r="N465" s="625"/>
      <c r="O465" s="626"/>
      <c r="P465" s="615"/>
      <c r="Q465" s="616"/>
      <c r="R465" s="646"/>
      <c r="S465" s="615"/>
      <c r="T465" s="615"/>
      <c r="U465" s="615"/>
      <c r="V465" s="615"/>
      <c r="W465" s="615"/>
      <c r="X465" s="615"/>
      <c r="Y465" s="619"/>
      <c r="Z465" s="647"/>
      <c r="AA465" s="648"/>
      <c r="AB465" s="648"/>
      <c r="AC465" s="648"/>
      <c r="AD465" s="648"/>
      <c r="AE465" s="648"/>
      <c r="AF465" s="649"/>
      <c r="AG465" s="650"/>
      <c r="AH465" s="650"/>
      <c r="AI465" s="623"/>
    </row>
    <row r="466" spans="12:35" ht="45" customHeight="1" thickBot="1" x14ac:dyDescent="0.25">
      <c r="L466" s="624"/>
      <c r="M466" s="625"/>
      <c r="N466" s="625"/>
      <c r="O466" s="626"/>
      <c r="P466" s="615"/>
      <c r="Q466" s="616"/>
      <c r="R466" s="646"/>
      <c r="S466" s="615"/>
      <c r="T466" s="615"/>
      <c r="U466" s="615"/>
      <c r="V466" s="615"/>
      <c r="W466" s="615"/>
      <c r="X466" s="615"/>
      <c r="Y466" s="619"/>
      <c r="Z466" s="647"/>
      <c r="AA466" s="648"/>
      <c r="AB466" s="648"/>
      <c r="AC466" s="648"/>
      <c r="AD466" s="648"/>
      <c r="AE466" s="648"/>
      <c r="AF466" s="649"/>
      <c r="AG466" s="650"/>
      <c r="AH466" s="650"/>
      <c r="AI466" s="623"/>
    </row>
    <row r="467" spans="12:35" ht="45" customHeight="1" thickBot="1" x14ac:dyDescent="0.25">
      <c r="L467" s="624"/>
      <c r="M467" s="625"/>
      <c r="N467" s="625"/>
      <c r="O467" s="626"/>
      <c r="P467" s="615"/>
      <c r="Q467" s="616"/>
      <c r="R467" s="646"/>
      <c r="S467" s="615"/>
      <c r="T467" s="615"/>
      <c r="U467" s="615"/>
      <c r="V467" s="615"/>
      <c r="W467" s="615"/>
      <c r="X467" s="615"/>
      <c r="Y467" s="619"/>
      <c r="Z467" s="647"/>
      <c r="AA467" s="648"/>
      <c r="AB467" s="648"/>
      <c r="AC467" s="648"/>
      <c r="AD467" s="648"/>
      <c r="AE467" s="648"/>
      <c r="AF467" s="649"/>
      <c r="AG467" s="650"/>
      <c r="AH467" s="650"/>
      <c r="AI467" s="623"/>
    </row>
    <row r="468" spans="12:35" ht="45" customHeight="1" thickBot="1" x14ac:dyDescent="0.25">
      <c r="L468" s="624"/>
      <c r="M468" s="625"/>
      <c r="N468" s="625"/>
      <c r="O468" s="626"/>
      <c r="P468" s="615"/>
      <c r="Q468" s="616"/>
      <c r="R468" s="646"/>
      <c r="S468" s="615"/>
      <c r="T468" s="615"/>
      <c r="U468" s="615"/>
      <c r="V468" s="615"/>
      <c r="W468" s="615"/>
      <c r="X468" s="615"/>
      <c r="Y468" s="619"/>
      <c r="Z468" s="647"/>
      <c r="AA468" s="648"/>
      <c r="AB468" s="648"/>
      <c r="AC468" s="648"/>
      <c r="AD468" s="648"/>
      <c r="AE468" s="648"/>
      <c r="AF468" s="649"/>
      <c r="AG468" s="650"/>
      <c r="AH468" s="650"/>
      <c r="AI468" s="623"/>
    </row>
    <row r="469" spans="12:35" ht="45" customHeight="1" thickBot="1" x14ac:dyDescent="0.25">
      <c r="L469" s="624"/>
      <c r="M469" s="625"/>
      <c r="N469" s="625"/>
      <c r="O469" s="626"/>
      <c r="P469" s="615"/>
      <c r="Q469" s="616"/>
      <c r="R469" s="646"/>
      <c r="S469" s="615"/>
      <c r="T469" s="615"/>
      <c r="U469" s="615"/>
      <c r="V469" s="615"/>
      <c r="W469" s="615"/>
      <c r="X469" s="615"/>
      <c r="Y469" s="619"/>
      <c r="Z469" s="647"/>
      <c r="AA469" s="648"/>
      <c r="AB469" s="648"/>
      <c r="AC469" s="648"/>
      <c r="AD469" s="648"/>
      <c r="AE469" s="648"/>
      <c r="AF469" s="649"/>
      <c r="AG469" s="650"/>
      <c r="AH469" s="650"/>
      <c r="AI469" s="623"/>
    </row>
    <row r="470" spans="12:35" ht="45" customHeight="1" thickBot="1" x14ac:dyDescent="0.25">
      <c r="L470" s="624"/>
      <c r="M470" s="625"/>
      <c r="N470" s="625"/>
      <c r="O470" s="626"/>
      <c r="P470" s="615"/>
      <c r="Q470" s="616"/>
      <c r="R470" s="646"/>
      <c r="S470" s="615"/>
      <c r="T470" s="615"/>
      <c r="U470" s="615"/>
      <c r="V470" s="615"/>
      <c r="W470" s="615"/>
      <c r="X470" s="615"/>
      <c r="Y470" s="619"/>
      <c r="Z470" s="647"/>
      <c r="AA470" s="648"/>
      <c r="AB470" s="648"/>
      <c r="AC470" s="648"/>
      <c r="AD470" s="648"/>
      <c r="AE470" s="648"/>
      <c r="AF470" s="649"/>
      <c r="AG470" s="650"/>
      <c r="AH470" s="650"/>
      <c r="AI470" s="623"/>
    </row>
    <row r="471" spans="12:35" ht="45" customHeight="1" thickBot="1" x14ac:dyDescent="0.25">
      <c r="L471" s="624"/>
      <c r="M471" s="625"/>
      <c r="N471" s="625"/>
      <c r="O471" s="626"/>
      <c r="P471" s="615"/>
      <c r="Q471" s="616"/>
      <c r="R471" s="646"/>
      <c r="S471" s="615"/>
      <c r="T471" s="615"/>
      <c r="U471" s="615"/>
      <c r="V471" s="615"/>
      <c r="W471" s="615"/>
      <c r="X471" s="615"/>
      <c r="Y471" s="619"/>
      <c r="Z471" s="647"/>
      <c r="AA471" s="648"/>
      <c r="AB471" s="648"/>
      <c r="AC471" s="648"/>
      <c r="AD471" s="648"/>
      <c r="AE471" s="648"/>
      <c r="AF471" s="649"/>
      <c r="AG471" s="650"/>
      <c r="AH471" s="650"/>
      <c r="AI471" s="623"/>
    </row>
    <row r="472" spans="12:35" ht="45" customHeight="1" thickBot="1" x14ac:dyDescent="0.25">
      <c r="L472" s="624"/>
      <c r="M472" s="625"/>
      <c r="N472" s="625"/>
      <c r="O472" s="626"/>
      <c r="P472" s="615"/>
      <c r="Q472" s="616"/>
      <c r="R472" s="646"/>
      <c r="S472" s="615"/>
      <c r="T472" s="615"/>
      <c r="U472" s="615"/>
      <c r="V472" s="615"/>
      <c r="W472" s="615"/>
      <c r="X472" s="615"/>
      <c r="Y472" s="619"/>
      <c r="Z472" s="647"/>
      <c r="AA472" s="648"/>
      <c r="AB472" s="648"/>
      <c r="AC472" s="648"/>
      <c r="AD472" s="648"/>
      <c r="AE472" s="648"/>
      <c r="AF472" s="649"/>
      <c r="AG472" s="650"/>
      <c r="AH472" s="650"/>
      <c r="AI472" s="623"/>
    </row>
    <row r="473" spans="12:35" ht="45" customHeight="1" thickBot="1" x14ac:dyDescent="0.25">
      <c r="L473" s="624"/>
      <c r="M473" s="625"/>
      <c r="N473" s="625"/>
      <c r="O473" s="626"/>
      <c r="P473" s="615"/>
      <c r="Q473" s="616"/>
      <c r="R473" s="646"/>
      <c r="S473" s="615"/>
      <c r="T473" s="615"/>
      <c r="U473" s="615"/>
      <c r="V473" s="615"/>
      <c r="W473" s="615"/>
      <c r="X473" s="615"/>
      <c r="Y473" s="619"/>
      <c r="Z473" s="647"/>
      <c r="AA473" s="648"/>
      <c r="AB473" s="648"/>
      <c r="AC473" s="648"/>
      <c r="AD473" s="648"/>
      <c r="AE473" s="648"/>
      <c r="AF473" s="649"/>
      <c r="AG473" s="650"/>
      <c r="AH473" s="650"/>
      <c r="AI473" s="623"/>
    </row>
    <row r="474" spans="12:35" ht="45" customHeight="1" thickBot="1" x14ac:dyDescent="0.25">
      <c r="L474" s="624"/>
      <c r="M474" s="625"/>
      <c r="N474" s="625"/>
      <c r="O474" s="626"/>
      <c r="P474" s="615"/>
      <c r="Q474" s="616"/>
      <c r="R474" s="646"/>
      <c r="S474" s="615"/>
      <c r="T474" s="615"/>
      <c r="U474" s="615"/>
      <c r="V474" s="615"/>
      <c r="W474" s="615"/>
      <c r="X474" s="615"/>
      <c r="Y474" s="619"/>
      <c r="Z474" s="647"/>
      <c r="AA474" s="648"/>
      <c r="AB474" s="648"/>
      <c r="AC474" s="648"/>
      <c r="AD474" s="648"/>
      <c r="AE474" s="648"/>
      <c r="AF474" s="649"/>
      <c r="AG474" s="650"/>
      <c r="AH474" s="650"/>
      <c r="AI474" s="623"/>
    </row>
    <row r="475" spans="12:35" ht="45" customHeight="1" thickBot="1" x14ac:dyDescent="0.25">
      <c r="L475" s="624"/>
      <c r="M475" s="625"/>
      <c r="N475" s="625"/>
      <c r="O475" s="626"/>
      <c r="P475" s="615"/>
      <c r="Q475" s="616"/>
      <c r="R475" s="646"/>
      <c r="S475" s="615"/>
      <c r="T475" s="615"/>
      <c r="U475" s="615"/>
      <c r="V475" s="615"/>
      <c r="W475" s="615"/>
      <c r="X475" s="615"/>
      <c r="Y475" s="619"/>
      <c r="Z475" s="647"/>
      <c r="AA475" s="648"/>
      <c r="AB475" s="648"/>
      <c r="AC475" s="648"/>
      <c r="AD475" s="648"/>
      <c r="AE475" s="648"/>
      <c r="AF475" s="649"/>
      <c r="AG475" s="650"/>
      <c r="AH475" s="650"/>
      <c r="AI475" s="623"/>
    </row>
    <row r="476" spans="12:35" ht="45" customHeight="1" thickBot="1" x14ac:dyDescent="0.25">
      <c r="L476" s="624"/>
      <c r="M476" s="625"/>
      <c r="N476" s="625"/>
      <c r="O476" s="626"/>
      <c r="P476" s="615"/>
      <c r="Q476" s="616"/>
      <c r="R476" s="646"/>
      <c r="S476" s="615"/>
      <c r="T476" s="615"/>
      <c r="U476" s="615"/>
      <c r="V476" s="615"/>
      <c r="W476" s="615"/>
      <c r="X476" s="615"/>
      <c r="Y476" s="619"/>
      <c r="Z476" s="647"/>
      <c r="AA476" s="648"/>
      <c r="AB476" s="648"/>
      <c r="AC476" s="648"/>
      <c r="AD476" s="648"/>
      <c r="AE476" s="648"/>
      <c r="AF476" s="649"/>
      <c r="AG476" s="650"/>
      <c r="AH476" s="650"/>
      <c r="AI476" s="623"/>
    </row>
    <row r="477" spans="12:35" ht="45" customHeight="1" thickBot="1" x14ac:dyDescent="0.25">
      <c r="L477" s="624"/>
      <c r="M477" s="625"/>
      <c r="N477" s="625"/>
      <c r="O477" s="626"/>
      <c r="P477" s="615"/>
      <c r="Q477" s="616"/>
      <c r="R477" s="646"/>
      <c r="S477" s="615"/>
      <c r="T477" s="615"/>
      <c r="U477" s="615"/>
      <c r="V477" s="615"/>
      <c r="W477" s="615"/>
      <c r="X477" s="615"/>
      <c r="Y477" s="619"/>
      <c r="Z477" s="647"/>
      <c r="AA477" s="648"/>
      <c r="AB477" s="648"/>
      <c r="AC477" s="648"/>
      <c r="AD477" s="648"/>
      <c r="AE477" s="648"/>
      <c r="AF477" s="649"/>
      <c r="AG477" s="650"/>
      <c r="AH477" s="650"/>
      <c r="AI477" s="623"/>
    </row>
    <row r="478" spans="12:35" ht="45" customHeight="1" thickBot="1" x14ac:dyDescent="0.25">
      <c r="L478" s="624"/>
      <c r="M478" s="625"/>
      <c r="N478" s="625"/>
      <c r="O478" s="626"/>
      <c r="P478" s="615"/>
      <c r="Q478" s="616"/>
      <c r="R478" s="646"/>
      <c r="S478" s="615"/>
      <c r="T478" s="615"/>
      <c r="U478" s="615"/>
      <c r="V478" s="615"/>
      <c r="W478" s="615"/>
      <c r="X478" s="615"/>
      <c r="Y478" s="619"/>
      <c r="Z478" s="647"/>
      <c r="AA478" s="648"/>
      <c r="AB478" s="648"/>
      <c r="AC478" s="648"/>
      <c r="AD478" s="648"/>
      <c r="AE478" s="648"/>
      <c r="AF478" s="649"/>
      <c r="AG478" s="650"/>
      <c r="AH478" s="650"/>
      <c r="AI478" s="623"/>
    </row>
    <row r="479" spans="12:35" ht="45" customHeight="1" thickBot="1" x14ac:dyDescent="0.25">
      <c r="L479" s="624"/>
      <c r="M479" s="625"/>
      <c r="N479" s="625"/>
      <c r="O479" s="626"/>
      <c r="P479" s="615"/>
      <c r="Q479" s="616"/>
      <c r="R479" s="646"/>
      <c r="S479" s="615"/>
      <c r="T479" s="615"/>
      <c r="U479" s="615"/>
      <c r="V479" s="615"/>
      <c r="W479" s="615"/>
      <c r="X479" s="615"/>
      <c r="Y479" s="619"/>
      <c r="Z479" s="647"/>
      <c r="AA479" s="648"/>
      <c r="AB479" s="648"/>
      <c r="AC479" s="648"/>
      <c r="AD479" s="648"/>
      <c r="AE479" s="648"/>
      <c r="AF479" s="649"/>
      <c r="AG479" s="650"/>
      <c r="AH479" s="650"/>
      <c r="AI479" s="623"/>
    </row>
    <row r="480" spans="12:35" ht="45" customHeight="1" thickBot="1" x14ac:dyDescent="0.25">
      <c r="L480" s="624"/>
      <c r="M480" s="625"/>
      <c r="N480" s="625"/>
      <c r="O480" s="626"/>
      <c r="P480" s="615"/>
      <c r="Q480" s="616"/>
      <c r="R480" s="646"/>
      <c r="S480" s="615"/>
      <c r="T480" s="615"/>
      <c r="U480" s="615"/>
      <c r="V480" s="615"/>
      <c r="W480" s="615"/>
      <c r="X480" s="615"/>
      <c r="Y480" s="619"/>
      <c r="Z480" s="647"/>
      <c r="AA480" s="648"/>
      <c r="AB480" s="648"/>
      <c r="AC480" s="648"/>
      <c r="AD480" s="648"/>
      <c r="AE480" s="648"/>
      <c r="AF480" s="649"/>
      <c r="AG480" s="650"/>
      <c r="AH480" s="650"/>
      <c r="AI480" s="623"/>
    </row>
    <row r="481" spans="12:35" ht="45" customHeight="1" thickBot="1" x14ac:dyDescent="0.25">
      <c r="L481" s="624"/>
      <c r="M481" s="625"/>
      <c r="N481" s="625"/>
      <c r="O481" s="626"/>
      <c r="P481" s="615"/>
      <c r="Q481" s="616"/>
      <c r="R481" s="646"/>
      <c r="S481" s="615"/>
      <c r="T481" s="615"/>
      <c r="U481" s="615"/>
      <c r="V481" s="615"/>
      <c r="W481" s="615"/>
      <c r="X481" s="615"/>
      <c r="Y481" s="619"/>
      <c r="Z481" s="647"/>
      <c r="AA481" s="648"/>
      <c r="AB481" s="648"/>
      <c r="AC481" s="648"/>
      <c r="AD481" s="648"/>
      <c r="AE481" s="648"/>
      <c r="AF481" s="649"/>
      <c r="AG481" s="650"/>
      <c r="AH481" s="650"/>
      <c r="AI481" s="623"/>
    </row>
    <row r="482" spans="12:35" ht="45" customHeight="1" thickBot="1" x14ac:dyDescent="0.25">
      <c r="L482" s="624"/>
      <c r="M482" s="625"/>
      <c r="N482" s="625"/>
      <c r="O482" s="626"/>
      <c r="P482" s="615"/>
      <c r="Q482" s="616"/>
      <c r="R482" s="646"/>
      <c r="S482" s="615"/>
      <c r="T482" s="615"/>
      <c r="U482" s="615"/>
      <c r="V482" s="615"/>
      <c r="W482" s="615"/>
      <c r="X482" s="615"/>
      <c r="Y482" s="619"/>
      <c r="Z482" s="647"/>
      <c r="AA482" s="648"/>
      <c r="AB482" s="648"/>
      <c r="AC482" s="648"/>
      <c r="AD482" s="648"/>
      <c r="AE482" s="648"/>
      <c r="AF482" s="649"/>
      <c r="AG482" s="650"/>
      <c r="AH482" s="650"/>
      <c r="AI482" s="623"/>
    </row>
    <row r="483" spans="12:35" ht="45" customHeight="1" thickBot="1" x14ac:dyDescent="0.25">
      <c r="L483" s="624"/>
      <c r="M483" s="625"/>
      <c r="N483" s="625"/>
      <c r="O483" s="626"/>
      <c r="P483" s="615"/>
      <c r="Q483" s="616"/>
      <c r="R483" s="646"/>
      <c r="S483" s="615"/>
      <c r="T483" s="615"/>
      <c r="U483" s="615"/>
      <c r="V483" s="615"/>
      <c r="W483" s="615"/>
      <c r="X483" s="615"/>
      <c r="Y483" s="619"/>
      <c r="Z483" s="647"/>
      <c r="AA483" s="648"/>
      <c r="AB483" s="648"/>
      <c r="AC483" s="648"/>
      <c r="AD483" s="648"/>
      <c r="AE483" s="648"/>
      <c r="AF483" s="649"/>
      <c r="AG483" s="650"/>
      <c r="AH483" s="650"/>
      <c r="AI483" s="623"/>
    </row>
    <row r="484" spans="12:35" ht="45" customHeight="1" thickBot="1" x14ac:dyDescent="0.25">
      <c r="L484" s="624"/>
      <c r="M484" s="625"/>
      <c r="N484" s="625"/>
      <c r="O484" s="626"/>
      <c r="P484" s="615"/>
      <c r="Q484" s="616"/>
      <c r="R484" s="646"/>
      <c r="S484" s="615"/>
      <c r="T484" s="615"/>
      <c r="U484" s="615"/>
      <c r="V484" s="615"/>
      <c r="W484" s="615"/>
      <c r="X484" s="615"/>
      <c r="Y484" s="619"/>
      <c r="Z484" s="647"/>
      <c r="AA484" s="648"/>
      <c r="AB484" s="648"/>
      <c r="AC484" s="648"/>
      <c r="AD484" s="648"/>
      <c r="AE484" s="648"/>
      <c r="AF484" s="649"/>
      <c r="AG484" s="650"/>
      <c r="AH484" s="650"/>
      <c r="AI484" s="623"/>
    </row>
    <row r="485" spans="12:35" ht="45" customHeight="1" thickBot="1" x14ac:dyDescent="0.25">
      <c r="L485" s="624"/>
      <c r="M485" s="625"/>
      <c r="N485" s="625"/>
      <c r="O485" s="626"/>
      <c r="P485" s="615"/>
      <c r="Q485" s="616"/>
      <c r="R485" s="646"/>
      <c r="S485" s="615"/>
      <c r="T485" s="615"/>
      <c r="U485" s="615"/>
      <c r="V485" s="615"/>
      <c r="W485" s="615"/>
      <c r="X485" s="615"/>
      <c r="Y485" s="619"/>
      <c r="Z485" s="647"/>
      <c r="AA485" s="648"/>
      <c r="AB485" s="648"/>
      <c r="AC485" s="648"/>
      <c r="AD485" s="648"/>
      <c r="AE485" s="648"/>
      <c r="AF485" s="649"/>
      <c r="AG485" s="650"/>
      <c r="AH485" s="650"/>
      <c r="AI485" s="623"/>
    </row>
    <row r="486" spans="12:35" ht="45" customHeight="1" thickBot="1" x14ac:dyDescent="0.25">
      <c r="L486" s="624"/>
      <c r="M486" s="625"/>
      <c r="N486" s="625"/>
      <c r="O486" s="626"/>
      <c r="P486" s="615"/>
      <c r="Q486" s="616"/>
      <c r="R486" s="646"/>
      <c r="S486" s="615"/>
      <c r="T486" s="615"/>
      <c r="U486" s="615"/>
      <c r="V486" s="615"/>
      <c r="W486" s="615"/>
      <c r="X486" s="615"/>
      <c r="Y486" s="619"/>
      <c r="Z486" s="647"/>
      <c r="AA486" s="648"/>
      <c r="AB486" s="648"/>
      <c r="AC486" s="648"/>
      <c r="AD486" s="648"/>
      <c r="AE486" s="648"/>
      <c r="AF486" s="649"/>
      <c r="AG486" s="650"/>
      <c r="AH486" s="650"/>
      <c r="AI486" s="623"/>
    </row>
    <row r="487" spans="12:35" ht="45" customHeight="1" thickBot="1" x14ac:dyDescent="0.25">
      <c r="L487" s="624"/>
      <c r="M487" s="625"/>
      <c r="N487" s="625"/>
      <c r="O487" s="626"/>
      <c r="P487" s="615"/>
      <c r="Q487" s="616"/>
      <c r="R487" s="646"/>
      <c r="S487" s="615"/>
      <c r="T487" s="615"/>
      <c r="U487" s="615"/>
      <c r="V487" s="615"/>
      <c r="W487" s="615"/>
      <c r="X487" s="615"/>
      <c r="Y487" s="619"/>
      <c r="Z487" s="647"/>
      <c r="AA487" s="648"/>
      <c r="AB487" s="648"/>
      <c r="AC487" s="648"/>
      <c r="AD487" s="648"/>
      <c r="AE487" s="648"/>
      <c r="AF487" s="649"/>
      <c r="AG487" s="650"/>
      <c r="AH487" s="650"/>
      <c r="AI487" s="623"/>
    </row>
    <row r="488" spans="12:35" ht="45" customHeight="1" thickBot="1" x14ac:dyDescent="0.25">
      <c r="L488" s="624"/>
      <c r="M488" s="625"/>
      <c r="N488" s="625"/>
      <c r="O488" s="626"/>
      <c r="P488" s="615"/>
      <c r="Q488" s="616"/>
      <c r="R488" s="646"/>
      <c r="S488" s="615"/>
      <c r="T488" s="615"/>
      <c r="U488" s="615"/>
      <c r="V488" s="615"/>
      <c r="W488" s="615"/>
      <c r="X488" s="615"/>
      <c r="Y488" s="619"/>
      <c r="Z488" s="647"/>
      <c r="AA488" s="648"/>
      <c r="AB488" s="648"/>
      <c r="AC488" s="648"/>
      <c r="AD488" s="648"/>
      <c r="AE488" s="648"/>
      <c r="AF488" s="649"/>
      <c r="AG488" s="650"/>
      <c r="AH488" s="650"/>
      <c r="AI488" s="623"/>
    </row>
    <row r="489" spans="12:35" ht="45" customHeight="1" thickBot="1" x14ac:dyDescent="0.25">
      <c r="L489" s="624"/>
      <c r="M489" s="625"/>
      <c r="N489" s="625"/>
      <c r="O489" s="626"/>
      <c r="P489" s="615"/>
      <c r="Q489" s="616"/>
      <c r="R489" s="646"/>
      <c r="S489" s="615"/>
      <c r="T489" s="615"/>
      <c r="U489" s="615"/>
      <c r="V489" s="615"/>
      <c r="W489" s="615"/>
      <c r="X489" s="615"/>
      <c r="Y489" s="619"/>
      <c r="Z489" s="647"/>
      <c r="AA489" s="648"/>
      <c r="AB489" s="648"/>
      <c r="AC489" s="648"/>
      <c r="AD489" s="648"/>
      <c r="AE489" s="648"/>
      <c r="AF489" s="649"/>
      <c r="AG489" s="650"/>
      <c r="AH489" s="650"/>
      <c r="AI489" s="623"/>
    </row>
    <row r="490" spans="12:35" ht="45" customHeight="1" thickBot="1" x14ac:dyDescent="0.25">
      <c r="L490" s="624"/>
      <c r="M490" s="625"/>
      <c r="N490" s="625"/>
      <c r="O490" s="626"/>
      <c r="P490" s="615"/>
      <c r="Q490" s="616"/>
      <c r="R490" s="646"/>
      <c r="S490" s="615"/>
      <c r="T490" s="615"/>
      <c r="U490" s="615"/>
      <c r="V490" s="615"/>
      <c r="W490" s="615"/>
      <c r="X490" s="615"/>
      <c r="Y490" s="619"/>
      <c r="Z490" s="647"/>
      <c r="AA490" s="648"/>
      <c r="AB490" s="648"/>
      <c r="AC490" s="648"/>
      <c r="AD490" s="648"/>
      <c r="AE490" s="648"/>
      <c r="AF490" s="649"/>
      <c r="AG490" s="650"/>
      <c r="AH490" s="650"/>
      <c r="AI490" s="623"/>
    </row>
    <row r="491" spans="12:35" ht="45" customHeight="1" thickBot="1" x14ac:dyDescent="0.25">
      <c r="L491" s="624"/>
      <c r="M491" s="625"/>
      <c r="N491" s="625"/>
      <c r="O491" s="626"/>
      <c r="P491" s="615"/>
      <c r="Q491" s="616"/>
      <c r="R491" s="646"/>
      <c r="S491" s="615"/>
      <c r="T491" s="615"/>
      <c r="U491" s="615"/>
      <c r="V491" s="615"/>
      <c r="W491" s="615"/>
      <c r="X491" s="615"/>
      <c r="Y491" s="619"/>
      <c r="Z491" s="647"/>
      <c r="AA491" s="648"/>
      <c r="AB491" s="648"/>
      <c r="AC491" s="648"/>
      <c r="AD491" s="648"/>
      <c r="AE491" s="648"/>
      <c r="AF491" s="649"/>
      <c r="AG491" s="650"/>
      <c r="AH491" s="650"/>
      <c r="AI491" s="623"/>
    </row>
    <row r="492" spans="12:35" ht="45" customHeight="1" thickBot="1" x14ac:dyDescent="0.25">
      <c r="L492" s="624"/>
      <c r="M492" s="625"/>
      <c r="N492" s="625"/>
      <c r="O492" s="626"/>
      <c r="P492" s="615"/>
      <c r="Q492" s="616"/>
      <c r="R492" s="646"/>
      <c r="S492" s="615"/>
      <c r="T492" s="615"/>
      <c r="U492" s="615"/>
      <c r="V492" s="615"/>
      <c r="W492" s="615"/>
      <c r="X492" s="615"/>
      <c r="Y492" s="619"/>
      <c r="Z492" s="647"/>
      <c r="AA492" s="648"/>
      <c r="AB492" s="648"/>
      <c r="AC492" s="648"/>
      <c r="AD492" s="648"/>
      <c r="AE492" s="648"/>
      <c r="AF492" s="649"/>
      <c r="AG492" s="650"/>
      <c r="AH492" s="650"/>
      <c r="AI492" s="623"/>
    </row>
    <row r="493" spans="12:35" ht="45" customHeight="1" thickBot="1" x14ac:dyDescent="0.25">
      <c r="L493" s="624"/>
      <c r="M493" s="625"/>
      <c r="N493" s="625"/>
      <c r="O493" s="626"/>
      <c r="P493" s="615"/>
      <c r="Q493" s="616"/>
      <c r="R493" s="646"/>
      <c r="S493" s="615"/>
      <c r="T493" s="615"/>
      <c r="U493" s="615"/>
      <c r="V493" s="615"/>
      <c r="W493" s="615"/>
      <c r="X493" s="615"/>
      <c r="Y493" s="619"/>
      <c r="Z493" s="647"/>
      <c r="AA493" s="648"/>
      <c r="AB493" s="648"/>
      <c r="AC493" s="648"/>
      <c r="AD493" s="648"/>
      <c r="AE493" s="648"/>
      <c r="AF493" s="649"/>
      <c r="AG493" s="650"/>
      <c r="AH493" s="650"/>
      <c r="AI493" s="623"/>
    </row>
    <row r="494" spans="12:35" ht="45" customHeight="1" thickBot="1" x14ac:dyDescent="0.25">
      <c r="L494" s="624"/>
      <c r="M494" s="625"/>
      <c r="N494" s="625"/>
      <c r="O494" s="626"/>
      <c r="P494" s="615"/>
      <c r="Q494" s="616"/>
      <c r="R494" s="646"/>
      <c r="S494" s="615"/>
      <c r="T494" s="615"/>
      <c r="U494" s="615"/>
      <c r="V494" s="615"/>
      <c r="W494" s="615"/>
      <c r="X494" s="615"/>
      <c r="Y494" s="619"/>
      <c r="Z494" s="647"/>
      <c r="AA494" s="648"/>
      <c r="AB494" s="648"/>
      <c r="AC494" s="648"/>
      <c r="AD494" s="648"/>
      <c r="AE494" s="648"/>
      <c r="AF494" s="649"/>
      <c r="AG494" s="650"/>
      <c r="AH494" s="650"/>
      <c r="AI494" s="623"/>
    </row>
    <row r="495" spans="12:35" ht="45" customHeight="1" thickBot="1" x14ac:dyDescent="0.25">
      <c r="L495" s="624"/>
      <c r="M495" s="625"/>
      <c r="N495" s="625"/>
      <c r="O495" s="626"/>
      <c r="P495" s="615"/>
      <c r="Q495" s="616"/>
      <c r="R495" s="646"/>
      <c r="S495" s="615"/>
      <c r="T495" s="615"/>
      <c r="U495" s="615"/>
      <c r="V495" s="615"/>
      <c r="W495" s="615"/>
      <c r="X495" s="615"/>
      <c r="Y495" s="619"/>
      <c r="Z495" s="647"/>
      <c r="AA495" s="648"/>
      <c r="AB495" s="648"/>
      <c r="AC495" s="648"/>
      <c r="AD495" s="648"/>
      <c r="AE495" s="648"/>
      <c r="AF495" s="649"/>
      <c r="AG495" s="650"/>
      <c r="AH495" s="650"/>
      <c r="AI495" s="623"/>
    </row>
    <row r="496" spans="12:35" ht="45" customHeight="1" thickBot="1" x14ac:dyDescent="0.25">
      <c r="L496" s="624"/>
      <c r="M496" s="625"/>
      <c r="N496" s="625"/>
      <c r="O496" s="626"/>
      <c r="P496" s="615"/>
      <c r="Q496" s="616"/>
      <c r="R496" s="646"/>
      <c r="S496" s="615"/>
      <c r="T496" s="615"/>
      <c r="U496" s="615"/>
      <c r="V496" s="615"/>
      <c r="W496" s="615"/>
      <c r="X496" s="615"/>
      <c r="Y496" s="619"/>
      <c r="Z496" s="647"/>
      <c r="AA496" s="648"/>
      <c r="AB496" s="648"/>
      <c r="AC496" s="648"/>
      <c r="AD496" s="648"/>
      <c r="AE496" s="648"/>
      <c r="AF496" s="649"/>
      <c r="AG496" s="650"/>
      <c r="AH496" s="650"/>
      <c r="AI496" s="623"/>
    </row>
    <row r="497" spans="12:35" ht="45" customHeight="1" thickBot="1" x14ac:dyDescent="0.25">
      <c r="L497" s="624"/>
      <c r="M497" s="625"/>
      <c r="N497" s="625"/>
      <c r="O497" s="626"/>
      <c r="P497" s="615"/>
      <c r="Q497" s="616"/>
      <c r="R497" s="646"/>
      <c r="S497" s="615"/>
      <c r="T497" s="615"/>
      <c r="U497" s="615"/>
      <c r="V497" s="615"/>
      <c r="W497" s="615"/>
      <c r="X497" s="615"/>
      <c r="Y497" s="619"/>
      <c r="Z497" s="647"/>
      <c r="AA497" s="648"/>
      <c r="AB497" s="648"/>
      <c r="AC497" s="648"/>
      <c r="AD497" s="648"/>
      <c r="AE497" s="648"/>
      <c r="AF497" s="649"/>
      <c r="AG497" s="650"/>
      <c r="AH497" s="650"/>
      <c r="AI497" s="623"/>
    </row>
    <row r="498" spans="12:35" ht="45" customHeight="1" thickBot="1" x14ac:dyDescent="0.25">
      <c r="L498" s="624"/>
      <c r="M498" s="625"/>
      <c r="N498" s="625"/>
      <c r="O498" s="626"/>
      <c r="P498" s="615"/>
      <c r="Q498" s="616"/>
      <c r="R498" s="646"/>
      <c r="S498" s="615"/>
      <c r="T498" s="615"/>
      <c r="U498" s="615"/>
      <c r="V498" s="615"/>
      <c r="W498" s="615"/>
      <c r="X498" s="615"/>
      <c r="Y498" s="619"/>
      <c r="Z498" s="647"/>
      <c r="AA498" s="648"/>
      <c r="AB498" s="648"/>
      <c r="AC498" s="648"/>
      <c r="AD498" s="648"/>
      <c r="AE498" s="648"/>
      <c r="AF498" s="649"/>
      <c r="AG498" s="650"/>
      <c r="AH498" s="650"/>
      <c r="AI498" s="623"/>
    </row>
    <row r="499" spans="12:35" ht="45" customHeight="1" thickBot="1" x14ac:dyDescent="0.25">
      <c r="L499" s="624"/>
      <c r="M499" s="625"/>
      <c r="N499" s="625"/>
      <c r="O499" s="626"/>
      <c r="P499" s="615"/>
      <c r="Q499" s="616"/>
      <c r="R499" s="646"/>
      <c r="S499" s="615"/>
      <c r="T499" s="615"/>
      <c r="U499" s="615"/>
      <c r="V499" s="615"/>
      <c r="W499" s="615"/>
      <c r="X499" s="615"/>
      <c r="Y499" s="619"/>
      <c r="Z499" s="647"/>
      <c r="AA499" s="648"/>
      <c r="AB499" s="648"/>
      <c r="AC499" s="648"/>
      <c r="AD499" s="648"/>
      <c r="AE499" s="648"/>
      <c r="AF499" s="649"/>
      <c r="AG499" s="650"/>
      <c r="AH499" s="650"/>
      <c r="AI499" s="623"/>
    </row>
    <row r="500" spans="12:35" ht="45" customHeight="1" thickBot="1" x14ac:dyDescent="0.25">
      <c r="L500" s="624"/>
      <c r="M500" s="625"/>
      <c r="N500" s="625"/>
      <c r="O500" s="626"/>
      <c r="P500" s="615"/>
      <c r="Q500" s="616"/>
      <c r="R500" s="646"/>
      <c r="S500" s="615"/>
      <c r="T500" s="615"/>
      <c r="U500" s="615"/>
      <c r="V500" s="615"/>
      <c r="W500" s="615"/>
      <c r="X500" s="615"/>
      <c r="Y500" s="619"/>
      <c r="Z500" s="647"/>
      <c r="AA500" s="648"/>
      <c r="AB500" s="648"/>
      <c r="AC500" s="648"/>
      <c r="AD500" s="648"/>
      <c r="AE500" s="648"/>
      <c r="AF500" s="649"/>
      <c r="AG500" s="650"/>
      <c r="AH500" s="650"/>
      <c r="AI500" s="623"/>
    </row>
    <row r="501" spans="12:35" ht="45" customHeight="1" thickBot="1" x14ac:dyDescent="0.25">
      <c r="L501" s="624"/>
      <c r="M501" s="625"/>
      <c r="N501" s="625"/>
      <c r="O501" s="626"/>
      <c r="P501" s="615"/>
      <c r="Q501" s="616"/>
      <c r="R501" s="646"/>
      <c r="S501" s="615"/>
      <c r="T501" s="615"/>
      <c r="U501" s="615"/>
      <c r="V501" s="615"/>
      <c r="W501" s="615"/>
      <c r="X501" s="615"/>
      <c r="Y501" s="619"/>
      <c r="Z501" s="647"/>
      <c r="AA501" s="648"/>
      <c r="AB501" s="648"/>
      <c r="AC501" s="648"/>
      <c r="AD501" s="648"/>
      <c r="AE501" s="648"/>
      <c r="AF501" s="649"/>
      <c r="AG501" s="650"/>
      <c r="AH501" s="650"/>
      <c r="AI501" s="623"/>
    </row>
    <row r="502" spans="12:35" ht="45" customHeight="1" thickBot="1" x14ac:dyDescent="0.25">
      <c r="L502" s="624"/>
      <c r="M502" s="625"/>
      <c r="N502" s="625"/>
      <c r="O502" s="626"/>
      <c r="P502" s="615"/>
      <c r="Q502" s="616"/>
      <c r="R502" s="646"/>
      <c r="S502" s="615"/>
      <c r="T502" s="615"/>
      <c r="U502" s="615"/>
      <c r="V502" s="615"/>
      <c r="W502" s="615"/>
      <c r="X502" s="615"/>
      <c r="Y502" s="619"/>
      <c r="Z502" s="647"/>
      <c r="AA502" s="648"/>
      <c r="AB502" s="648"/>
      <c r="AC502" s="648"/>
      <c r="AD502" s="648"/>
      <c r="AE502" s="648"/>
      <c r="AF502" s="649"/>
      <c r="AG502" s="650"/>
      <c r="AH502" s="650"/>
      <c r="AI502" s="623"/>
    </row>
    <row r="503" spans="12:35" ht="45" customHeight="1" thickBot="1" x14ac:dyDescent="0.25">
      <c r="L503" s="624"/>
      <c r="M503" s="625"/>
      <c r="N503" s="625"/>
      <c r="O503" s="626"/>
      <c r="P503" s="615"/>
      <c r="Q503" s="616"/>
      <c r="R503" s="646"/>
      <c r="S503" s="615"/>
      <c r="T503" s="615"/>
      <c r="U503" s="615"/>
      <c r="V503" s="615"/>
      <c r="W503" s="615"/>
      <c r="X503" s="615"/>
      <c r="Y503" s="619"/>
      <c r="Z503" s="647"/>
      <c r="AA503" s="648"/>
      <c r="AB503" s="648"/>
      <c r="AC503" s="648"/>
      <c r="AD503" s="648"/>
      <c r="AE503" s="648"/>
      <c r="AF503" s="649"/>
      <c r="AG503" s="650"/>
      <c r="AH503" s="650"/>
      <c r="AI503" s="623"/>
    </row>
    <row r="504" spans="12:35" ht="45" customHeight="1" thickBot="1" x14ac:dyDescent="0.25">
      <c r="L504" s="624"/>
      <c r="M504" s="625"/>
      <c r="N504" s="625"/>
      <c r="O504" s="626"/>
      <c r="P504" s="615"/>
      <c r="Q504" s="616"/>
      <c r="R504" s="646"/>
      <c r="S504" s="615"/>
      <c r="T504" s="615"/>
      <c r="U504" s="615"/>
      <c r="V504" s="615"/>
      <c r="W504" s="615"/>
      <c r="X504" s="615"/>
      <c r="Y504" s="619"/>
      <c r="Z504" s="647"/>
      <c r="AA504" s="648"/>
      <c r="AB504" s="648"/>
      <c r="AC504" s="648"/>
      <c r="AD504" s="648"/>
      <c r="AE504" s="648"/>
      <c r="AF504" s="649"/>
      <c r="AG504" s="650"/>
      <c r="AH504" s="650"/>
      <c r="AI504" s="623"/>
    </row>
    <row r="505" spans="12:35" ht="45" customHeight="1" thickBot="1" x14ac:dyDescent="0.25">
      <c r="L505" s="624"/>
      <c r="M505" s="625"/>
      <c r="N505" s="625"/>
      <c r="O505" s="626"/>
      <c r="P505" s="615"/>
      <c r="Q505" s="616"/>
      <c r="R505" s="646"/>
      <c r="S505" s="615"/>
      <c r="T505" s="615"/>
      <c r="U505" s="615"/>
      <c r="V505" s="615"/>
      <c r="W505" s="615"/>
      <c r="X505" s="615"/>
      <c r="Y505" s="619"/>
      <c r="Z505" s="647"/>
      <c r="AA505" s="648"/>
      <c r="AB505" s="648"/>
      <c r="AC505" s="648"/>
      <c r="AD505" s="648"/>
      <c r="AE505" s="648"/>
      <c r="AF505" s="649"/>
      <c r="AG505" s="650"/>
      <c r="AH505" s="650"/>
      <c r="AI505" s="623"/>
    </row>
    <row r="506" spans="12:35" ht="45" customHeight="1" thickBot="1" x14ac:dyDescent="0.25">
      <c r="L506" s="624"/>
      <c r="M506" s="625"/>
      <c r="N506" s="625"/>
      <c r="O506" s="626"/>
      <c r="P506" s="615"/>
      <c r="Q506" s="616"/>
      <c r="R506" s="646"/>
      <c r="S506" s="615"/>
      <c r="T506" s="615"/>
      <c r="U506" s="615"/>
      <c r="V506" s="615"/>
      <c r="W506" s="615"/>
      <c r="X506" s="615"/>
      <c r="Y506" s="619"/>
      <c r="Z506" s="647"/>
      <c r="AA506" s="648"/>
      <c r="AB506" s="648"/>
      <c r="AC506" s="648"/>
      <c r="AD506" s="648"/>
      <c r="AE506" s="648"/>
      <c r="AF506" s="649"/>
      <c r="AG506" s="650"/>
      <c r="AH506" s="650"/>
      <c r="AI506" s="623"/>
    </row>
    <row r="507" spans="12:35" ht="45" customHeight="1" thickBot="1" x14ac:dyDescent="0.25">
      <c r="L507" s="624"/>
      <c r="M507" s="625"/>
      <c r="N507" s="625"/>
      <c r="O507" s="626"/>
      <c r="P507" s="615"/>
      <c r="Q507" s="616"/>
      <c r="R507" s="646"/>
      <c r="S507" s="615"/>
      <c r="T507" s="615"/>
      <c r="U507" s="615"/>
      <c r="V507" s="615"/>
      <c r="W507" s="615"/>
      <c r="X507" s="615"/>
      <c r="Y507" s="619"/>
      <c r="Z507" s="647"/>
      <c r="AA507" s="648"/>
      <c r="AB507" s="648"/>
      <c r="AC507" s="648"/>
      <c r="AD507" s="648"/>
      <c r="AE507" s="648"/>
      <c r="AF507" s="649"/>
      <c r="AG507" s="650"/>
      <c r="AH507" s="650"/>
      <c r="AI507" s="623"/>
    </row>
    <row r="508" spans="12:35" ht="45" customHeight="1" thickBot="1" x14ac:dyDescent="0.25">
      <c r="L508" s="624"/>
      <c r="M508" s="625"/>
      <c r="N508" s="625"/>
      <c r="O508" s="626"/>
      <c r="P508" s="615"/>
      <c r="Q508" s="616"/>
      <c r="R508" s="646"/>
      <c r="S508" s="615"/>
      <c r="T508" s="615"/>
      <c r="U508" s="615"/>
      <c r="V508" s="615"/>
      <c r="W508" s="615"/>
      <c r="X508" s="615"/>
      <c r="Y508" s="619"/>
      <c r="Z508" s="647"/>
      <c r="AA508" s="648"/>
      <c r="AB508" s="648"/>
      <c r="AC508" s="648"/>
      <c r="AD508" s="648"/>
      <c r="AE508" s="648"/>
      <c r="AF508" s="649"/>
      <c r="AG508" s="650"/>
      <c r="AH508" s="650"/>
      <c r="AI508" s="623"/>
    </row>
    <row r="509" spans="12:35" ht="45" customHeight="1" thickBot="1" x14ac:dyDescent="0.25">
      <c r="L509" s="624"/>
      <c r="M509" s="625"/>
      <c r="N509" s="625"/>
      <c r="O509" s="626"/>
      <c r="P509" s="615"/>
      <c r="Q509" s="616"/>
      <c r="R509" s="646"/>
      <c r="S509" s="615"/>
      <c r="T509" s="615"/>
      <c r="U509" s="615"/>
      <c r="V509" s="615"/>
      <c r="W509" s="615"/>
      <c r="X509" s="615"/>
      <c r="Y509" s="619"/>
      <c r="Z509" s="647"/>
      <c r="AA509" s="648"/>
      <c r="AB509" s="648"/>
      <c r="AC509" s="648"/>
      <c r="AD509" s="648"/>
      <c r="AE509" s="648"/>
      <c r="AF509" s="649"/>
      <c r="AG509" s="650"/>
      <c r="AH509" s="650"/>
      <c r="AI509" s="623"/>
    </row>
    <row r="510" spans="12:35" ht="45" customHeight="1" thickBot="1" x14ac:dyDescent="0.25">
      <c r="L510" s="624"/>
      <c r="M510" s="625"/>
      <c r="N510" s="625"/>
      <c r="O510" s="626"/>
      <c r="P510" s="615"/>
      <c r="Q510" s="616"/>
      <c r="R510" s="646"/>
      <c r="S510" s="615"/>
      <c r="T510" s="615"/>
      <c r="U510" s="615"/>
      <c r="V510" s="615"/>
      <c r="W510" s="615"/>
      <c r="X510" s="615"/>
      <c r="Y510" s="619"/>
      <c r="Z510" s="647"/>
      <c r="AA510" s="648"/>
      <c r="AB510" s="648"/>
      <c r="AC510" s="648"/>
      <c r="AD510" s="648"/>
      <c r="AE510" s="648"/>
      <c r="AF510" s="649"/>
      <c r="AG510" s="650"/>
      <c r="AH510" s="650"/>
      <c r="AI510" s="623"/>
    </row>
    <row r="511" spans="12:35" ht="45" customHeight="1" thickBot="1" x14ac:dyDescent="0.25">
      <c r="L511" s="624"/>
      <c r="M511" s="625"/>
      <c r="N511" s="625"/>
      <c r="O511" s="626"/>
      <c r="P511" s="615"/>
      <c r="Q511" s="616"/>
      <c r="R511" s="646"/>
      <c r="S511" s="615"/>
      <c r="T511" s="615"/>
      <c r="U511" s="615"/>
      <c r="V511" s="615"/>
      <c r="W511" s="615"/>
      <c r="X511" s="615"/>
      <c r="Y511" s="619"/>
      <c r="Z511" s="647"/>
      <c r="AA511" s="648"/>
      <c r="AB511" s="648"/>
      <c r="AC511" s="648"/>
      <c r="AD511" s="648"/>
      <c r="AE511" s="648"/>
      <c r="AF511" s="649"/>
      <c r="AG511" s="650"/>
      <c r="AH511" s="650"/>
      <c r="AI511" s="623"/>
    </row>
    <row r="512" spans="12:35" ht="45" customHeight="1" thickBot="1" x14ac:dyDescent="0.25">
      <c r="L512" s="624"/>
      <c r="M512" s="625"/>
      <c r="N512" s="625"/>
      <c r="O512" s="626"/>
      <c r="P512" s="615"/>
      <c r="Q512" s="616"/>
      <c r="R512" s="646"/>
      <c r="S512" s="615"/>
      <c r="T512" s="615"/>
      <c r="U512" s="615"/>
      <c r="V512" s="615"/>
      <c r="W512" s="615"/>
      <c r="X512" s="615"/>
      <c r="Y512" s="619"/>
      <c r="Z512" s="647"/>
      <c r="AA512" s="648"/>
      <c r="AB512" s="648"/>
      <c r="AC512" s="648"/>
      <c r="AD512" s="648"/>
      <c r="AE512" s="648"/>
      <c r="AF512" s="649"/>
      <c r="AG512" s="650"/>
      <c r="AH512" s="650"/>
      <c r="AI512" s="623"/>
    </row>
    <row r="513" spans="12:35" ht="45" customHeight="1" thickBot="1" x14ac:dyDescent="0.25">
      <c r="L513" s="624"/>
      <c r="M513" s="625"/>
      <c r="N513" s="625"/>
      <c r="O513" s="626"/>
      <c r="P513" s="615"/>
      <c r="Q513" s="616"/>
      <c r="R513" s="646"/>
      <c r="S513" s="615"/>
      <c r="T513" s="615"/>
      <c r="U513" s="615"/>
      <c r="V513" s="615"/>
      <c r="W513" s="615"/>
      <c r="X513" s="615"/>
      <c r="Y513" s="619"/>
      <c r="Z513" s="647"/>
      <c r="AA513" s="648"/>
      <c r="AB513" s="648"/>
      <c r="AC513" s="648"/>
      <c r="AD513" s="648"/>
      <c r="AE513" s="648"/>
      <c r="AF513" s="649"/>
      <c r="AG513" s="650"/>
      <c r="AH513" s="650"/>
      <c r="AI513" s="623"/>
    </row>
    <row r="514" spans="12:35" ht="45" customHeight="1" thickBot="1" x14ac:dyDescent="0.25">
      <c r="L514" s="624"/>
      <c r="M514" s="625"/>
      <c r="N514" s="625"/>
      <c r="O514" s="626"/>
      <c r="P514" s="615"/>
      <c r="Q514" s="616"/>
      <c r="R514" s="646"/>
      <c r="S514" s="615"/>
      <c r="T514" s="615"/>
      <c r="U514" s="615"/>
      <c r="V514" s="615"/>
      <c r="W514" s="615"/>
      <c r="X514" s="615"/>
      <c r="Y514" s="619"/>
      <c r="Z514" s="647"/>
      <c r="AA514" s="648"/>
      <c r="AB514" s="648"/>
      <c r="AC514" s="648"/>
      <c r="AD514" s="648"/>
      <c r="AE514" s="648"/>
      <c r="AF514" s="649"/>
      <c r="AG514" s="650"/>
      <c r="AH514" s="650"/>
      <c r="AI514" s="623"/>
    </row>
    <row r="515" spans="12:35" ht="45" customHeight="1" thickBot="1" x14ac:dyDescent="0.25">
      <c r="L515" s="651"/>
      <c r="M515" s="652"/>
      <c r="N515" s="652"/>
      <c r="O515" s="653"/>
      <c r="P515" s="654"/>
      <c r="Q515" s="647"/>
      <c r="R515" s="646"/>
      <c r="S515" s="615"/>
      <c r="T515" s="615"/>
      <c r="U515" s="615"/>
      <c r="V515" s="615"/>
      <c r="W515" s="615"/>
      <c r="X515" s="615"/>
      <c r="Y515" s="619"/>
      <c r="Z515" s="647"/>
      <c r="AA515" s="648"/>
      <c r="AB515" s="648"/>
      <c r="AC515" s="648"/>
      <c r="AD515" s="648"/>
      <c r="AE515" s="648"/>
      <c r="AF515" s="649"/>
      <c r="AG515" s="650"/>
      <c r="AH515" s="650"/>
      <c r="AI515" s="623"/>
    </row>
    <row r="516" spans="12:35" ht="45" customHeight="1" thickBot="1" x14ac:dyDescent="0.25">
      <c r="L516" s="624"/>
      <c r="M516" s="625"/>
      <c r="N516" s="625"/>
      <c r="O516" s="626"/>
      <c r="P516" s="615"/>
      <c r="Q516" s="616"/>
      <c r="R516" s="646"/>
      <c r="S516" s="615"/>
      <c r="T516" s="615"/>
      <c r="U516" s="615"/>
      <c r="V516" s="615"/>
      <c r="W516" s="615"/>
      <c r="X516" s="615"/>
      <c r="Y516" s="619"/>
      <c r="Z516" s="647"/>
      <c r="AA516" s="648"/>
      <c r="AB516" s="648"/>
      <c r="AC516" s="648"/>
      <c r="AD516" s="648"/>
      <c r="AE516" s="648"/>
      <c r="AF516" s="649"/>
      <c r="AG516" s="650"/>
      <c r="AH516" s="650"/>
      <c r="AI516" s="623"/>
    </row>
    <row r="517" spans="12:35" ht="45" customHeight="1" thickBot="1" x14ac:dyDescent="0.25">
      <c r="L517" s="624"/>
      <c r="M517" s="625"/>
      <c r="N517" s="625"/>
      <c r="O517" s="626"/>
      <c r="P517" s="615"/>
      <c r="Q517" s="616"/>
      <c r="R517" s="646"/>
      <c r="S517" s="615"/>
      <c r="T517" s="615"/>
      <c r="U517" s="615"/>
      <c r="V517" s="615"/>
      <c r="W517" s="615"/>
      <c r="X517" s="615"/>
      <c r="Y517" s="619"/>
      <c r="Z517" s="647"/>
      <c r="AA517" s="648"/>
      <c r="AB517" s="648"/>
      <c r="AC517" s="648"/>
      <c r="AD517" s="648"/>
      <c r="AE517" s="648"/>
      <c r="AF517" s="649"/>
      <c r="AG517" s="650"/>
      <c r="AH517" s="650"/>
      <c r="AI517" s="623"/>
    </row>
    <row r="518" spans="12:35" ht="45" customHeight="1" thickBot="1" x14ac:dyDescent="0.25">
      <c r="L518" s="624"/>
      <c r="M518" s="625"/>
      <c r="N518" s="625"/>
      <c r="O518" s="626"/>
      <c r="P518" s="615"/>
      <c r="Q518" s="616"/>
      <c r="R518" s="646"/>
      <c r="S518" s="615"/>
      <c r="T518" s="615"/>
      <c r="U518" s="615"/>
      <c r="V518" s="615"/>
      <c r="W518" s="615"/>
      <c r="X518" s="615"/>
      <c r="Y518" s="619"/>
      <c r="Z518" s="647"/>
      <c r="AA518" s="648"/>
      <c r="AB518" s="648"/>
      <c r="AC518" s="648"/>
      <c r="AD518" s="648"/>
      <c r="AE518" s="648"/>
      <c r="AF518" s="649"/>
      <c r="AG518" s="650"/>
      <c r="AH518" s="650"/>
      <c r="AI518" s="623"/>
    </row>
    <row r="519" spans="12:35" ht="45" customHeight="1" thickBot="1" x14ac:dyDescent="0.25">
      <c r="L519" s="624"/>
      <c r="M519" s="625"/>
      <c r="N519" s="625"/>
      <c r="O519" s="626"/>
      <c r="P519" s="615"/>
      <c r="Q519" s="616"/>
      <c r="R519" s="646"/>
      <c r="S519" s="615"/>
      <c r="T519" s="615"/>
      <c r="U519" s="615"/>
      <c r="V519" s="615"/>
      <c r="W519" s="615"/>
      <c r="X519" s="615"/>
      <c r="Y519" s="619"/>
      <c r="Z519" s="647"/>
      <c r="AA519" s="648"/>
      <c r="AB519" s="648"/>
      <c r="AC519" s="648"/>
      <c r="AD519" s="648"/>
      <c r="AE519" s="648"/>
      <c r="AF519" s="649"/>
      <c r="AG519" s="650"/>
      <c r="AH519" s="650"/>
      <c r="AI519" s="623"/>
    </row>
    <row r="520" spans="12:35" ht="45" customHeight="1" thickBot="1" x14ac:dyDescent="0.25">
      <c r="L520" s="624"/>
      <c r="M520" s="625"/>
      <c r="N520" s="625"/>
      <c r="O520" s="626"/>
      <c r="P520" s="615"/>
      <c r="Q520" s="616"/>
      <c r="R520" s="646"/>
      <c r="S520" s="615"/>
      <c r="T520" s="615"/>
      <c r="U520" s="615"/>
      <c r="V520" s="615"/>
      <c r="W520" s="615"/>
      <c r="X520" s="615"/>
      <c r="Y520" s="619"/>
      <c r="Z520" s="647"/>
      <c r="AA520" s="648"/>
      <c r="AB520" s="648"/>
      <c r="AC520" s="648"/>
      <c r="AD520" s="648"/>
      <c r="AE520" s="648"/>
      <c r="AF520" s="649"/>
      <c r="AG520" s="650"/>
      <c r="AH520" s="650"/>
      <c r="AI520" s="623"/>
    </row>
    <row r="521" spans="12:35" ht="45" customHeight="1" thickBot="1" x14ac:dyDescent="0.25">
      <c r="L521" s="624"/>
      <c r="M521" s="625"/>
      <c r="N521" s="625"/>
      <c r="O521" s="626"/>
      <c r="P521" s="615"/>
      <c r="Q521" s="616"/>
      <c r="R521" s="646"/>
      <c r="S521" s="615"/>
      <c r="T521" s="615"/>
      <c r="U521" s="615"/>
      <c r="V521" s="615"/>
      <c r="W521" s="615"/>
      <c r="X521" s="615"/>
      <c r="Y521" s="619"/>
      <c r="Z521" s="647"/>
      <c r="AA521" s="648"/>
      <c r="AB521" s="648"/>
      <c r="AC521" s="648"/>
      <c r="AD521" s="648"/>
      <c r="AE521" s="648"/>
      <c r="AF521" s="649"/>
      <c r="AG521" s="650"/>
      <c r="AH521" s="650"/>
      <c r="AI521" s="623"/>
    </row>
    <row r="522" spans="12:35" ht="45" customHeight="1" thickBot="1" x14ac:dyDescent="0.25">
      <c r="L522" s="624"/>
      <c r="M522" s="625"/>
      <c r="N522" s="625"/>
      <c r="O522" s="626"/>
      <c r="P522" s="615"/>
      <c r="Q522" s="616"/>
      <c r="R522" s="646"/>
      <c r="S522" s="615"/>
      <c r="T522" s="615"/>
      <c r="U522" s="615"/>
      <c r="V522" s="615"/>
      <c r="W522" s="615"/>
      <c r="X522" s="615"/>
      <c r="Y522" s="619"/>
      <c r="Z522" s="647"/>
      <c r="AA522" s="648"/>
      <c r="AB522" s="648"/>
      <c r="AC522" s="648"/>
      <c r="AD522" s="648"/>
      <c r="AE522" s="648"/>
      <c r="AF522" s="649"/>
      <c r="AG522" s="650"/>
      <c r="AH522" s="650"/>
      <c r="AI522" s="623"/>
    </row>
    <row r="523" spans="12:35" ht="45" customHeight="1" thickBot="1" x14ac:dyDescent="0.25">
      <c r="L523" s="624"/>
      <c r="M523" s="625"/>
      <c r="N523" s="625"/>
      <c r="O523" s="626"/>
      <c r="P523" s="615"/>
      <c r="Q523" s="616"/>
      <c r="R523" s="646"/>
      <c r="S523" s="615"/>
      <c r="T523" s="615"/>
      <c r="U523" s="615"/>
      <c r="V523" s="615"/>
      <c r="W523" s="615"/>
      <c r="X523" s="615"/>
      <c r="Y523" s="619"/>
      <c r="Z523" s="647"/>
      <c r="AA523" s="648"/>
      <c r="AB523" s="648"/>
      <c r="AC523" s="648"/>
      <c r="AD523" s="648"/>
      <c r="AE523" s="648"/>
      <c r="AF523" s="649"/>
      <c r="AG523" s="650"/>
      <c r="AH523" s="650"/>
      <c r="AI523" s="623"/>
    </row>
    <row r="524" spans="12:35" ht="45" customHeight="1" thickBot="1" x14ac:dyDescent="0.25">
      <c r="L524" s="624"/>
      <c r="M524" s="625"/>
      <c r="N524" s="625"/>
      <c r="O524" s="626"/>
      <c r="P524" s="615"/>
      <c r="Q524" s="616"/>
      <c r="R524" s="646"/>
      <c r="S524" s="615"/>
      <c r="T524" s="615"/>
      <c r="U524" s="615"/>
      <c r="V524" s="615"/>
      <c r="W524" s="615"/>
      <c r="X524" s="615"/>
      <c r="Y524" s="619"/>
      <c r="Z524" s="647"/>
      <c r="AA524" s="648"/>
      <c r="AB524" s="648"/>
      <c r="AC524" s="648"/>
      <c r="AD524" s="648"/>
      <c r="AE524" s="648"/>
      <c r="AF524" s="649"/>
      <c r="AG524" s="650"/>
      <c r="AH524" s="650"/>
      <c r="AI524" s="623"/>
    </row>
    <row r="525" spans="12:35" ht="45" customHeight="1" thickBot="1" x14ac:dyDescent="0.25">
      <c r="L525" s="624"/>
      <c r="M525" s="625"/>
      <c r="N525" s="625"/>
      <c r="O525" s="626"/>
      <c r="P525" s="615"/>
      <c r="Q525" s="616"/>
      <c r="R525" s="646"/>
      <c r="S525" s="615"/>
      <c r="T525" s="615"/>
      <c r="U525" s="615"/>
      <c r="V525" s="615"/>
      <c r="W525" s="615"/>
      <c r="X525" s="615"/>
      <c r="Y525" s="619"/>
      <c r="Z525" s="647"/>
      <c r="AA525" s="648"/>
      <c r="AB525" s="648"/>
      <c r="AC525" s="648"/>
      <c r="AD525" s="648"/>
      <c r="AE525" s="648"/>
      <c r="AF525" s="649"/>
      <c r="AG525" s="650"/>
      <c r="AH525" s="650"/>
      <c r="AI525" s="623"/>
    </row>
    <row r="526" spans="12:35" ht="45" customHeight="1" thickBot="1" x14ac:dyDescent="0.25">
      <c r="L526" s="624"/>
      <c r="M526" s="625"/>
      <c r="N526" s="625"/>
      <c r="O526" s="626"/>
      <c r="P526" s="615"/>
      <c r="Q526" s="616"/>
      <c r="R526" s="646"/>
      <c r="S526" s="615"/>
      <c r="T526" s="615"/>
      <c r="U526" s="615"/>
      <c r="V526" s="615"/>
      <c r="W526" s="615"/>
      <c r="X526" s="615"/>
      <c r="Y526" s="619"/>
      <c r="Z526" s="647"/>
      <c r="AA526" s="648"/>
      <c r="AB526" s="648"/>
      <c r="AC526" s="648"/>
      <c r="AD526" s="648"/>
      <c r="AE526" s="648"/>
      <c r="AF526" s="649"/>
      <c r="AG526" s="650"/>
      <c r="AH526" s="650"/>
      <c r="AI526" s="623"/>
    </row>
    <row r="527" spans="12:35" ht="45" customHeight="1" thickBot="1" x14ac:dyDescent="0.25">
      <c r="L527" s="624"/>
      <c r="M527" s="625"/>
      <c r="N527" s="625"/>
      <c r="O527" s="626"/>
      <c r="P527" s="615"/>
      <c r="Q527" s="616"/>
      <c r="R527" s="646"/>
      <c r="S527" s="615"/>
      <c r="T527" s="615"/>
      <c r="U527" s="615"/>
      <c r="V527" s="615"/>
      <c r="W527" s="615"/>
      <c r="X527" s="615"/>
      <c r="Y527" s="619"/>
      <c r="Z527" s="647"/>
      <c r="AA527" s="648"/>
      <c r="AB527" s="648"/>
      <c r="AC527" s="648"/>
      <c r="AD527" s="648"/>
      <c r="AE527" s="648"/>
      <c r="AF527" s="649"/>
      <c r="AG527" s="650"/>
      <c r="AH527" s="650"/>
      <c r="AI527" s="623"/>
    </row>
    <row r="528" spans="12:35" ht="45" customHeight="1" thickBot="1" x14ac:dyDescent="0.25">
      <c r="L528" s="624"/>
      <c r="M528" s="625"/>
      <c r="N528" s="625"/>
      <c r="O528" s="626"/>
      <c r="P528" s="615"/>
      <c r="Q528" s="616"/>
      <c r="R528" s="646"/>
      <c r="S528" s="615"/>
      <c r="T528" s="615"/>
      <c r="U528" s="615"/>
      <c r="V528" s="615"/>
      <c r="W528" s="615"/>
      <c r="X528" s="615"/>
      <c r="Y528" s="619"/>
      <c r="Z528" s="647"/>
      <c r="AA528" s="648"/>
      <c r="AB528" s="648"/>
      <c r="AC528" s="648"/>
      <c r="AD528" s="648"/>
      <c r="AE528" s="648"/>
      <c r="AF528" s="649"/>
      <c r="AG528" s="650"/>
      <c r="AH528" s="650"/>
      <c r="AI528" s="623"/>
    </row>
    <row r="529" spans="12:35" ht="45" customHeight="1" thickBot="1" x14ac:dyDescent="0.25">
      <c r="L529" s="624"/>
      <c r="M529" s="625"/>
      <c r="N529" s="625"/>
      <c r="O529" s="626"/>
      <c r="P529" s="615"/>
      <c r="Q529" s="616"/>
      <c r="R529" s="646"/>
      <c r="S529" s="615"/>
      <c r="T529" s="615"/>
      <c r="U529" s="615"/>
      <c r="V529" s="615"/>
      <c r="W529" s="615"/>
      <c r="X529" s="615"/>
      <c r="Y529" s="619"/>
      <c r="Z529" s="647"/>
      <c r="AA529" s="648"/>
      <c r="AB529" s="648"/>
      <c r="AC529" s="648"/>
      <c r="AD529" s="648"/>
      <c r="AE529" s="648"/>
      <c r="AF529" s="649"/>
      <c r="AG529" s="650"/>
      <c r="AH529" s="650"/>
      <c r="AI529" s="623"/>
    </row>
    <row r="530" spans="12:35" ht="45" customHeight="1" thickBot="1" x14ac:dyDescent="0.25">
      <c r="L530" s="624"/>
      <c r="M530" s="625"/>
      <c r="N530" s="625"/>
      <c r="O530" s="626"/>
      <c r="P530" s="615"/>
      <c r="Q530" s="616"/>
      <c r="R530" s="646"/>
      <c r="S530" s="615"/>
      <c r="T530" s="615"/>
      <c r="U530" s="615"/>
      <c r="V530" s="615"/>
      <c r="W530" s="615"/>
      <c r="X530" s="615"/>
      <c r="Y530" s="619"/>
      <c r="Z530" s="647"/>
      <c r="AA530" s="648"/>
      <c r="AB530" s="648"/>
      <c r="AC530" s="648"/>
      <c r="AD530" s="648"/>
      <c r="AE530" s="648"/>
      <c r="AF530" s="649"/>
      <c r="AG530" s="650"/>
      <c r="AH530" s="650"/>
      <c r="AI530" s="623"/>
    </row>
    <row r="531" spans="12:35" ht="45" customHeight="1" thickBot="1" x14ac:dyDescent="0.25">
      <c r="L531" s="624"/>
      <c r="M531" s="625"/>
      <c r="N531" s="625"/>
      <c r="O531" s="626"/>
      <c r="P531" s="615"/>
      <c r="Q531" s="616"/>
      <c r="R531" s="646"/>
      <c r="S531" s="615"/>
      <c r="T531" s="615"/>
      <c r="U531" s="615"/>
      <c r="V531" s="615"/>
      <c r="W531" s="615"/>
      <c r="X531" s="615"/>
      <c r="Y531" s="619"/>
      <c r="Z531" s="647"/>
      <c r="AA531" s="648"/>
      <c r="AB531" s="648"/>
      <c r="AC531" s="648"/>
      <c r="AD531" s="648"/>
      <c r="AE531" s="648"/>
      <c r="AF531" s="649"/>
      <c r="AG531" s="650"/>
      <c r="AH531" s="650"/>
      <c r="AI531" s="623"/>
    </row>
    <row r="532" spans="12:35" ht="45" customHeight="1" thickBot="1" x14ac:dyDescent="0.25">
      <c r="L532" s="624"/>
      <c r="M532" s="625"/>
      <c r="N532" s="625"/>
      <c r="O532" s="626"/>
      <c r="P532" s="615"/>
      <c r="Q532" s="616"/>
      <c r="R532" s="646"/>
      <c r="S532" s="615"/>
      <c r="T532" s="615"/>
      <c r="U532" s="615"/>
      <c r="V532" s="615"/>
      <c r="W532" s="615"/>
      <c r="X532" s="615"/>
      <c r="Y532" s="619"/>
      <c r="Z532" s="647"/>
      <c r="AA532" s="648"/>
      <c r="AB532" s="648"/>
      <c r="AC532" s="648"/>
      <c r="AD532" s="648"/>
      <c r="AE532" s="648"/>
      <c r="AF532" s="649"/>
      <c r="AG532" s="650"/>
      <c r="AH532" s="650"/>
      <c r="AI532" s="623"/>
    </row>
    <row r="533" spans="12:35" ht="45" customHeight="1" thickBot="1" x14ac:dyDescent="0.25">
      <c r="L533" s="624"/>
      <c r="M533" s="625"/>
      <c r="N533" s="625"/>
      <c r="O533" s="626"/>
      <c r="P533" s="615"/>
      <c r="Q533" s="616"/>
      <c r="R533" s="646"/>
      <c r="S533" s="615"/>
      <c r="T533" s="615"/>
      <c r="U533" s="615"/>
      <c r="V533" s="615"/>
      <c r="W533" s="615"/>
      <c r="X533" s="615"/>
      <c r="Y533" s="619"/>
      <c r="Z533" s="647"/>
      <c r="AA533" s="648"/>
      <c r="AB533" s="648"/>
      <c r="AC533" s="648"/>
      <c r="AD533" s="648"/>
      <c r="AE533" s="648"/>
      <c r="AF533" s="649"/>
      <c r="AG533" s="650"/>
      <c r="AH533" s="650"/>
      <c r="AI533" s="623"/>
    </row>
    <row r="534" spans="12:35" ht="45" customHeight="1" thickBot="1" x14ac:dyDescent="0.25">
      <c r="L534" s="624"/>
      <c r="M534" s="625"/>
      <c r="N534" s="625"/>
      <c r="O534" s="626"/>
      <c r="P534" s="615"/>
      <c r="Q534" s="616"/>
      <c r="R534" s="646"/>
      <c r="S534" s="615"/>
      <c r="T534" s="615"/>
      <c r="U534" s="615"/>
      <c r="V534" s="615"/>
      <c r="W534" s="615"/>
      <c r="X534" s="615"/>
      <c r="Y534" s="619"/>
      <c r="Z534" s="647"/>
      <c r="AA534" s="648"/>
      <c r="AB534" s="648"/>
      <c r="AC534" s="648"/>
      <c r="AD534" s="648"/>
      <c r="AE534" s="648"/>
      <c r="AF534" s="649"/>
      <c r="AG534" s="650"/>
      <c r="AH534" s="650"/>
      <c r="AI534" s="623"/>
    </row>
    <row r="535" spans="12:35" ht="45" customHeight="1" thickBot="1" x14ac:dyDescent="0.25">
      <c r="L535" s="624"/>
      <c r="M535" s="625"/>
      <c r="N535" s="625"/>
      <c r="O535" s="626"/>
      <c r="P535" s="615"/>
      <c r="Q535" s="616"/>
      <c r="R535" s="646"/>
      <c r="S535" s="615"/>
      <c r="T535" s="615"/>
      <c r="U535" s="615"/>
      <c r="V535" s="615"/>
      <c r="W535" s="615"/>
      <c r="X535" s="615"/>
      <c r="Y535" s="619"/>
      <c r="Z535" s="647"/>
      <c r="AA535" s="648"/>
      <c r="AB535" s="648"/>
      <c r="AC535" s="648"/>
      <c r="AD535" s="648"/>
      <c r="AE535" s="648"/>
      <c r="AF535" s="649"/>
      <c r="AG535" s="650"/>
      <c r="AH535" s="650"/>
      <c r="AI535" s="623"/>
    </row>
    <row r="536" spans="12:35" ht="45" customHeight="1" thickBot="1" x14ac:dyDescent="0.25">
      <c r="L536" s="624"/>
      <c r="M536" s="625"/>
      <c r="N536" s="625"/>
      <c r="O536" s="626"/>
      <c r="P536" s="615"/>
      <c r="Q536" s="616"/>
      <c r="R536" s="646"/>
      <c r="S536" s="615"/>
      <c r="T536" s="615"/>
      <c r="U536" s="615"/>
      <c r="V536" s="615"/>
      <c r="W536" s="615"/>
      <c r="X536" s="615"/>
      <c r="Y536" s="619"/>
      <c r="Z536" s="647"/>
      <c r="AA536" s="648"/>
      <c r="AB536" s="648"/>
      <c r="AC536" s="648"/>
      <c r="AD536" s="648"/>
      <c r="AE536" s="648"/>
      <c r="AF536" s="649"/>
      <c r="AG536" s="650"/>
      <c r="AH536" s="650"/>
      <c r="AI536" s="623"/>
    </row>
    <row r="537" spans="12:35" ht="45" customHeight="1" thickBot="1" x14ac:dyDescent="0.25">
      <c r="L537" s="624"/>
      <c r="M537" s="625"/>
      <c r="N537" s="625"/>
      <c r="O537" s="626"/>
      <c r="P537" s="615"/>
      <c r="Q537" s="616"/>
      <c r="R537" s="646"/>
      <c r="S537" s="615"/>
      <c r="T537" s="615"/>
      <c r="U537" s="615"/>
      <c r="V537" s="615"/>
      <c r="W537" s="615"/>
      <c r="X537" s="615"/>
      <c r="Y537" s="619"/>
      <c r="Z537" s="647"/>
      <c r="AA537" s="648"/>
      <c r="AB537" s="648"/>
      <c r="AC537" s="648"/>
      <c r="AD537" s="648"/>
      <c r="AE537" s="648"/>
      <c r="AF537" s="649"/>
      <c r="AG537" s="650"/>
      <c r="AH537" s="650"/>
      <c r="AI537" s="623"/>
    </row>
    <row r="538" spans="12:35" ht="45" customHeight="1" thickBot="1" x14ac:dyDescent="0.25">
      <c r="L538" s="624"/>
      <c r="M538" s="625"/>
      <c r="N538" s="625"/>
      <c r="O538" s="626"/>
      <c r="P538" s="615"/>
      <c r="Q538" s="616"/>
      <c r="R538" s="646"/>
      <c r="S538" s="615"/>
      <c r="T538" s="615"/>
      <c r="U538" s="615"/>
      <c r="V538" s="615"/>
      <c r="W538" s="615"/>
      <c r="X538" s="615"/>
      <c r="Y538" s="619"/>
      <c r="Z538" s="647"/>
      <c r="AA538" s="648"/>
      <c r="AB538" s="648"/>
      <c r="AC538" s="648"/>
      <c r="AD538" s="648"/>
      <c r="AE538" s="648"/>
      <c r="AF538" s="649"/>
      <c r="AG538" s="650"/>
      <c r="AH538" s="650"/>
      <c r="AI538" s="623"/>
    </row>
    <row r="539" spans="12:35" ht="45" customHeight="1" thickBot="1" x14ac:dyDescent="0.25">
      <c r="L539" s="624"/>
      <c r="M539" s="625"/>
      <c r="N539" s="625"/>
      <c r="O539" s="626"/>
      <c r="P539" s="615"/>
      <c r="Q539" s="616"/>
      <c r="R539" s="646"/>
      <c r="S539" s="615"/>
      <c r="T539" s="615"/>
      <c r="U539" s="615"/>
      <c r="V539" s="615"/>
      <c r="W539" s="615"/>
      <c r="X539" s="615"/>
      <c r="Y539" s="619"/>
      <c r="Z539" s="647"/>
      <c r="AA539" s="648"/>
      <c r="AB539" s="648"/>
      <c r="AC539" s="648"/>
      <c r="AD539" s="648"/>
      <c r="AE539" s="648"/>
      <c r="AF539" s="649"/>
      <c r="AG539" s="650"/>
      <c r="AH539" s="650"/>
      <c r="AI539" s="623"/>
    </row>
    <row r="540" spans="12:35" ht="45" customHeight="1" thickBot="1" x14ac:dyDescent="0.25">
      <c r="L540" s="624"/>
      <c r="M540" s="625"/>
      <c r="N540" s="625"/>
      <c r="O540" s="626"/>
      <c r="P540" s="615"/>
      <c r="Q540" s="616"/>
      <c r="R540" s="646"/>
      <c r="S540" s="615"/>
      <c r="T540" s="615"/>
      <c r="U540" s="615"/>
      <c r="V540" s="615"/>
      <c r="W540" s="615"/>
      <c r="X540" s="615"/>
      <c r="Y540" s="619"/>
      <c r="Z540" s="647"/>
      <c r="AA540" s="648"/>
      <c r="AB540" s="648"/>
      <c r="AC540" s="648"/>
      <c r="AD540" s="648"/>
      <c r="AE540" s="648"/>
      <c r="AF540" s="649"/>
      <c r="AG540" s="650"/>
      <c r="AH540" s="650"/>
      <c r="AI540" s="623"/>
    </row>
    <row r="541" spans="12:35" ht="45" customHeight="1" thickBot="1" x14ac:dyDescent="0.25">
      <c r="L541" s="624"/>
      <c r="M541" s="625"/>
      <c r="N541" s="625"/>
      <c r="O541" s="626"/>
      <c r="P541" s="615"/>
      <c r="Q541" s="616"/>
      <c r="R541" s="646"/>
      <c r="S541" s="615"/>
      <c r="T541" s="615"/>
      <c r="U541" s="615"/>
      <c r="V541" s="615"/>
      <c r="W541" s="615"/>
      <c r="X541" s="615"/>
      <c r="Y541" s="619"/>
      <c r="Z541" s="647"/>
      <c r="AA541" s="648"/>
      <c r="AB541" s="648"/>
      <c r="AC541" s="648"/>
      <c r="AD541" s="648"/>
      <c r="AE541" s="648"/>
      <c r="AF541" s="649"/>
      <c r="AG541" s="650"/>
      <c r="AH541" s="650"/>
      <c r="AI541" s="623"/>
    </row>
    <row r="542" spans="12:35" ht="45" customHeight="1" thickBot="1" x14ac:dyDescent="0.25">
      <c r="L542" s="624"/>
      <c r="M542" s="625"/>
      <c r="N542" s="625"/>
      <c r="O542" s="626"/>
      <c r="P542" s="615"/>
      <c r="Q542" s="616"/>
      <c r="R542" s="646"/>
      <c r="S542" s="615"/>
      <c r="T542" s="615"/>
      <c r="U542" s="615"/>
      <c r="V542" s="615"/>
      <c r="W542" s="615"/>
      <c r="X542" s="615"/>
      <c r="Y542" s="619"/>
      <c r="Z542" s="647"/>
      <c r="AA542" s="648"/>
      <c r="AB542" s="648"/>
      <c r="AC542" s="648"/>
      <c r="AD542" s="648"/>
      <c r="AE542" s="648"/>
      <c r="AF542" s="649"/>
      <c r="AG542" s="650"/>
      <c r="AH542" s="650"/>
      <c r="AI542" s="623"/>
    </row>
    <row r="543" spans="12:35" ht="45" customHeight="1" thickBot="1" x14ac:dyDescent="0.25">
      <c r="L543" s="624"/>
      <c r="M543" s="625"/>
      <c r="N543" s="625"/>
      <c r="O543" s="626"/>
      <c r="P543" s="615"/>
      <c r="Q543" s="616"/>
      <c r="R543" s="646"/>
      <c r="S543" s="615"/>
      <c r="T543" s="615"/>
      <c r="U543" s="615"/>
      <c r="V543" s="615"/>
      <c r="W543" s="615"/>
      <c r="X543" s="615"/>
      <c r="Y543" s="619"/>
      <c r="Z543" s="647"/>
      <c r="AA543" s="648"/>
      <c r="AB543" s="648"/>
      <c r="AC543" s="648"/>
      <c r="AD543" s="648"/>
      <c r="AE543" s="648"/>
      <c r="AF543" s="649"/>
      <c r="AG543" s="650"/>
      <c r="AH543" s="650"/>
      <c r="AI543" s="623"/>
    </row>
    <row r="544" spans="12:35" ht="45" customHeight="1" thickBot="1" x14ac:dyDescent="0.25">
      <c r="L544" s="624"/>
      <c r="M544" s="625"/>
      <c r="N544" s="625"/>
      <c r="O544" s="626"/>
      <c r="P544" s="615"/>
      <c r="Q544" s="616"/>
      <c r="R544" s="646"/>
      <c r="S544" s="615"/>
      <c r="T544" s="615"/>
      <c r="U544" s="615"/>
      <c r="V544" s="615"/>
      <c r="W544" s="615"/>
      <c r="X544" s="615"/>
      <c r="Y544" s="619"/>
      <c r="Z544" s="647"/>
      <c r="AA544" s="648"/>
      <c r="AB544" s="648"/>
      <c r="AC544" s="648"/>
      <c r="AD544" s="648"/>
      <c r="AE544" s="648"/>
      <c r="AF544" s="649"/>
      <c r="AG544" s="650"/>
      <c r="AH544" s="650"/>
      <c r="AI544" s="623"/>
    </row>
    <row r="545" spans="12:35" ht="45" customHeight="1" thickBot="1" x14ac:dyDescent="0.25">
      <c r="L545" s="624"/>
      <c r="M545" s="625"/>
      <c r="N545" s="625"/>
      <c r="O545" s="626"/>
      <c r="P545" s="615"/>
      <c r="Q545" s="616"/>
      <c r="R545" s="646"/>
      <c r="S545" s="615"/>
      <c r="T545" s="615"/>
      <c r="U545" s="615"/>
      <c r="V545" s="615"/>
      <c r="W545" s="615"/>
      <c r="X545" s="615"/>
      <c r="Y545" s="619"/>
      <c r="Z545" s="647"/>
      <c r="AA545" s="648"/>
      <c r="AB545" s="648"/>
      <c r="AC545" s="648"/>
      <c r="AD545" s="648"/>
      <c r="AE545" s="648"/>
      <c r="AF545" s="649"/>
      <c r="AG545" s="650"/>
      <c r="AH545" s="650"/>
      <c r="AI545" s="623"/>
    </row>
    <row r="546" spans="12:35" ht="45" customHeight="1" thickBot="1" x14ac:dyDescent="0.25">
      <c r="L546" s="624"/>
      <c r="M546" s="625"/>
      <c r="N546" s="625"/>
      <c r="O546" s="626"/>
      <c r="P546" s="615"/>
      <c r="Q546" s="616"/>
      <c r="R546" s="646"/>
      <c r="S546" s="615"/>
      <c r="T546" s="615"/>
      <c r="U546" s="615"/>
      <c r="V546" s="615"/>
      <c r="W546" s="615"/>
      <c r="X546" s="615"/>
      <c r="Y546" s="619"/>
      <c r="Z546" s="647"/>
      <c r="AA546" s="648"/>
      <c r="AB546" s="648"/>
      <c r="AC546" s="648"/>
      <c r="AD546" s="648"/>
      <c r="AE546" s="648"/>
      <c r="AF546" s="649"/>
      <c r="AG546" s="650"/>
      <c r="AH546" s="650"/>
      <c r="AI546" s="623"/>
    </row>
    <row r="547" spans="12:35" ht="45" customHeight="1" thickBot="1" x14ac:dyDescent="0.25">
      <c r="L547" s="624"/>
      <c r="M547" s="625"/>
      <c r="N547" s="625"/>
      <c r="O547" s="626"/>
      <c r="P547" s="615"/>
      <c r="Q547" s="616"/>
      <c r="R547" s="646"/>
      <c r="S547" s="615"/>
      <c r="T547" s="615"/>
      <c r="U547" s="615"/>
      <c r="V547" s="615"/>
      <c r="W547" s="615"/>
      <c r="X547" s="615"/>
      <c r="Y547" s="619"/>
      <c r="Z547" s="647"/>
      <c r="AA547" s="648"/>
      <c r="AB547" s="648"/>
      <c r="AC547" s="648"/>
      <c r="AD547" s="648"/>
      <c r="AE547" s="648"/>
      <c r="AF547" s="649"/>
      <c r="AG547" s="650"/>
      <c r="AH547" s="650"/>
      <c r="AI547" s="623"/>
    </row>
    <row r="548" spans="12:35" ht="45" customHeight="1" thickBot="1" x14ac:dyDescent="0.25">
      <c r="L548" s="624"/>
      <c r="M548" s="625"/>
      <c r="N548" s="625"/>
      <c r="O548" s="626"/>
      <c r="P548" s="615"/>
      <c r="Q548" s="616"/>
      <c r="R548" s="646"/>
      <c r="S548" s="615"/>
      <c r="T548" s="615"/>
      <c r="U548" s="615"/>
      <c r="V548" s="615"/>
      <c r="W548" s="615"/>
      <c r="X548" s="615"/>
      <c r="Y548" s="619"/>
      <c r="Z548" s="647"/>
      <c r="AA548" s="648"/>
      <c r="AB548" s="648"/>
      <c r="AC548" s="648"/>
      <c r="AD548" s="648"/>
      <c r="AE548" s="648"/>
      <c r="AF548" s="649"/>
      <c r="AG548" s="650"/>
      <c r="AH548" s="650"/>
      <c r="AI548" s="623"/>
    </row>
    <row r="549" spans="12:35" ht="45" customHeight="1" thickBot="1" x14ac:dyDescent="0.25">
      <c r="L549" s="624"/>
      <c r="M549" s="625"/>
      <c r="N549" s="625"/>
      <c r="O549" s="626"/>
      <c r="P549" s="615"/>
      <c r="Q549" s="616"/>
      <c r="R549" s="646"/>
      <c r="S549" s="615"/>
      <c r="T549" s="615"/>
      <c r="U549" s="615"/>
      <c r="V549" s="615"/>
      <c r="W549" s="615"/>
      <c r="X549" s="615"/>
      <c r="Y549" s="619"/>
      <c r="Z549" s="647"/>
      <c r="AA549" s="648"/>
      <c r="AB549" s="648"/>
      <c r="AC549" s="648"/>
      <c r="AD549" s="648"/>
      <c r="AE549" s="648"/>
      <c r="AF549" s="649"/>
      <c r="AG549" s="650"/>
      <c r="AH549" s="650"/>
      <c r="AI549" s="623"/>
    </row>
    <row r="550" spans="12:35" ht="45" customHeight="1" thickBot="1" x14ac:dyDescent="0.25">
      <c r="L550" s="624"/>
      <c r="M550" s="625"/>
      <c r="N550" s="625"/>
      <c r="O550" s="626"/>
      <c r="P550" s="615"/>
      <c r="Q550" s="616"/>
      <c r="R550" s="646"/>
      <c r="S550" s="615"/>
      <c r="T550" s="615"/>
      <c r="U550" s="615"/>
      <c r="V550" s="615"/>
      <c r="W550" s="615"/>
      <c r="X550" s="615"/>
      <c r="Y550" s="619"/>
      <c r="Z550" s="647"/>
      <c r="AA550" s="648"/>
      <c r="AB550" s="648"/>
      <c r="AC550" s="648"/>
      <c r="AD550" s="648"/>
      <c r="AE550" s="648"/>
      <c r="AF550" s="649"/>
      <c r="AG550" s="650"/>
      <c r="AH550" s="650"/>
      <c r="AI550" s="623"/>
    </row>
    <row r="551" spans="12:35" ht="45" customHeight="1" thickBot="1" x14ac:dyDescent="0.25">
      <c r="L551" s="624"/>
      <c r="M551" s="625"/>
      <c r="N551" s="625"/>
      <c r="O551" s="626"/>
      <c r="P551" s="615"/>
      <c r="Q551" s="616"/>
      <c r="R551" s="646"/>
      <c r="S551" s="615"/>
      <c r="T551" s="615"/>
      <c r="U551" s="615"/>
      <c r="V551" s="615"/>
      <c r="W551" s="615"/>
      <c r="X551" s="615"/>
      <c r="Y551" s="619"/>
      <c r="Z551" s="647"/>
      <c r="AA551" s="648"/>
      <c r="AB551" s="648"/>
      <c r="AC551" s="648"/>
      <c r="AD551" s="648"/>
      <c r="AE551" s="648"/>
      <c r="AF551" s="649"/>
      <c r="AG551" s="650"/>
      <c r="AH551" s="650"/>
      <c r="AI551" s="623"/>
    </row>
    <row r="552" spans="12:35" ht="45" customHeight="1" thickBot="1" x14ac:dyDescent="0.25">
      <c r="L552" s="624"/>
      <c r="M552" s="625"/>
      <c r="N552" s="625"/>
      <c r="O552" s="626"/>
      <c r="P552" s="615"/>
      <c r="Q552" s="616"/>
      <c r="R552" s="646"/>
      <c r="S552" s="615"/>
      <c r="T552" s="615"/>
      <c r="U552" s="615"/>
      <c r="V552" s="615"/>
      <c r="W552" s="615"/>
      <c r="X552" s="615"/>
      <c r="Y552" s="619"/>
      <c r="Z552" s="647"/>
      <c r="AA552" s="648"/>
      <c r="AB552" s="648"/>
      <c r="AC552" s="648"/>
      <c r="AD552" s="648"/>
      <c r="AE552" s="648"/>
      <c r="AF552" s="649"/>
      <c r="AG552" s="650"/>
      <c r="AH552" s="650"/>
      <c r="AI552" s="623"/>
    </row>
    <row r="553" spans="12:35" ht="45" customHeight="1" thickBot="1" x14ac:dyDescent="0.25">
      <c r="L553" s="624"/>
      <c r="M553" s="625"/>
      <c r="N553" s="625"/>
      <c r="O553" s="626"/>
      <c r="P553" s="615"/>
      <c r="Q553" s="616"/>
      <c r="R553" s="646"/>
      <c r="S553" s="615"/>
      <c r="T553" s="615"/>
      <c r="U553" s="615"/>
      <c r="V553" s="615"/>
      <c r="W553" s="615"/>
      <c r="X553" s="615"/>
      <c r="Y553" s="619"/>
      <c r="Z553" s="647"/>
      <c r="AA553" s="648"/>
      <c r="AB553" s="648"/>
      <c r="AC553" s="648"/>
      <c r="AD553" s="648"/>
      <c r="AE553" s="648"/>
      <c r="AF553" s="649"/>
      <c r="AG553" s="650"/>
      <c r="AH553" s="650"/>
      <c r="AI553" s="623"/>
    </row>
    <row r="554" spans="12:35" ht="45" customHeight="1" thickBot="1" x14ac:dyDescent="0.25">
      <c r="L554" s="624"/>
      <c r="M554" s="625"/>
      <c r="N554" s="625"/>
      <c r="O554" s="626"/>
      <c r="P554" s="615"/>
      <c r="Q554" s="616"/>
      <c r="R554" s="646"/>
      <c r="S554" s="615"/>
      <c r="T554" s="615"/>
      <c r="U554" s="615"/>
      <c r="V554" s="615"/>
      <c r="W554" s="615"/>
      <c r="X554" s="615"/>
      <c r="Y554" s="619"/>
      <c r="Z554" s="647"/>
      <c r="AA554" s="648"/>
      <c r="AB554" s="648"/>
      <c r="AC554" s="648"/>
      <c r="AD554" s="648"/>
      <c r="AE554" s="648"/>
      <c r="AF554" s="649"/>
      <c r="AG554" s="650"/>
      <c r="AH554" s="650"/>
      <c r="AI554" s="623"/>
    </row>
    <row r="555" spans="12:35" ht="45" customHeight="1" thickBot="1" x14ac:dyDescent="0.25">
      <c r="L555" s="624"/>
      <c r="M555" s="625"/>
      <c r="N555" s="625"/>
      <c r="O555" s="626"/>
      <c r="P555" s="615"/>
      <c r="Q555" s="616"/>
      <c r="R555" s="646"/>
      <c r="S555" s="615"/>
      <c r="T555" s="615"/>
      <c r="U555" s="615"/>
      <c r="V555" s="615"/>
      <c r="W555" s="615"/>
      <c r="X555" s="615"/>
      <c r="Y555" s="619"/>
      <c r="Z555" s="647"/>
      <c r="AA555" s="648"/>
      <c r="AB555" s="648"/>
      <c r="AC555" s="648"/>
      <c r="AD555" s="648"/>
      <c r="AE555" s="648"/>
      <c r="AF555" s="649"/>
      <c r="AG555" s="650"/>
      <c r="AH555" s="650"/>
      <c r="AI555" s="623"/>
    </row>
    <row r="556" spans="12:35" ht="45" customHeight="1" thickBot="1" x14ac:dyDescent="0.25">
      <c r="L556" s="624"/>
      <c r="M556" s="625"/>
      <c r="N556" s="625"/>
      <c r="O556" s="626"/>
      <c r="P556" s="615"/>
      <c r="Q556" s="616"/>
      <c r="R556" s="646"/>
      <c r="S556" s="615"/>
      <c r="T556" s="615"/>
      <c r="U556" s="615"/>
      <c r="V556" s="615"/>
      <c r="W556" s="615"/>
      <c r="X556" s="615"/>
      <c r="Y556" s="619"/>
      <c r="Z556" s="647"/>
      <c r="AA556" s="648"/>
      <c r="AB556" s="648"/>
      <c r="AC556" s="648"/>
      <c r="AD556" s="648"/>
      <c r="AE556" s="648"/>
      <c r="AF556" s="649"/>
      <c r="AG556" s="650"/>
      <c r="AH556" s="650"/>
      <c r="AI556" s="623"/>
    </row>
    <row r="557" spans="12:35" ht="45" customHeight="1" thickBot="1" x14ac:dyDescent="0.25">
      <c r="L557" s="624"/>
      <c r="M557" s="625"/>
      <c r="N557" s="625"/>
      <c r="O557" s="626"/>
      <c r="P557" s="615"/>
      <c r="Q557" s="616"/>
      <c r="R557" s="646"/>
      <c r="S557" s="615"/>
      <c r="T557" s="615"/>
      <c r="U557" s="615"/>
      <c r="V557" s="615"/>
      <c r="W557" s="615"/>
      <c r="X557" s="615"/>
      <c r="Y557" s="619"/>
      <c r="Z557" s="647"/>
      <c r="AA557" s="648"/>
      <c r="AB557" s="648"/>
      <c r="AC557" s="648"/>
      <c r="AD557" s="648"/>
      <c r="AE557" s="648"/>
      <c r="AF557" s="649"/>
      <c r="AG557" s="650"/>
      <c r="AH557" s="650"/>
      <c r="AI557" s="623"/>
    </row>
    <row r="558" spans="12:35" ht="45" customHeight="1" thickBot="1" x14ac:dyDescent="0.25">
      <c r="L558" s="624"/>
      <c r="M558" s="625"/>
      <c r="N558" s="625"/>
      <c r="O558" s="626"/>
      <c r="P558" s="615"/>
      <c r="Q558" s="616"/>
      <c r="R558" s="646"/>
      <c r="S558" s="615"/>
      <c r="T558" s="615"/>
      <c r="U558" s="615"/>
      <c r="V558" s="615"/>
      <c r="W558" s="615"/>
      <c r="X558" s="615"/>
      <c r="Y558" s="619"/>
      <c r="Z558" s="647"/>
      <c r="AA558" s="648"/>
      <c r="AB558" s="648"/>
      <c r="AC558" s="648"/>
      <c r="AD558" s="648"/>
      <c r="AE558" s="648"/>
      <c r="AF558" s="649"/>
      <c r="AG558" s="650"/>
      <c r="AH558" s="650"/>
      <c r="AI558" s="623"/>
    </row>
    <row r="559" spans="12:35" ht="45" customHeight="1" thickBot="1" x14ac:dyDescent="0.25">
      <c r="L559" s="624"/>
      <c r="M559" s="625"/>
      <c r="N559" s="625"/>
      <c r="O559" s="626"/>
      <c r="P559" s="615"/>
      <c r="Q559" s="616"/>
      <c r="R559" s="646"/>
      <c r="S559" s="615"/>
      <c r="T559" s="615"/>
      <c r="U559" s="615"/>
      <c r="V559" s="615"/>
      <c r="W559" s="615"/>
      <c r="X559" s="615"/>
      <c r="Y559" s="619"/>
      <c r="Z559" s="647"/>
      <c r="AA559" s="648"/>
      <c r="AB559" s="648"/>
      <c r="AC559" s="648"/>
      <c r="AD559" s="648"/>
      <c r="AE559" s="648"/>
      <c r="AF559" s="649"/>
      <c r="AG559" s="650"/>
      <c r="AH559" s="650"/>
      <c r="AI559" s="623"/>
    </row>
    <row r="560" spans="12:35" ht="45" customHeight="1" thickBot="1" x14ac:dyDescent="0.25">
      <c r="L560" s="655"/>
      <c r="M560" s="656"/>
      <c r="N560" s="656"/>
      <c r="O560" s="657"/>
      <c r="P560" s="615"/>
      <c r="Q560" s="616"/>
      <c r="R560" s="646"/>
      <c r="S560" s="615"/>
      <c r="T560" s="615"/>
      <c r="U560" s="615"/>
      <c r="V560" s="615"/>
      <c r="W560" s="615"/>
      <c r="X560" s="615"/>
      <c r="Y560" s="619"/>
      <c r="Z560" s="647"/>
      <c r="AA560" s="648"/>
      <c r="AB560" s="648"/>
      <c r="AC560" s="648"/>
      <c r="AD560" s="648"/>
      <c r="AE560" s="648"/>
      <c r="AF560" s="649"/>
      <c r="AG560" s="650"/>
      <c r="AH560" s="650"/>
      <c r="AI560" s="623"/>
    </row>
    <row r="561" spans="12:35" ht="45" customHeight="1" thickBot="1" x14ac:dyDescent="0.25">
      <c r="L561" s="624"/>
      <c r="M561" s="625"/>
      <c r="N561" s="625"/>
      <c r="O561" s="626"/>
      <c r="P561" s="615"/>
      <c r="Q561" s="616"/>
      <c r="R561" s="646"/>
      <c r="S561" s="615"/>
      <c r="T561" s="615"/>
      <c r="U561" s="615"/>
      <c r="V561" s="615"/>
      <c r="W561" s="615"/>
      <c r="X561" s="615"/>
      <c r="Y561" s="619"/>
      <c r="Z561" s="647"/>
      <c r="AA561" s="648"/>
      <c r="AB561" s="648"/>
      <c r="AC561" s="648"/>
      <c r="AD561" s="648"/>
      <c r="AE561" s="648"/>
      <c r="AF561" s="649"/>
      <c r="AG561" s="650"/>
      <c r="AH561" s="650"/>
      <c r="AI561" s="623"/>
    </row>
    <row r="562" spans="12:35" ht="45" customHeight="1" thickBot="1" x14ac:dyDescent="0.25">
      <c r="L562" s="624"/>
      <c r="M562" s="625"/>
      <c r="N562" s="625"/>
      <c r="O562" s="626"/>
      <c r="P562" s="615"/>
      <c r="Q562" s="616"/>
      <c r="R562" s="646"/>
      <c r="S562" s="615"/>
      <c r="T562" s="615"/>
      <c r="U562" s="615"/>
      <c r="V562" s="615"/>
      <c r="W562" s="615"/>
      <c r="X562" s="615"/>
      <c r="Y562" s="619"/>
      <c r="Z562" s="647"/>
      <c r="AA562" s="648"/>
      <c r="AB562" s="648"/>
      <c r="AC562" s="648"/>
      <c r="AD562" s="648"/>
      <c r="AE562" s="648"/>
      <c r="AF562" s="649"/>
      <c r="AG562" s="650"/>
      <c r="AH562" s="650"/>
      <c r="AI562" s="623"/>
    </row>
    <row r="563" spans="12:35" ht="45" customHeight="1" thickBot="1" x14ac:dyDescent="0.25">
      <c r="L563" s="624"/>
      <c r="M563" s="625"/>
      <c r="N563" s="625"/>
      <c r="O563" s="626"/>
      <c r="P563" s="615"/>
      <c r="Q563" s="616"/>
      <c r="R563" s="646"/>
      <c r="S563" s="615"/>
      <c r="T563" s="615"/>
      <c r="U563" s="615"/>
      <c r="V563" s="615"/>
      <c r="W563" s="615"/>
      <c r="X563" s="615"/>
      <c r="Y563" s="619"/>
      <c r="Z563" s="647"/>
      <c r="AA563" s="648"/>
      <c r="AB563" s="648"/>
      <c r="AC563" s="648"/>
      <c r="AD563" s="648"/>
      <c r="AE563" s="648"/>
      <c r="AF563" s="649"/>
      <c r="AG563" s="650"/>
      <c r="AH563" s="650"/>
      <c r="AI563" s="623"/>
    </row>
    <row r="564" spans="12:35" ht="45" customHeight="1" thickBot="1" x14ac:dyDescent="0.25">
      <c r="L564" s="624"/>
      <c r="M564" s="625"/>
      <c r="N564" s="625"/>
      <c r="O564" s="626"/>
      <c r="P564" s="615"/>
      <c r="Q564" s="616"/>
      <c r="R564" s="646"/>
      <c r="S564" s="615"/>
      <c r="T564" s="615"/>
      <c r="U564" s="615"/>
      <c r="V564" s="615"/>
      <c r="W564" s="615"/>
      <c r="X564" s="615"/>
      <c r="Y564" s="619"/>
      <c r="Z564" s="647"/>
      <c r="AA564" s="648"/>
      <c r="AB564" s="648"/>
      <c r="AC564" s="648"/>
      <c r="AD564" s="648"/>
      <c r="AE564" s="648"/>
      <c r="AF564" s="649"/>
      <c r="AG564" s="650"/>
      <c r="AH564" s="650"/>
      <c r="AI564" s="623"/>
    </row>
    <row r="565" spans="12:35" ht="45" customHeight="1" thickBot="1" x14ac:dyDescent="0.25">
      <c r="L565" s="624"/>
      <c r="M565" s="625"/>
      <c r="N565" s="625"/>
      <c r="O565" s="626"/>
      <c r="P565" s="615"/>
      <c r="Q565" s="616"/>
      <c r="R565" s="646"/>
      <c r="S565" s="615"/>
      <c r="T565" s="615"/>
      <c r="U565" s="615"/>
      <c r="V565" s="615"/>
      <c r="W565" s="615"/>
      <c r="X565" s="615"/>
      <c r="Y565" s="619"/>
      <c r="Z565" s="647"/>
      <c r="AA565" s="648"/>
      <c r="AB565" s="648"/>
      <c r="AC565" s="648"/>
      <c r="AD565" s="648"/>
      <c r="AE565" s="648"/>
      <c r="AF565" s="649"/>
      <c r="AG565" s="650"/>
      <c r="AH565" s="650"/>
      <c r="AI565" s="623"/>
    </row>
    <row r="566" spans="12:35" ht="45" customHeight="1" thickBot="1" x14ac:dyDescent="0.25">
      <c r="L566" s="624"/>
      <c r="M566" s="625"/>
      <c r="N566" s="625"/>
      <c r="O566" s="626"/>
      <c r="P566" s="615"/>
      <c r="Q566" s="616"/>
      <c r="R566" s="646"/>
      <c r="S566" s="615"/>
      <c r="T566" s="615"/>
      <c r="U566" s="615"/>
      <c r="V566" s="615"/>
      <c r="W566" s="615"/>
      <c r="X566" s="615"/>
      <c r="Y566" s="619"/>
      <c r="Z566" s="647"/>
      <c r="AA566" s="648"/>
      <c r="AB566" s="648"/>
      <c r="AC566" s="648"/>
      <c r="AD566" s="648"/>
      <c r="AE566" s="648"/>
      <c r="AF566" s="649"/>
      <c r="AG566" s="650"/>
      <c r="AH566" s="650"/>
      <c r="AI566" s="623"/>
    </row>
    <row r="567" spans="12:35" ht="45" customHeight="1" thickBot="1" x14ac:dyDescent="0.25">
      <c r="L567" s="624"/>
      <c r="M567" s="625"/>
      <c r="N567" s="625"/>
      <c r="O567" s="626"/>
      <c r="P567" s="615"/>
      <c r="Q567" s="616"/>
      <c r="R567" s="646"/>
      <c r="S567" s="615"/>
      <c r="T567" s="615"/>
      <c r="U567" s="615"/>
      <c r="V567" s="615"/>
      <c r="W567" s="615"/>
      <c r="X567" s="615"/>
      <c r="Y567" s="619"/>
      <c r="Z567" s="647"/>
      <c r="AA567" s="648"/>
      <c r="AB567" s="648"/>
      <c r="AC567" s="648"/>
      <c r="AD567" s="648"/>
      <c r="AE567" s="648"/>
      <c r="AF567" s="649"/>
      <c r="AG567" s="650"/>
      <c r="AH567" s="650"/>
      <c r="AI567" s="623"/>
    </row>
    <row r="568" spans="12:35" ht="45" customHeight="1" thickBot="1" x14ac:dyDescent="0.25">
      <c r="L568" s="624"/>
      <c r="M568" s="625"/>
      <c r="N568" s="625"/>
      <c r="O568" s="626"/>
      <c r="P568" s="615"/>
      <c r="Q568" s="616"/>
      <c r="R568" s="646"/>
      <c r="S568" s="615"/>
      <c r="T568" s="615"/>
      <c r="U568" s="615"/>
      <c r="V568" s="615"/>
      <c r="W568" s="615"/>
      <c r="X568" s="615"/>
      <c r="Y568" s="619"/>
      <c r="Z568" s="647"/>
      <c r="AA568" s="648"/>
      <c r="AB568" s="648"/>
      <c r="AC568" s="648"/>
      <c r="AD568" s="648"/>
      <c r="AE568" s="648"/>
      <c r="AF568" s="649"/>
      <c r="AG568" s="650"/>
      <c r="AH568" s="650"/>
      <c r="AI568" s="623"/>
    </row>
    <row r="569" spans="12:35" ht="45" customHeight="1" thickBot="1" x14ac:dyDescent="0.25">
      <c r="L569" s="658"/>
      <c r="M569" s="659"/>
      <c r="N569" s="659"/>
      <c r="O569" s="660"/>
      <c r="P569" s="661"/>
      <c r="Q569" s="662"/>
      <c r="R569" s="646"/>
      <c r="S569" s="615"/>
      <c r="T569" s="615"/>
      <c r="U569" s="615"/>
      <c r="V569" s="615"/>
      <c r="W569" s="615"/>
      <c r="X569" s="615"/>
      <c r="Y569" s="619"/>
      <c r="Z569" s="647"/>
      <c r="AA569" s="648"/>
      <c r="AB569" s="648"/>
      <c r="AC569" s="648"/>
      <c r="AD569" s="648"/>
      <c r="AE569" s="648"/>
      <c r="AF569" s="649"/>
      <c r="AG569" s="650"/>
      <c r="AH569" s="650"/>
      <c r="AI569" s="623"/>
    </row>
    <row r="570" spans="12:35" ht="45" customHeight="1" thickBot="1" x14ac:dyDescent="0.25">
      <c r="L570" s="624"/>
      <c r="M570" s="625"/>
      <c r="N570" s="625"/>
      <c r="O570" s="626"/>
      <c r="P570" s="615"/>
      <c r="Q570" s="616"/>
      <c r="R570" s="646"/>
      <c r="S570" s="615"/>
      <c r="T570" s="615"/>
      <c r="U570" s="615"/>
      <c r="V570" s="615"/>
      <c r="W570" s="615"/>
      <c r="X570" s="615"/>
      <c r="Y570" s="619"/>
      <c r="Z570" s="647"/>
      <c r="AA570" s="648"/>
      <c r="AB570" s="648"/>
      <c r="AC570" s="648"/>
      <c r="AD570" s="648"/>
      <c r="AE570" s="648"/>
      <c r="AF570" s="649"/>
      <c r="AG570" s="650"/>
      <c r="AH570" s="650"/>
      <c r="AI570" s="623"/>
    </row>
    <row r="571" spans="12:35" ht="45" customHeight="1" thickBot="1" x14ac:dyDescent="0.25">
      <c r="L571" s="624"/>
      <c r="M571" s="625"/>
      <c r="N571" s="625"/>
      <c r="O571" s="626"/>
      <c r="P571" s="615"/>
      <c r="Q571" s="616"/>
      <c r="R571" s="646"/>
      <c r="S571" s="615"/>
      <c r="T571" s="615"/>
      <c r="U571" s="615"/>
      <c r="V571" s="615"/>
      <c r="W571" s="615"/>
      <c r="X571" s="615"/>
      <c r="Y571" s="619"/>
      <c r="Z571" s="647"/>
      <c r="AA571" s="648"/>
      <c r="AB571" s="648"/>
      <c r="AC571" s="648"/>
      <c r="AD571" s="648"/>
      <c r="AE571" s="648"/>
      <c r="AF571" s="649"/>
      <c r="AG571" s="650"/>
      <c r="AH571" s="650"/>
      <c r="AI571" s="623"/>
    </row>
    <row r="572" spans="12:35" ht="45" customHeight="1" thickBot="1" x14ac:dyDescent="0.25">
      <c r="L572" s="655"/>
      <c r="M572" s="656"/>
      <c r="N572" s="656"/>
      <c r="O572" s="657"/>
      <c r="P572" s="615"/>
      <c r="Q572" s="616"/>
      <c r="R572" s="646"/>
      <c r="S572" s="615"/>
      <c r="T572" s="615"/>
      <c r="U572" s="615"/>
      <c r="V572" s="615"/>
      <c r="W572" s="615"/>
      <c r="X572" s="615"/>
      <c r="Y572" s="619"/>
      <c r="Z572" s="647"/>
      <c r="AA572" s="648"/>
      <c r="AB572" s="648"/>
      <c r="AC572" s="648"/>
      <c r="AD572" s="648"/>
      <c r="AE572" s="648"/>
      <c r="AF572" s="649"/>
      <c r="AG572" s="650"/>
      <c r="AH572" s="650"/>
      <c r="AI572" s="623"/>
    </row>
    <row r="573" spans="12:35" ht="45" customHeight="1" thickBot="1" x14ac:dyDescent="0.25">
      <c r="L573" s="624"/>
      <c r="M573" s="625"/>
      <c r="N573" s="625"/>
      <c r="O573" s="626"/>
      <c r="P573" s="615"/>
      <c r="Q573" s="616"/>
      <c r="R573" s="646"/>
      <c r="S573" s="615"/>
      <c r="T573" s="615"/>
      <c r="U573" s="615"/>
      <c r="V573" s="615"/>
      <c r="W573" s="615"/>
      <c r="X573" s="615"/>
      <c r="Y573" s="619"/>
      <c r="Z573" s="647"/>
      <c r="AA573" s="648"/>
      <c r="AB573" s="648"/>
      <c r="AC573" s="648"/>
      <c r="AD573" s="648"/>
      <c r="AE573" s="648"/>
      <c r="AF573" s="649"/>
      <c r="AG573" s="650"/>
      <c r="AH573" s="650"/>
      <c r="AI573" s="623"/>
    </row>
    <row r="574" spans="12:35" ht="45" customHeight="1" thickBot="1" x14ac:dyDescent="0.25">
      <c r="L574" s="624"/>
      <c r="M574" s="625"/>
      <c r="N574" s="625"/>
      <c r="O574" s="626"/>
      <c r="P574" s="615"/>
      <c r="Q574" s="616"/>
      <c r="R574" s="646"/>
      <c r="S574" s="615"/>
      <c r="T574" s="615"/>
      <c r="U574" s="615"/>
      <c r="V574" s="615"/>
      <c r="W574" s="615"/>
      <c r="X574" s="615"/>
      <c r="Y574" s="619"/>
      <c r="Z574" s="647"/>
      <c r="AA574" s="648"/>
      <c r="AB574" s="648"/>
      <c r="AC574" s="648"/>
      <c r="AD574" s="648"/>
      <c r="AE574" s="648"/>
      <c r="AF574" s="649"/>
      <c r="AG574" s="650"/>
      <c r="AH574" s="650"/>
      <c r="AI574" s="623"/>
    </row>
    <row r="575" spans="12:35" ht="45" customHeight="1" thickBot="1" x14ac:dyDescent="0.25">
      <c r="L575" s="624"/>
      <c r="M575" s="625"/>
      <c r="N575" s="625"/>
      <c r="O575" s="626"/>
      <c r="P575" s="615"/>
      <c r="Q575" s="616"/>
      <c r="R575" s="646"/>
      <c r="S575" s="615"/>
      <c r="T575" s="615"/>
      <c r="U575" s="615"/>
      <c r="V575" s="615"/>
      <c r="W575" s="615"/>
      <c r="X575" s="615"/>
      <c r="Y575" s="619"/>
      <c r="Z575" s="647"/>
      <c r="AA575" s="648"/>
      <c r="AB575" s="648"/>
      <c r="AC575" s="648"/>
      <c r="AD575" s="648"/>
      <c r="AE575" s="648"/>
      <c r="AF575" s="649"/>
      <c r="AG575" s="650"/>
      <c r="AH575" s="650"/>
      <c r="AI575" s="623"/>
    </row>
    <row r="576" spans="12:35" ht="45" customHeight="1" thickBot="1" x14ac:dyDescent="0.25">
      <c r="L576" s="624"/>
      <c r="M576" s="625"/>
      <c r="N576" s="625"/>
      <c r="O576" s="626"/>
      <c r="P576" s="615"/>
      <c r="Q576" s="616"/>
      <c r="R576" s="646"/>
      <c r="S576" s="615"/>
      <c r="T576" s="615"/>
      <c r="U576" s="615"/>
      <c r="V576" s="615"/>
      <c r="W576" s="615"/>
      <c r="X576" s="615"/>
      <c r="Y576" s="619"/>
      <c r="Z576" s="647"/>
      <c r="AA576" s="648"/>
      <c r="AB576" s="648"/>
      <c r="AC576" s="648"/>
      <c r="AD576" s="648"/>
      <c r="AE576" s="648"/>
      <c r="AF576" s="649"/>
      <c r="AG576" s="650"/>
      <c r="AH576" s="650"/>
      <c r="AI576" s="623"/>
    </row>
    <row r="577" spans="12:35" ht="45" customHeight="1" thickBot="1" x14ac:dyDescent="0.25">
      <c r="L577" s="624"/>
      <c r="M577" s="625"/>
      <c r="N577" s="625"/>
      <c r="O577" s="626"/>
      <c r="P577" s="615"/>
      <c r="Q577" s="616"/>
      <c r="R577" s="646"/>
      <c r="S577" s="615"/>
      <c r="T577" s="615"/>
      <c r="U577" s="615"/>
      <c r="V577" s="615"/>
      <c r="W577" s="615"/>
      <c r="X577" s="615"/>
      <c r="Y577" s="619"/>
      <c r="Z577" s="647"/>
      <c r="AA577" s="648"/>
      <c r="AB577" s="648"/>
      <c r="AC577" s="648"/>
      <c r="AD577" s="648"/>
      <c r="AE577" s="648"/>
      <c r="AF577" s="649"/>
      <c r="AG577" s="650"/>
      <c r="AH577" s="650"/>
      <c r="AI577" s="623"/>
    </row>
    <row r="578" spans="12:35" ht="45" customHeight="1" thickBot="1" x14ac:dyDescent="0.25">
      <c r="L578" s="624"/>
      <c r="M578" s="625"/>
      <c r="N578" s="625"/>
      <c r="O578" s="626"/>
      <c r="P578" s="615"/>
      <c r="Q578" s="616"/>
      <c r="R578" s="646"/>
      <c r="S578" s="615"/>
      <c r="T578" s="615"/>
      <c r="U578" s="615"/>
      <c r="V578" s="615"/>
      <c r="W578" s="615"/>
      <c r="X578" s="615"/>
      <c r="Y578" s="619"/>
      <c r="Z578" s="647"/>
      <c r="AA578" s="648"/>
      <c r="AB578" s="648"/>
      <c r="AC578" s="648"/>
      <c r="AD578" s="648"/>
      <c r="AE578" s="648"/>
      <c r="AF578" s="649"/>
      <c r="AG578" s="650"/>
      <c r="AH578" s="650"/>
      <c r="AI578" s="623"/>
    </row>
    <row r="579" spans="12:35" ht="45" customHeight="1" thickBot="1" x14ac:dyDescent="0.25">
      <c r="L579" s="624"/>
      <c r="M579" s="625"/>
      <c r="N579" s="625"/>
      <c r="O579" s="626"/>
      <c r="P579" s="615"/>
      <c r="Q579" s="616"/>
      <c r="R579" s="646"/>
      <c r="S579" s="615"/>
      <c r="T579" s="615"/>
      <c r="U579" s="615"/>
      <c r="V579" s="615"/>
      <c r="W579" s="615"/>
      <c r="X579" s="615"/>
      <c r="Y579" s="619"/>
      <c r="Z579" s="647"/>
      <c r="AA579" s="648"/>
      <c r="AB579" s="648"/>
      <c r="AC579" s="648"/>
      <c r="AD579" s="648"/>
      <c r="AE579" s="648"/>
      <c r="AF579" s="649"/>
      <c r="AG579" s="650"/>
      <c r="AH579" s="650"/>
      <c r="AI579" s="623"/>
    </row>
    <row r="580" spans="12:35" ht="45" customHeight="1" thickBot="1" x14ac:dyDescent="0.25">
      <c r="L580" s="624"/>
      <c r="M580" s="625"/>
      <c r="N580" s="625"/>
      <c r="O580" s="626"/>
      <c r="P580" s="615"/>
      <c r="Q580" s="616"/>
      <c r="R580" s="646"/>
      <c r="S580" s="615"/>
      <c r="T580" s="615"/>
      <c r="U580" s="615"/>
      <c r="V580" s="615"/>
      <c r="W580" s="615"/>
      <c r="X580" s="615"/>
      <c r="Y580" s="619"/>
      <c r="Z580" s="647"/>
      <c r="AA580" s="648"/>
      <c r="AB580" s="648"/>
      <c r="AC580" s="648"/>
      <c r="AD580" s="648"/>
      <c r="AE580" s="648"/>
      <c r="AF580" s="649"/>
      <c r="AG580" s="650"/>
      <c r="AH580" s="650"/>
      <c r="AI580" s="623"/>
    </row>
    <row r="581" spans="12:35" ht="45" customHeight="1" thickBot="1" x14ac:dyDescent="0.25">
      <c r="L581" s="624"/>
      <c r="M581" s="625"/>
      <c r="N581" s="625"/>
      <c r="O581" s="626"/>
      <c r="P581" s="615"/>
      <c r="Q581" s="616"/>
      <c r="R581" s="646"/>
      <c r="S581" s="615"/>
      <c r="T581" s="615"/>
      <c r="U581" s="615"/>
      <c r="V581" s="615"/>
      <c r="W581" s="615"/>
      <c r="X581" s="615"/>
      <c r="Y581" s="619"/>
      <c r="Z581" s="647"/>
      <c r="AA581" s="648"/>
      <c r="AB581" s="648"/>
      <c r="AC581" s="648"/>
      <c r="AD581" s="648"/>
      <c r="AE581" s="648"/>
      <c r="AF581" s="649"/>
      <c r="AG581" s="650"/>
      <c r="AH581" s="650"/>
      <c r="AI581" s="623"/>
    </row>
    <row r="582" spans="12:35" ht="45" customHeight="1" thickBot="1" x14ac:dyDescent="0.25">
      <c r="L582" s="624"/>
      <c r="M582" s="625"/>
      <c r="N582" s="625"/>
      <c r="O582" s="626"/>
      <c r="P582" s="615"/>
      <c r="Q582" s="616"/>
      <c r="R582" s="646"/>
      <c r="S582" s="615"/>
      <c r="T582" s="615"/>
      <c r="U582" s="615"/>
      <c r="V582" s="615"/>
      <c r="W582" s="615"/>
      <c r="X582" s="615"/>
      <c r="Y582" s="619"/>
      <c r="Z582" s="647"/>
      <c r="AA582" s="648"/>
      <c r="AB582" s="648"/>
      <c r="AC582" s="648"/>
      <c r="AD582" s="648"/>
      <c r="AE582" s="648"/>
      <c r="AF582" s="649"/>
      <c r="AG582" s="650"/>
      <c r="AH582" s="650"/>
      <c r="AI582" s="623"/>
    </row>
    <row r="583" spans="12:35" ht="45" customHeight="1" thickBot="1" x14ac:dyDescent="0.25">
      <c r="L583" s="624"/>
      <c r="M583" s="625"/>
      <c r="N583" s="625"/>
      <c r="O583" s="626"/>
      <c r="P583" s="615"/>
      <c r="Q583" s="616"/>
      <c r="R583" s="646"/>
      <c r="S583" s="615"/>
      <c r="T583" s="615"/>
      <c r="U583" s="615"/>
      <c r="V583" s="615"/>
      <c r="W583" s="615"/>
      <c r="X583" s="615"/>
      <c r="Y583" s="619"/>
      <c r="Z583" s="647"/>
      <c r="AA583" s="648"/>
      <c r="AB583" s="648"/>
      <c r="AC583" s="648"/>
      <c r="AD583" s="648"/>
      <c r="AE583" s="648"/>
      <c r="AF583" s="649"/>
      <c r="AG583" s="650"/>
      <c r="AH583" s="650"/>
      <c r="AI583" s="623"/>
    </row>
    <row r="584" spans="12:35" ht="45" customHeight="1" thickBot="1" x14ac:dyDescent="0.25">
      <c r="L584" s="624"/>
      <c r="M584" s="625"/>
      <c r="N584" s="625"/>
      <c r="O584" s="626"/>
      <c r="P584" s="615"/>
      <c r="Q584" s="616"/>
      <c r="R584" s="646"/>
      <c r="S584" s="615"/>
      <c r="T584" s="615"/>
      <c r="U584" s="615"/>
      <c r="V584" s="615"/>
      <c r="W584" s="615"/>
      <c r="X584" s="615"/>
      <c r="Y584" s="619"/>
      <c r="Z584" s="647"/>
      <c r="AA584" s="648"/>
      <c r="AB584" s="648"/>
      <c r="AC584" s="648"/>
      <c r="AD584" s="648"/>
      <c r="AE584" s="648"/>
      <c r="AF584" s="649"/>
      <c r="AG584" s="650"/>
      <c r="AH584" s="650"/>
      <c r="AI584" s="623"/>
    </row>
    <row r="585" spans="12:35" ht="45" customHeight="1" thickBot="1" x14ac:dyDescent="0.25">
      <c r="L585" s="624"/>
      <c r="M585" s="625"/>
      <c r="N585" s="625"/>
      <c r="O585" s="626"/>
      <c r="P585" s="615"/>
      <c r="Q585" s="616"/>
      <c r="R585" s="646"/>
      <c r="S585" s="615"/>
      <c r="T585" s="615"/>
      <c r="U585" s="615"/>
      <c r="V585" s="615"/>
      <c r="W585" s="615"/>
      <c r="X585" s="615"/>
      <c r="Y585" s="619"/>
      <c r="Z585" s="647"/>
      <c r="AA585" s="648"/>
      <c r="AB585" s="648"/>
      <c r="AC585" s="648"/>
      <c r="AD585" s="648"/>
      <c r="AE585" s="648"/>
      <c r="AF585" s="649"/>
      <c r="AG585" s="650"/>
      <c r="AH585" s="650"/>
      <c r="AI585" s="623"/>
    </row>
    <row r="586" spans="12:35" ht="45" customHeight="1" thickBot="1" x14ac:dyDescent="0.25">
      <c r="L586" s="624"/>
      <c r="M586" s="625"/>
      <c r="N586" s="625"/>
      <c r="O586" s="626"/>
      <c r="P586" s="615"/>
      <c r="Q586" s="616"/>
      <c r="R586" s="646"/>
      <c r="S586" s="615"/>
      <c r="T586" s="615"/>
      <c r="U586" s="615"/>
      <c r="V586" s="615"/>
      <c r="W586" s="615"/>
      <c r="X586" s="615"/>
      <c r="Y586" s="619"/>
      <c r="Z586" s="647"/>
      <c r="AA586" s="648"/>
      <c r="AB586" s="648"/>
      <c r="AC586" s="648"/>
      <c r="AD586" s="648"/>
      <c r="AE586" s="648"/>
      <c r="AF586" s="649"/>
      <c r="AG586" s="650"/>
      <c r="AH586" s="650"/>
      <c r="AI586" s="623"/>
    </row>
    <row r="587" spans="12:35" ht="45" customHeight="1" thickBot="1" x14ac:dyDescent="0.25">
      <c r="L587" s="624"/>
      <c r="M587" s="625"/>
      <c r="N587" s="625"/>
      <c r="O587" s="626"/>
      <c r="P587" s="615"/>
      <c r="Q587" s="616"/>
      <c r="R587" s="646"/>
      <c r="S587" s="615"/>
      <c r="T587" s="615"/>
      <c r="U587" s="615"/>
      <c r="V587" s="615"/>
      <c r="W587" s="615"/>
      <c r="X587" s="615"/>
      <c r="Y587" s="619"/>
      <c r="Z587" s="647"/>
      <c r="AA587" s="648"/>
      <c r="AB587" s="648"/>
      <c r="AC587" s="648"/>
      <c r="AD587" s="648"/>
      <c r="AE587" s="648"/>
      <c r="AF587" s="649"/>
      <c r="AG587" s="650"/>
      <c r="AH587" s="650"/>
      <c r="AI587" s="623"/>
    </row>
    <row r="588" spans="12:35" ht="45" customHeight="1" thickBot="1" x14ac:dyDescent="0.25">
      <c r="L588" s="624"/>
      <c r="M588" s="625"/>
      <c r="N588" s="625"/>
      <c r="O588" s="626"/>
      <c r="P588" s="615"/>
      <c r="Q588" s="616"/>
      <c r="R588" s="646"/>
      <c r="S588" s="615"/>
      <c r="T588" s="615"/>
      <c r="U588" s="615"/>
      <c r="V588" s="615"/>
      <c r="W588" s="615"/>
      <c r="X588" s="615"/>
      <c r="Y588" s="619"/>
      <c r="Z588" s="647"/>
      <c r="AA588" s="648"/>
      <c r="AB588" s="648"/>
      <c r="AC588" s="648"/>
      <c r="AD588" s="648"/>
      <c r="AE588" s="648"/>
      <c r="AF588" s="649"/>
      <c r="AG588" s="650"/>
      <c r="AH588" s="650"/>
      <c r="AI588" s="623"/>
    </row>
    <row r="589" spans="12:35" ht="45" customHeight="1" thickBot="1" x14ac:dyDescent="0.25">
      <c r="L589" s="624"/>
      <c r="M589" s="625"/>
      <c r="N589" s="625"/>
      <c r="O589" s="626"/>
      <c r="P589" s="615"/>
      <c r="Q589" s="616"/>
      <c r="R589" s="646"/>
      <c r="S589" s="615"/>
      <c r="T589" s="615"/>
      <c r="U589" s="615"/>
      <c r="V589" s="615"/>
      <c r="W589" s="615"/>
      <c r="X589" s="615"/>
      <c r="Y589" s="619"/>
      <c r="Z589" s="647"/>
      <c r="AA589" s="648"/>
      <c r="AB589" s="648"/>
      <c r="AC589" s="648"/>
      <c r="AD589" s="648"/>
      <c r="AE589" s="648"/>
      <c r="AF589" s="649"/>
      <c r="AG589" s="650"/>
      <c r="AH589" s="650"/>
      <c r="AI589" s="623"/>
    </row>
    <row r="590" spans="12:35" ht="45" customHeight="1" thickBot="1" x14ac:dyDescent="0.25">
      <c r="L590" s="624"/>
      <c r="M590" s="625"/>
      <c r="N590" s="625"/>
      <c r="O590" s="626"/>
      <c r="P590" s="615"/>
      <c r="Q590" s="616"/>
      <c r="R590" s="646"/>
      <c r="S590" s="615"/>
      <c r="T590" s="615"/>
      <c r="U590" s="615"/>
      <c r="V590" s="615"/>
      <c r="W590" s="615"/>
      <c r="X590" s="615"/>
      <c r="Y590" s="619"/>
      <c r="Z590" s="647"/>
      <c r="AA590" s="648"/>
      <c r="AB590" s="648"/>
      <c r="AC590" s="648"/>
      <c r="AD590" s="648"/>
      <c r="AE590" s="648"/>
      <c r="AF590" s="649"/>
      <c r="AG590" s="650"/>
      <c r="AH590" s="650"/>
      <c r="AI590" s="623"/>
    </row>
    <row r="591" spans="12:35" ht="45" customHeight="1" thickBot="1" x14ac:dyDescent="0.25">
      <c r="L591" s="624"/>
      <c r="M591" s="625"/>
      <c r="N591" s="625"/>
      <c r="O591" s="626"/>
      <c r="P591" s="615"/>
      <c r="Q591" s="616"/>
      <c r="R591" s="646"/>
      <c r="S591" s="615"/>
      <c r="T591" s="615"/>
      <c r="U591" s="615"/>
      <c r="V591" s="615"/>
      <c r="W591" s="615"/>
      <c r="X591" s="615"/>
      <c r="Y591" s="619"/>
      <c r="Z591" s="647"/>
      <c r="AA591" s="648"/>
      <c r="AB591" s="648"/>
      <c r="AC591" s="648"/>
      <c r="AD591" s="648"/>
      <c r="AE591" s="648"/>
      <c r="AF591" s="649"/>
      <c r="AG591" s="650"/>
      <c r="AH591" s="650"/>
      <c r="AI591" s="623"/>
    </row>
    <row r="592" spans="12:35" ht="45" customHeight="1" thickBot="1" x14ac:dyDescent="0.25">
      <c r="L592" s="624"/>
      <c r="M592" s="625"/>
      <c r="N592" s="625"/>
      <c r="O592" s="626"/>
      <c r="P592" s="615"/>
      <c r="Q592" s="616"/>
      <c r="R592" s="646"/>
      <c r="S592" s="615"/>
      <c r="T592" s="615"/>
      <c r="U592" s="615"/>
      <c r="V592" s="615"/>
      <c r="W592" s="615"/>
      <c r="X592" s="615"/>
      <c r="Y592" s="619"/>
      <c r="Z592" s="647"/>
      <c r="AA592" s="648"/>
      <c r="AB592" s="648"/>
      <c r="AC592" s="648"/>
      <c r="AD592" s="648"/>
      <c r="AE592" s="648"/>
      <c r="AF592" s="649"/>
      <c r="AG592" s="650"/>
      <c r="AH592" s="650"/>
      <c r="AI592" s="623"/>
    </row>
    <row r="593" spans="12:35" ht="45" customHeight="1" thickBot="1" x14ac:dyDescent="0.25">
      <c r="L593" s="624"/>
      <c r="M593" s="625"/>
      <c r="N593" s="625"/>
      <c r="O593" s="626"/>
      <c r="P593" s="615"/>
      <c r="Q593" s="616"/>
      <c r="R593" s="646"/>
      <c r="S593" s="615"/>
      <c r="T593" s="615"/>
      <c r="U593" s="615"/>
      <c r="V593" s="615"/>
      <c r="W593" s="615"/>
      <c r="X593" s="615"/>
      <c r="Y593" s="619"/>
      <c r="Z593" s="647"/>
      <c r="AA593" s="648"/>
      <c r="AB593" s="648"/>
      <c r="AC593" s="648"/>
      <c r="AD593" s="648"/>
      <c r="AE593" s="648"/>
      <c r="AF593" s="649"/>
      <c r="AG593" s="650"/>
      <c r="AH593" s="650"/>
      <c r="AI593" s="623"/>
    </row>
    <row r="594" spans="12:35" ht="45" customHeight="1" thickBot="1" x14ac:dyDescent="0.25">
      <c r="L594" s="624"/>
      <c r="M594" s="625"/>
      <c r="N594" s="625"/>
      <c r="O594" s="626"/>
      <c r="P594" s="615"/>
      <c r="Q594" s="616"/>
      <c r="R594" s="646"/>
      <c r="S594" s="615"/>
      <c r="T594" s="615"/>
      <c r="U594" s="615"/>
      <c r="V594" s="615"/>
      <c r="W594" s="615"/>
      <c r="X594" s="615"/>
      <c r="Y594" s="619"/>
      <c r="Z594" s="647"/>
      <c r="AA594" s="648"/>
      <c r="AB594" s="648"/>
      <c r="AC594" s="648"/>
      <c r="AD594" s="648"/>
      <c r="AE594" s="648"/>
      <c r="AF594" s="649"/>
      <c r="AG594" s="650"/>
      <c r="AH594" s="650"/>
      <c r="AI594" s="623"/>
    </row>
    <row r="595" spans="12:35" ht="45" customHeight="1" thickBot="1" x14ac:dyDescent="0.25">
      <c r="L595" s="624"/>
      <c r="M595" s="625"/>
      <c r="N595" s="625"/>
      <c r="O595" s="626"/>
      <c r="P595" s="615"/>
      <c r="Q595" s="616"/>
      <c r="R595" s="646"/>
      <c r="S595" s="615"/>
      <c r="T595" s="615"/>
      <c r="U595" s="615"/>
      <c r="V595" s="615"/>
      <c r="W595" s="615"/>
      <c r="X595" s="615"/>
      <c r="Y595" s="619"/>
      <c r="Z595" s="647"/>
      <c r="AA595" s="648"/>
      <c r="AB595" s="648"/>
      <c r="AC595" s="648"/>
      <c r="AD595" s="648"/>
      <c r="AE595" s="648"/>
      <c r="AF595" s="649"/>
      <c r="AG595" s="650"/>
      <c r="AH595" s="650"/>
      <c r="AI595" s="623"/>
    </row>
    <row r="596" spans="12:35" ht="45" customHeight="1" thickBot="1" x14ac:dyDescent="0.25">
      <c r="L596" s="624"/>
      <c r="M596" s="625"/>
      <c r="N596" s="625"/>
      <c r="O596" s="626"/>
      <c r="P596" s="615"/>
      <c r="Q596" s="616"/>
      <c r="R596" s="646"/>
      <c r="S596" s="615"/>
      <c r="T596" s="615"/>
      <c r="U596" s="615"/>
      <c r="V596" s="615"/>
      <c r="W596" s="615"/>
      <c r="X596" s="615"/>
      <c r="Y596" s="619"/>
      <c r="Z596" s="647"/>
      <c r="AA596" s="648"/>
      <c r="AB596" s="648"/>
      <c r="AC596" s="648"/>
      <c r="AD596" s="648"/>
      <c r="AE596" s="648"/>
      <c r="AF596" s="649"/>
      <c r="AG596" s="650"/>
      <c r="AH596" s="650"/>
      <c r="AI596" s="623"/>
    </row>
    <row r="597" spans="12:35" ht="45" customHeight="1" thickBot="1" x14ac:dyDescent="0.25">
      <c r="L597" s="624"/>
      <c r="M597" s="625"/>
      <c r="N597" s="625"/>
      <c r="O597" s="626"/>
      <c r="P597" s="615"/>
      <c r="Q597" s="616"/>
      <c r="R597" s="646"/>
      <c r="S597" s="615"/>
      <c r="T597" s="615"/>
      <c r="U597" s="615"/>
      <c r="V597" s="615"/>
      <c r="W597" s="615"/>
      <c r="X597" s="615"/>
      <c r="Y597" s="619"/>
      <c r="Z597" s="647"/>
      <c r="AA597" s="648"/>
      <c r="AB597" s="648"/>
      <c r="AC597" s="648"/>
      <c r="AD597" s="648"/>
      <c r="AE597" s="648"/>
      <c r="AF597" s="649"/>
      <c r="AG597" s="650"/>
      <c r="AH597" s="650"/>
      <c r="AI597" s="623"/>
    </row>
    <row r="598" spans="12:35" ht="45" customHeight="1" thickBot="1" x14ac:dyDescent="0.25">
      <c r="L598" s="624"/>
      <c r="M598" s="625"/>
      <c r="N598" s="625"/>
      <c r="O598" s="626"/>
      <c r="P598" s="615"/>
      <c r="Q598" s="616"/>
      <c r="R598" s="646"/>
      <c r="S598" s="615"/>
      <c r="T598" s="615"/>
      <c r="U598" s="615"/>
      <c r="V598" s="615"/>
      <c r="W598" s="615"/>
      <c r="X598" s="615"/>
      <c r="Y598" s="619"/>
      <c r="Z598" s="647"/>
      <c r="AA598" s="648"/>
      <c r="AB598" s="648"/>
      <c r="AC598" s="648"/>
      <c r="AD598" s="648"/>
      <c r="AE598" s="648"/>
      <c r="AF598" s="649"/>
      <c r="AG598" s="650"/>
      <c r="AH598" s="650"/>
      <c r="AI598" s="623"/>
    </row>
    <row r="599" spans="12:35" ht="45" customHeight="1" thickBot="1" x14ac:dyDescent="0.25">
      <c r="L599" s="624"/>
      <c r="M599" s="625"/>
      <c r="N599" s="625"/>
      <c r="O599" s="626"/>
      <c r="P599" s="615"/>
      <c r="Q599" s="616"/>
      <c r="R599" s="646"/>
      <c r="S599" s="615"/>
      <c r="T599" s="615"/>
      <c r="U599" s="615"/>
      <c r="V599" s="615"/>
      <c r="W599" s="615"/>
      <c r="X599" s="615"/>
      <c r="Y599" s="619"/>
      <c r="Z599" s="647"/>
      <c r="AA599" s="648"/>
      <c r="AB599" s="648"/>
      <c r="AC599" s="648"/>
      <c r="AD599" s="648"/>
      <c r="AE599" s="648"/>
      <c r="AF599" s="649"/>
      <c r="AG599" s="650"/>
      <c r="AH599" s="650"/>
      <c r="AI599" s="623"/>
    </row>
    <row r="600" spans="12:35" ht="45" customHeight="1" thickBot="1" x14ac:dyDescent="0.25">
      <c r="L600" s="624"/>
      <c r="M600" s="625"/>
      <c r="N600" s="625"/>
      <c r="O600" s="626"/>
      <c r="P600" s="615"/>
      <c r="Q600" s="616"/>
      <c r="R600" s="646"/>
      <c r="S600" s="615"/>
      <c r="T600" s="615"/>
      <c r="U600" s="615"/>
      <c r="V600" s="615"/>
      <c r="W600" s="615"/>
      <c r="X600" s="615"/>
      <c r="Y600" s="619"/>
      <c r="Z600" s="647"/>
      <c r="AA600" s="648"/>
      <c r="AB600" s="648"/>
      <c r="AC600" s="648"/>
      <c r="AD600" s="648"/>
      <c r="AE600" s="648"/>
      <c r="AF600" s="649"/>
      <c r="AG600" s="650"/>
      <c r="AH600" s="650"/>
      <c r="AI600" s="623"/>
    </row>
    <row r="601" spans="12:35" ht="45" customHeight="1" thickBot="1" x14ac:dyDescent="0.25">
      <c r="L601" s="624"/>
      <c r="M601" s="625"/>
      <c r="N601" s="625"/>
      <c r="O601" s="626"/>
      <c r="P601" s="615"/>
      <c r="Q601" s="616"/>
      <c r="R601" s="646"/>
      <c r="S601" s="615"/>
      <c r="T601" s="615"/>
      <c r="U601" s="615"/>
      <c r="V601" s="615"/>
      <c r="W601" s="615"/>
      <c r="X601" s="615"/>
      <c r="Y601" s="619"/>
      <c r="Z601" s="647"/>
      <c r="AA601" s="648"/>
      <c r="AB601" s="648"/>
      <c r="AC601" s="648"/>
      <c r="AD601" s="648"/>
      <c r="AE601" s="648"/>
      <c r="AF601" s="649"/>
      <c r="AG601" s="650"/>
      <c r="AH601" s="650"/>
      <c r="AI601" s="623"/>
    </row>
    <row r="602" spans="12:35" ht="45" customHeight="1" thickBot="1" x14ac:dyDescent="0.25">
      <c r="L602" s="624"/>
      <c r="M602" s="625"/>
      <c r="N602" s="625"/>
      <c r="O602" s="626"/>
      <c r="P602" s="615"/>
      <c r="Q602" s="616"/>
      <c r="R602" s="646"/>
      <c r="S602" s="615"/>
      <c r="T602" s="615"/>
      <c r="U602" s="615"/>
      <c r="V602" s="615"/>
      <c r="W602" s="615"/>
      <c r="X602" s="615"/>
      <c r="Y602" s="619"/>
      <c r="Z602" s="647"/>
      <c r="AA602" s="648"/>
      <c r="AB602" s="648"/>
      <c r="AC602" s="648"/>
      <c r="AD602" s="648"/>
      <c r="AE602" s="648"/>
      <c r="AF602" s="649"/>
      <c r="AG602" s="650"/>
      <c r="AH602" s="650"/>
      <c r="AI602" s="623"/>
    </row>
    <row r="603" spans="12:35" ht="45" customHeight="1" thickBot="1" x14ac:dyDescent="0.25">
      <c r="L603" s="624"/>
      <c r="M603" s="625"/>
      <c r="N603" s="625"/>
      <c r="O603" s="626"/>
      <c r="P603" s="615"/>
      <c r="Q603" s="616"/>
      <c r="R603" s="646"/>
      <c r="S603" s="615"/>
      <c r="T603" s="615"/>
      <c r="U603" s="615"/>
      <c r="V603" s="615"/>
      <c r="W603" s="615"/>
      <c r="X603" s="615"/>
      <c r="Y603" s="619"/>
      <c r="Z603" s="647"/>
      <c r="AA603" s="648"/>
      <c r="AB603" s="648"/>
      <c r="AC603" s="648"/>
      <c r="AD603" s="648"/>
      <c r="AE603" s="648"/>
      <c r="AF603" s="649"/>
      <c r="AG603" s="650"/>
      <c r="AH603" s="650"/>
      <c r="AI603" s="623"/>
    </row>
    <row r="604" spans="12:35" ht="45" customHeight="1" thickBot="1" x14ac:dyDescent="0.25">
      <c r="L604" s="651"/>
      <c r="M604" s="652"/>
      <c r="N604" s="652"/>
      <c r="O604" s="653"/>
      <c r="P604" s="654"/>
      <c r="Q604" s="647"/>
      <c r="R604" s="646"/>
      <c r="S604" s="615"/>
      <c r="T604" s="615"/>
      <c r="U604" s="615"/>
      <c r="V604" s="615"/>
      <c r="W604" s="615"/>
      <c r="X604" s="615"/>
      <c r="Y604" s="619"/>
      <c r="Z604" s="647"/>
      <c r="AA604" s="648"/>
      <c r="AB604" s="648"/>
      <c r="AC604" s="648"/>
      <c r="AD604" s="648"/>
      <c r="AE604" s="648"/>
      <c r="AF604" s="649"/>
      <c r="AG604" s="650"/>
      <c r="AH604" s="650"/>
      <c r="AI604" s="623"/>
    </row>
    <row r="605" spans="12:35" ht="45" customHeight="1" thickBot="1" x14ac:dyDescent="0.25">
      <c r="L605" s="624"/>
      <c r="M605" s="625"/>
      <c r="N605" s="625"/>
      <c r="O605" s="626"/>
      <c r="P605" s="615"/>
      <c r="Q605" s="616"/>
      <c r="R605" s="646"/>
      <c r="S605" s="615"/>
      <c r="T605" s="615"/>
      <c r="U605" s="615"/>
      <c r="V605" s="615"/>
      <c r="W605" s="615"/>
      <c r="X605" s="615"/>
      <c r="Y605" s="619"/>
      <c r="Z605" s="647"/>
      <c r="AA605" s="648"/>
      <c r="AB605" s="648"/>
      <c r="AC605" s="648"/>
      <c r="AD605" s="648"/>
      <c r="AE605" s="648"/>
      <c r="AF605" s="649"/>
      <c r="AG605" s="650"/>
      <c r="AH605" s="650"/>
      <c r="AI605" s="623"/>
    </row>
    <row r="606" spans="12:35" ht="45" customHeight="1" thickBot="1" x14ac:dyDescent="0.25">
      <c r="L606" s="624"/>
      <c r="M606" s="625"/>
      <c r="N606" s="625"/>
      <c r="O606" s="626"/>
      <c r="P606" s="615"/>
      <c r="Q606" s="616"/>
      <c r="R606" s="646"/>
      <c r="S606" s="615"/>
      <c r="T606" s="615"/>
      <c r="U606" s="615"/>
      <c r="V606" s="615"/>
      <c r="W606" s="615"/>
      <c r="X606" s="615"/>
      <c r="Y606" s="619"/>
      <c r="Z606" s="647"/>
      <c r="AA606" s="648"/>
      <c r="AB606" s="648"/>
      <c r="AC606" s="648"/>
      <c r="AD606" s="648"/>
      <c r="AE606" s="648"/>
      <c r="AF606" s="649"/>
      <c r="AG606" s="650"/>
      <c r="AH606" s="650"/>
      <c r="AI606" s="623"/>
    </row>
    <row r="607" spans="12:35" ht="45" customHeight="1" thickBot="1" x14ac:dyDescent="0.25">
      <c r="L607" s="624"/>
      <c r="M607" s="625"/>
      <c r="N607" s="625"/>
      <c r="O607" s="626"/>
      <c r="P607" s="615"/>
      <c r="Q607" s="616"/>
      <c r="R607" s="646"/>
      <c r="S607" s="615"/>
      <c r="T607" s="615"/>
      <c r="U607" s="615"/>
      <c r="V607" s="615"/>
      <c r="W607" s="615"/>
      <c r="X607" s="615"/>
      <c r="Y607" s="619"/>
      <c r="Z607" s="647"/>
      <c r="AA607" s="648"/>
      <c r="AB607" s="648"/>
      <c r="AC607" s="648"/>
      <c r="AD607" s="648"/>
      <c r="AE607" s="648"/>
      <c r="AF607" s="649"/>
      <c r="AG607" s="650"/>
      <c r="AH607" s="650"/>
      <c r="AI607" s="623"/>
    </row>
    <row r="608" spans="12:35" ht="45" customHeight="1" thickBot="1" x14ac:dyDescent="0.25">
      <c r="L608" s="624"/>
      <c r="M608" s="625"/>
      <c r="N608" s="625"/>
      <c r="O608" s="626"/>
      <c r="P608" s="615"/>
      <c r="Q608" s="616"/>
      <c r="R608" s="646"/>
      <c r="S608" s="615"/>
      <c r="T608" s="615"/>
      <c r="U608" s="615"/>
      <c r="V608" s="615"/>
      <c r="W608" s="615"/>
      <c r="X608" s="615"/>
      <c r="Y608" s="619"/>
      <c r="Z608" s="647"/>
      <c r="AA608" s="648"/>
      <c r="AB608" s="648"/>
      <c r="AC608" s="648"/>
      <c r="AD608" s="648"/>
      <c r="AE608" s="648"/>
      <c r="AF608" s="649"/>
      <c r="AG608" s="650"/>
      <c r="AH608" s="650"/>
      <c r="AI608" s="623"/>
    </row>
    <row r="609" spans="12:35" ht="45" customHeight="1" thickBot="1" x14ac:dyDescent="0.25">
      <c r="L609" s="624"/>
      <c r="M609" s="625"/>
      <c r="N609" s="625"/>
      <c r="O609" s="626"/>
      <c r="P609" s="615"/>
      <c r="Q609" s="616"/>
      <c r="R609" s="646"/>
      <c r="S609" s="615"/>
      <c r="T609" s="615"/>
      <c r="U609" s="615"/>
      <c r="V609" s="615"/>
      <c r="W609" s="615"/>
      <c r="X609" s="615"/>
      <c r="Y609" s="619"/>
      <c r="Z609" s="647"/>
      <c r="AA609" s="648"/>
      <c r="AB609" s="648"/>
      <c r="AC609" s="648"/>
      <c r="AD609" s="648"/>
      <c r="AE609" s="648"/>
      <c r="AF609" s="649"/>
      <c r="AG609" s="650"/>
      <c r="AH609" s="650"/>
      <c r="AI609" s="623"/>
    </row>
    <row r="610" spans="12:35" ht="45" customHeight="1" thickBot="1" x14ac:dyDescent="0.25">
      <c r="L610" s="624"/>
      <c r="M610" s="625"/>
      <c r="N610" s="625"/>
      <c r="O610" s="626"/>
      <c r="P610" s="615"/>
      <c r="Q610" s="616"/>
      <c r="R610" s="646"/>
      <c r="S610" s="615"/>
      <c r="T610" s="615"/>
      <c r="U610" s="615"/>
      <c r="V610" s="615"/>
      <c r="W610" s="615"/>
      <c r="X610" s="615"/>
      <c r="Y610" s="619"/>
      <c r="Z610" s="647"/>
      <c r="AA610" s="648"/>
      <c r="AB610" s="648"/>
      <c r="AC610" s="648"/>
      <c r="AD610" s="648"/>
      <c r="AE610" s="648"/>
      <c r="AF610" s="649"/>
      <c r="AG610" s="650"/>
      <c r="AH610" s="650"/>
      <c r="AI610" s="623"/>
    </row>
    <row r="611" spans="12:35" ht="45" customHeight="1" thickBot="1" x14ac:dyDescent="0.25">
      <c r="L611" s="624"/>
      <c r="M611" s="625"/>
      <c r="N611" s="625"/>
      <c r="O611" s="626"/>
      <c r="P611" s="615"/>
      <c r="Q611" s="616"/>
      <c r="R611" s="646"/>
      <c r="S611" s="615"/>
      <c r="T611" s="615"/>
      <c r="U611" s="615"/>
      <c r="V611" s="615"/>
      <c r="W611" s="615"/>
      <c r="X611" s="615"/>
      <c r="Y611" s="619"/>
      <c r="Z611" s="647"/>
      <c r="AA611" s="648"/>
      <c r="AB611" s="648"/>
      <c r="AC611" s="648"/>
      <c r="AD611" s="648"/>
      <c r="AE611" s="648"/>
      <c r="AF611" s="649"/>
      <c r="AG611" s="650"/>
      <c r="AH611" s="650"/>
      <c r="AI611" s="623"/>
    </row>
    <row r="612" spans="12:35" ht="45" customHeight="1" thickBot="1" x14ac:dyDescent="0.25">
      <c r="L612" s="624"/>
      <c r="M612" s="625"/>
      <c r="N612" s="625"/>
      <c r="O612" s="626"/>
      <c r="P612" s="615"/>
      <c r="Q612" s="616"/>
      <c r="R612" s="646"/>
      <c r="S612" s="615"/>
      <c r="T612" s="615"/>
      <c r="U612" s="615"/>
      <c r="V612" s="615"/>
      <c r="W612" s="615"/>
      <c r="X612" s="615"/>
      <c r="Y612" s="619"/>
      <c r="Z612" s="647"/>
      <c r="AA612" s="648"/>
      <c r="AB612" s="648"/>
      <c r="AC612" s="648"/>
      <c r="AD612" s="648"/>
      <c r="AE612" s="648"/>
      <c r="AF612" s="649"/>
      <c r="AG612" s="650"/>
      <c r="AH612" s="650"/>
      <c r="AI612" s="623"/>
    </row>
    <row r="613" spans="12:35" ht="45" customHeight="1" thickBot="1" x14ac:dyDescent="0.25">
      <c r="L613" s="624"/>
      <c r="M613" s="625"/>
      <c r="N613" s="625"/>
      <c r="O613" s="626"/>
      <c r="P613" s="615"/>
      <c r="Q613" s="616"/>
      <c r="R613" s="646"/>
      <c r="S613" s="615"/>
      <c r="T613" s="615"/>
      <c r="U613" s="615"/>
      <c r="V613" s="615"/>
      <c r="W613" s="615"/>
      <c r="X613" s="615"/>
      <c r="Y613" s="619"/>
      <c r="Z613" s="647"/>
      <c r="AA613" s="648"/>
      <c r="AB613" s="648"/>
      <c r="AC613" s="648"/>
      <c r="AD613" s="648"/>
      <c r="AE613" s="648"/>
      <c r="AF613" s="649"/>
      <c r="AG613" s="650"/>
      <c r="AH613" s="650"/>
      <c r="AI613" s="623"/>
    </row>
    <row r="614" spans="12:35" ht="45" customHeight="1" thickBot="1" x14ac:dyDescent="0.25">
      <c r="L614" s="624"/>
      <c r="M614" s="625"/>
      <c r="N614" s="625"/>
      <c r="O614" s="626"/>
      <c r="P614" s="615"/>
      <c r="Q614" s="616"/>
      <c r="R614" s="646"/>
      <c r="S614" s="615"/>
      <c r="T614" s="615"/>
      <c r="U614" s="615"/>
      <c r="V614" s="615"/>
      <c r="W614" s="615"/>
      <c r="X614" s="615"/>
      <c r="Y614" s="619"/>
      <c r="Z614" s="647"/>
      <c r="AA614" s="648"/>
      <c r="AB614" s="648"/>
      <c r="AC614" s="648"/>
      <c r="AD614" s="648"/>
      <c r="AE614" s="648"/>
      <c r="AF614" s="649"/>
      <c r="AG614" s="650"/>
      <c r="AH614" s="650"/>
      <c r="AI614" s="623"/>
    </row>
    <row r="615" spans="12:35" ht="45" customHeight="1" thickBot="1" x14ac:dyDescent="0.25">
      <c r="L615" s="624"/>
      <c r="M615" s="625"/>
      <c r="N615" s="625"/>
      <c r="O615" s="626"/>
      <c r="P615" s="615"/>
      <c r="Q615" s="616"/>
      <c r="R615" s="646"/>
      <c r="S615" s="615"/>
      <c r="T615" s="615"/>
      <c r="U615" s="615"/>
      <c r="V615" s="615"/>
      <c r="W615" s="615"/>
      <c r="X615" s="615"/>
      <c r="Y615" s="619"/>
      <c r="Z615" s="647"/>
      <c r="AA615" s="648"/>
      <c r="AB615" s="648"/>
      <c r="AC615" s="648"/>
      <c r="AD615" s="648"/>
      <c r="AE615" s="648"/>
      <c r="AF615" s="649"/>
      <c r="AG615" s="650"/>
      <c r="AH615" s="650"/>
      <c r="AI615" s="623"/>
    </row>
    <row r="616" spans="12:35" ht="45" customHeight="1" thickBot="1" x14ac:dyDescent="0.25">
      <c r="L616" s="624"/>
      <c r="M616" s="625"/>
      <c r="N616" s="625"/>
      <c r="O616" s="626"/>
      <c r="P616" s="615"/>
      <c r="Q616" s="616"/>
      <c r="R616" s="646"/>
      <c r="S616" s="615"/>
      <c r="T616" s="615"/>
      <c r="U616" s="615"/>
      <c r="V616" s="615"/>
      <c r="W616" s="615"/>
      <c r="X616" s="615"/>
      <c r="Y616" s="619"/>
      <c r="Z616" s="647"/>
      <c r="AA616" s="648"/>
      <c r="AB616" s="648"/>
      <c r="AC616" s="648"/>
      <c r="AD616" s="648"/>
      <c r="AE616" s="648"/>
      <c r="AF616" s="649"/>
      <c r="AG616" s="650"/>
      <c r="AH616" s="650"/>
      <c r="AI616" s="623"/>
    </row>
    <row r="617" spans="12:35" ht="45" customHeight="1" thickBot="1" x14ac:dyDescent="0.25">
      <c r="L617" s="624"/>
      <c r="M617" s="625"/>
      <c r="N617" s="625"/>
      <c r="O617" s="626"/>
      <c r="P617" s="615"/>
      <c r="Q617" s="616"/>
      <c r="R617" s="646"/>
      <c r="S617" s="615"/>
      <c r="T617" s="615"/>
      <c r="U617" s="615"/>
      <c r="V617" s="615"/>
      <c r="W617" s="615"/>
      <c r="X617" s="615"/>
      <c r="Y617" s="619"/>
      <c r="Z617" s="647"/>
      <c r="AA617" s="648"/>
      <c r="AB617" s="648"/>
      <c r="AC617" s="648"/>
      <c r="AD617" s="648"/>
      <c r="AE617" s="648"/>
      <c r="AF617" s="649"/>
      <c r="AG617" s="650"/>
      <c r="AH617" s="650"/>
      <c r="AI617" s="623"/>
    </row>
    <row r="618" spans="12:35" ht="45" customHeight="1" thickBot="1" x14ac:dyDescent="0.25">
      <c r="L618" s="624"/>
      <c r="M618" s="625"/>
      <c r="N618" s="625"/>
      <c r="O618" s="626"/>
      <c r="P618" s="615"/>
      <c r="Q618" s="616"/>
      <c r="R618" s="646"/>
      <c r="S618" s="615"/>
      <c r="T618" s="615"/>
      <c r="U618" s="615"/>
      <c r="V618" s="615"/>
      <c r="W618" s="615"/>
      <c r="X618" s="615"/>
      <c r="Y618" s="619"/>
      <c r="Z618" s="647"/>
      <c r="AA618" s="648"/>
      <c r="AB618" s="648"/>
      <c r="AC618" s="648"/>
      <c r="AD618" s="648"/>
      <c r="AE618" s="648"/>
      <c r="AF618" s="649"/>
      <c r="AG618" s="650"/>
      <c r="AH618" s="650"/>
      <c r="AI618" s="623"/>
    </row>
    <row r="619" spans="12:35" ht="45" customHeight="1" thickBot="1" x14ac:dyDescent="0.25">
      <c r="L619" s="624"/>
      <c r="M619" s="625"/>
      <c r="N619" s="625"/>
      <c r="O619" s="626"/>
      <c r="P619" s="615"/>
      <c r="Q619" s="616"/>
      <c r="R619" s="646"/>
      <c r="S619" s="615"/>
      <c r="T619" s="615"/>
      <c r="U619" s="615"/>
      <c r="V619" s="615"/>
      <c r="W619" s="615"/>
      <c r="X619" s="615"/>
      <c r="Y619" s="619"/>
      <c r="Z619" s="647"/>
      <c r="AA619" s="648"/>
      <c r="AB619" s="648"/>
      <c r="AC619" s="648"/>
      <c r="AD619" s="648"/>
      <c r="AE619" s="648"/>
      <c r="AF619" s="649"/>
      <c r="AG619" s="650"/>
      <c r="AH619" s="650"/>
      <c r="AI619" s="623"/>
    </row>
    <row r="620" spans="12:35" ht="45" customHeight="1" thickBot="1" x14ac:dyDescent="0.25">
      <c r="L620" s="624"/>
      <c r="M620" s="625"/>
      <c r="N620" s="625"/>
      <c r="O620" s="626"/>
      <c r="P620" s="615"/>
      <c r="Q620" s="616"/>
      <c r="R620" s="646"/>
      <c r="S620" s="615"/>
      <c r="T620" s="615"/>
      <c r="U620" s="615"/>
      <c r="V620" s="615"/>
      <c r="W620" s="615"/>
      <c r="X620" s="615"/>
      <c r="Y620" s="619"/>
      <c r="Z620" s="647"/>
      <c r="AA620" s="648"/>
      <c r="AB620" s="648"/>
      <c r="AC620" s="648"/>
      <c r="AD620" s="648"/>
      <c r="AE620" s="648"/>
      <c r="AF620" s="649"/>
      <c r="AG620" s="650"/>
      <c r="AH620" s="650"/>
      <c r="AI620" s="623"/>
    </row>
    <row r="621" spans="12:35" ht="45" customHeight="1" thickBot="1" x14ac:dyDescent="0.25">
      <c r="L621" s="624"/>
      <c r="M621" s="625"/>
      <c r="N621" s="625"/>
      <c r="O621" s="626"/>
      <c r="P621" s="615"/>
      <c r="Q621" s="616"/>
      <c r="R621" s="646"/>
      <c r="S621" s="615"/>
      <c r="T621" s="615"/>
      <c r="U621" s="615"/>
      <c r="V621" s="615"/>
      <c r="W621" s="615"/>
      <c r="X621" s="615"/>
      <c r="Y621" s="619"/>
      <c r="Z621" s="647"/>
      <c r="AA621" s="648"/>
      <c r="AB621" s="648"/>
      <c r="AC621" s="648"/>
      <c r="AD621" s="648"/>
      <c r="AE621" s="648"/>
      <c r="AF621" s="649"/>
      <c r="AG621" s="650"/>
      <c r="AH621" s="650"/>
      <c r="AI621" s="623"/>
    </row>
    <row r="622" spans="12:35" ht="45" customHeight="1" thickBot="1" x14ac:dyDescent="0.25">
      <c r="L622" s="624"/>
      <c r="M622" s="625"/>
      <c r="N622" s="625"/>
      <c r="O622" s="626"/>
      <c r="P622" s="615"/>
      <c r="Q622" s="616"/>
      <c r="R622" s="646"/>
      <c r="S622" s="615"/>
      <c r="T622" s="615"/>
      <c r="U622" s="615"/>
      <c r="V622" s="615"/>
      <c r="W622" s="615"/>
      <c r="X622" s="615"/>
      <c r="Y622" s="619"/>
      <c r="Z622" s="647"/>
      <c r="AA622" s="648"/>
      <c r="AB622" s="648"/>
      <c r="AC622" s="648"/>
      <c r="AD622" s="648"/>
      <c r="AE622" s="648"/>
      <c r="AF622" s="649"/>
      <c r="AG622" s="650"/>
      <c r="AH622" s="650"/>
      <c r="AI622" s="623"/>
    </row>
    <row r="623" spans="12:35" ht="45" customHeight="1" thickBot="1" x14ac:dyDescent="0.25">
      <c r="L623" s="624"/>
      <c r="M623" s="625"/>
      <c r="N623" s="625"/>
      <c r="O623" s="626"/>
      <c r="P623" s="615"/>
      <c r="Q623" s="616"/>
      <c r="R623" s="646"/>
      <c r="S623" s="615"/>
      <c r="T623" s="615"/>
      <c r="U623" s="615"/>
      <c r="V623" s="615"/>
      <c r="W623" s="615"/>
      <c r="X623" s="615"/>
      <c r="Y623" s="619"/>
      <c r="Z623" s="647"/>
      <c r="AA623" s="648"/>
      <c r="AB623" s="648"/>
      <c r="AC623" s="648"/>
      <c r="AD623" s="648"/>
      <c r="AE623" s="648"/>
      <c r="AF623" s="649"/>
      <c r="AG623" s="650"/>
      <c r="AH623" s="650"/>
      <c r="AI623" s="623"/>
    </row>
    <row r="624" spans="12:35" ht="45" customHeight="1" thickBot="1" x14ac:dyDescent="0.25">
      <c r="L624" s="624"/>
      <c r="M624" s="625"/>
      <c r="N624" s="625"/>
      <c r="O624" s="626"/>
      <c r="P624" s="615"/>
      <c r="Q624" s="616"/>
      <c r="R624" s="646"/>
      <c r="S624" s="615"/>
      <c r="T624" s="615"/>
      <c r="U624" s="615"/>
      <c r="V624" s="615"/>
      <c r="W624" s="615"/>
      <c r="X624" s="615"/>
      <c r="Y624" s="619"/>
      <c r="Z624" s="647"/>
      <c r="AA624" s="648"/>
      <c r="AB624" s="648"/>
      <c r="AC624" s="648"/>
      <c r="AD624" s="648"/>
      <c r="AE624" s="648"/>
      <c r="AF624" s="649"/>
      <c r="AG624" s="650"/>
      <c r="AH624" s="650"/>
      <c r="AI624" s="623"/>
    </row>
    <row r="625" spans="12:35" ht="45" customHeight="1" thickBot="1" x14ac:dyDescent="0.25">
      <c r="L625" s="624"/>
      <c r="M625" s="625"/>
      <c r="N625" s="625"/>
      <c r="O625" s="626"/>
      <c r="P625" s="615"/>
      <c r="Q625" s="616"/>
      <c r="R625" s="646"/>
      <c r="S625" s="615"/>
      <c r="T625" s="615"/>
      <c r="U625" s="615"/>
      <c r="V625" s="615"/>
      <c r="W625" s="615"/>
      <c r="X625" s="615"/>
      <c r="Y625" s="619"/>
      <c r="Z625" s="647"/>
      <c r="AA625" s="648"/>
      <c r="AB625" s="648"/>
      <c r="AC625" s="648"/>
      <c r="AD625" s="648"/>
      <c r="AE625" s="648"/>
      <c r="AF625" s="649"/>
      <c r="AG625" s="650"/>
      <c r="AH625" s="650"/>
      <c r="AI625" s="623"/>
    </row>
    <row r="626" spans="12:35" ht="45" customHeight="1" thickBot="1" x14ac:dyDescent="0.25">
      <c r="L626" s="624"/>
      <c r="M626" s="625"/>
      <c r="N626" s="625"/>
      <c r="O626" s="626"/>
      <c r="P626" s="615"/>
      <c r="Q626" s="616"/>
      <c r="R626" s="646"/>
      <c r="S626" s="615"/>
      <c r="T626" s="615"/>
      <c r="U626" s="615"/>
      <c r="V626" s="615"/>
      <c r="W626" s="615"/>
      <c r="X626" s="615"/>
      <c r="Y626" s="619"/>
      <c r="Z626" s="647"/>
      <c r="AA626" s="648"/>
      <c r="AB626" s="648"/>
      <c r="AC626" s="648"/>
      <c r="AD626" s="648"/>
      <c r="AE626" s="648"/>
      <c r="AF626" s="649"/>
      <c r="AG626" s="650"/>
      <c r="AH626" s="650"/>
      <c r="AI626" s="623"/>
    </row>
    <row r="627" spans="12:35" ht="45" customHeight="1" thickBot="1" x14ac:dyDescent="0.25">
      <c r="L627" s="624"/>
      <c r="M627" s="625"/>
      <c r="N627" s="625"/>
      <c r="O627" s="626"/>
      <c r="P627" s="615"/>
      <c r="Q627" s="616"/>
      <c r="R627" s="646"/>
      <c r="S627" s="615"/>
      <c r="T627" s="615"/>
      <c r="U627" s="615"/>
      <c r="V627" s="615"/>
      <c r="W627" s="615"/>
      <c r="X627" s="615"/>
      <c r="Y627" s="619"/>
      <c r="Z627" s="647"/>
      <c r="AA627" s="648"/>
      <c r="AB627" s="648"/>
      <c r="AC627" s="648"/>
      <c r="AD627" s="648"/>
      <c r="AE627" s="648"/>
      <c r="AF627" s="649"/>
      <c r="AG627" s="650"/>
      <c r="AH627" s="650"/>
      <c r="AI627" s="623"/>
    </row>
    <row r="628" spans="12:35" ht="45" customHeight="1" thickBot="1" x14ac:dyDescent="0.25">
      <c r="L628" s="624"/>
      <c r="M628" s="625"/>
      <c r="N628" s="625"/>
      <c r="O628" s="626"/>
      <c r="P628" s="615"/>
      <c r="Q628" s="616"/>
      <c r="R628" s="646"/>
      <c r="S628" s="615"/>
      <c r="T628" s="615"/>
      <c r="U628" s="615"/>
      <c r="V628" s="615"/>
      <c r="W628" s="615"/>
      <c r="X628" s="615"/>
      <c r="Y628" s="619"/>
      <c r="Z628" s="647"/>
      <c r="AA628" s="648"/>
      <c r="AB628" s="648"/>
      <c r="AC628" s="648"/>
      <c r="AD628" s="648"/>
      <c r="AE628" s="648"/>
      <c r="AF628" s="649"/>
      <c r="AG628" s="650"/>
      <c r="AH628" s="650"/>
      <c r="AI628" s="623"/>
    </row>
    <row r="629" spans="12:35" ht="45" customHeight="1" thickBot="1" x14ac:dyDescent="0.25">
      <c r="L629" s="624"/>
      <c r="M629" s="625"/>
      <c r="N629" s="625"/>
      <c r="O629" s="626"/>
      <c r="P629" s="615"/>
      <c r="Q629" s="616"/>
      <c r="R629" s="646"/>
      <c r="S629" s="615"/>
      <c r="T629" s="615"/>
      <c r="U629" s="615"/>
      <c r="V629" s="615"/>
      <c r="W629" s="615"/>
      <c r="X629" s="615"/>
      <c r="Y629" s="619"/>
      <c r="Z629" s="647"/>
      <c r="AA629" s="648"/>
      <c r="AB629" s="648"/>
      <c r="AC629" s="648"/>
      <c r="AD629" s="648"/>
      <c r="AE629" s="648"/>
      <c r="AF629" s="649"/>
      <c r="AG629" s="650"/>
      <c r="AH629" s="650"/>
      <c r="AI629" s="623"/>
    </row>
    <row r="630" spans="12:35" ht="45" customHeight="1" thickBot="1" x14ac:dyDescent="0.25">
      <c r="L630" s="624"/>
      <c r="M630" s="625"/>
      <c r="N630" s="625"/>
      <c r="O630" s="626"/>
      <c r="P630" s="615"/>
      <c r="Q630" s="616"/>
      <c r="R630" s="646"/>
      <c r="S630" s="615"/>
      <c r="T630" s="615"/>
      <c r="U630" s="615"/>
      <c r="V630" s="615"/>
      <c r="W630" s="615"/>
      <c r="X630" s="615"/>
      <c r="Y630" s="619"/>
      <c r="Z630" s="647"/>
      <c r="AA630" s="648"/>
      <c r="AB630" s="648"/>
      <c r="AC630" s="648"/>
      <c r="AD630" s="648"/>
      <c r="AE630" s="648"/>
      <c r="AF630" s="649"/>
      <c r="AG630" s="650"/>
      <c r="AH630" s="650"/>
      <c r="AI630" s="623"/>
    </row>
    <row r="631" spans="12:35" ht="45" customHeight="1" thickBot="1" x14ac:dyDescent="0.25">
      <c r="L631" s="624"/>
      <c r="M631" s="625"/>
      <c r="N631" s="625"/>
      <c r="O631" s="626"/>
      <c r="P631" s="615"/>
      <c r="Q631" s="616"/>
      <c r="R631" s="646"/>
      <c r="S631" s="615"/>
      <c r="T631" s="615"/>
      <c r="U631" s="615"/>
      <c r="V631" s="615"/>
      <c r="W631" s="615"/>
      <c r="X631" s="615"/>
      <c r="Y631" s="619"/>
      <c r="Z631" s="647"/>
      <c r="AA631" s="648"/>
      <c r="AB631" s="648"/>
      <c r="AC631" s="648"/>
      <c r="AD631" s="648"/>
      <c r="AE631" s="648"/>
      <c r="AF631" s="649"/>
      <c r="AG631" s="650"/>
      <c r="AH631" s="650"/>
      <c r="AI631" s="623"/>
    </row>
    <row r="632" spans="12:35" ht="45" customHeight="1" thickBot="1" x14ac:dyDescent="0.25">
      <c r="L632" s="624"/>
      <c r="M632" s="625"/>
      <c r="N632" s="625"/>
      <c r="O632" s="626"/>
      <c r="P632" s="615"/>
      <c r="Q632" s="616"/>
      <c r="R632" s="646"/>
      <c r="S632" s="615"/>
      <c r="T632" s="615"/>
      <c r="U632" s="615"/>
      <c r="V632" s="615"/>
      <c r="W632" s="615"/>
      <c r="X632" s="615"/>
      <c r="Y632" s="619"/>
      <c r="Z632" s="647"/>
      <c r="AA632" s="648"/>
      <c r="AB632" s="648"/>
      <c r="AC632" s="648"/>
      <c r="AD632" s="648"/>
      <c r="AE632" s="648"/>
      <c r="AF632" s="649"/>
      <c r="AG632" s="650"/>
      <c r="AH632" s="650"/>
      <c r="AI632" s="623"/>
    </row>
    <row r="633" spans="12:35" ht="45" customHeight="1" thickBot="1" x14ac:dyDescent="0.25">
      <c r="L633" s="624"/>
      <c r="M633" s="625"/>
      <c r="N633" s="625"/>
      <c r="O633" s="626"/>
      <c r="P633" s="615"/>
      <c r="Q633" s="616"/>
      <c r="R633" s="646"/>
      <c r="S633" s="615"/>
      <c r="T633" s="615"/>
      <c r="U633" s="615"/>
      <c r="V633" s="615"/>
      <c r="W633" s="615"/>
      <c r="X633" s="615"/>
      <c r="Y633" s="619"/>
      <c r="Z633" s="647"/>
      <c r="AA633" s="648"/>
      <c r="AB633" s="648"/>
      <c r="AC633" s="648"/>
      <c r="AD633" s="648"/>
      <c r="AE633" s="648"/>
      <c r="AF633" s="649"/>
      <c r="AG633" s="650"/>
      <c r="AH633" s="650"/>
      <c r="AI633" s="623"/>
    </row>
    <row r="634" spans="12:35" ht="45" customHeight="1" thickBot="1" x14ac:dyDescent="0.25">
      <c r="L634" s="624"/>
      <c r="M634" s="625"/>
      <c r="N634" s="625"/>
      <c r="O634" s="626"/>
      <c r="P634" s="615"/>
      <c r="Q634" s="616"/>
      <c r="R634" s="646"/>
      <c r="S634" s="615"/>
      <c r="T634" s="615"/>
      <c r="U634" s="615"/>
      <c r="V634" s="615"/>
      <c r="W634" s="615"/>
      <c r="X634" s="615"/>
      <c r="Y634" s="619"/>
      <c r="Z634" s="647"/>
      <c r="AA634" s="648"/>
      <c r="AB634" s="648"/>
      <c r="AC634" s="648"/>
      <c r="AD634" s="648"/>
      <c r="AE634" s="648"/>
      <c r="AF634" s="649"/>
      <c r="AG634" s="650"/>
      <c r="AH634" s="650"/>
      <c r="AI634" s="623"/>
    </row>
    <row r="635" spans="12:35" ht="45" customHeight="1" thickBot="1" x14ac:dyDescent="0.25">
      <c r="L635" s="624"/>
      <c r="M635" s="625"/>
      <c r="N635" s="625"/>
      <c r="O635" s="626"/>
      <c r="P635" s="615"/>
      <c r="Q635" s="616"/>
      <c r="R635" s="646"/>
      <c r="S635" s="615"/>
      <c r="T635" s="615"/>
      <c r="U635" s="615"/>
      <c r="V635" s="615"/>
      <c r="W635" s="615"/>
      <c r="X635" s="615"/>
      <c r="Y635" s="619"/>
      <c r="Z635" s="647"/>
      <c r="AA635" s="648"/>
      <c r="AB635" s="648"/>
      <c r="AC635" s="648"/>
      <c r="AD635" s="648"/>
      <c r="AE635" s="648"/>
      <c r="AF635" s="649"/>
      <c r="AG635" s="650"/>
      <c r="AH635" s="650"/>
      <c r="AI635" s="623"/>
    </row>
    <row r="636" spans="12:35" ht="45" customHeight="1" thickBot="1" x14ac:dyDescent="0.25">
      <c r="L636" s="624"/>
      <c r="M636" s="625"/>
      <c r="N636" s="625"/>
      <c r="O636" s="626"/>
      <c r="P636" s="615"/>
      <c r="Q636" s="616"/>
      <c r="R636" s="646"/>
      <c r="S636" s="615"/>
      <c r="T636" s="615"/>
      <c r="U636" s="615"/>
      <c r="V636" s="615"/>
      <c r="W636" s="615"/>
      <c r="X636" s="615"/>
      <c r="Y636" s="619"/>
      <c r="Z636" s="647"/>
      <c r="AA636" s="648"/>
      <c r="AB636" s="648"/>
      <c r="AC636" s="648"/>
      <c r="AD636" s="648"/>
      <c r="AE636" s="648"/>
      <c r="AF636" s="649"/>
      <c r="AG636" s="650"/>
      <c r="AH636" s="650"/>
      <c r="AI636" s="623"/>
    </row>
    <row r="637" spans="12:35" ht="45" customHeight="1" thickBot="1" x14ac:dyDescent="0.25">
      <c r="L637" s="624"/>
      <c r="M637" s="625"/>
      <c r="N637" s="625"/>
      <c r="O637" s="626"/>
      <c r="P637" s="615"/>
      <c r="Q637" s="616"/>
      <c r="R637" s="646"/>
      <c r="S637" s="615"/>
      <c r="T637" s="615"/>
      <c r="U637" s="615"/>
      <c r="V637" s="615"/>
      <c r="W637" s="615"/>
      <c r="X637" s="615"/>
      <c r="Y637" s="619"/>
      <c r="Z637" s="647"/>
      <c r="AA637" s="648"/>
      <c r="AB637" s="648"/>
      <c r="AC637" s="648"/>
      <c r="AD637" s="648"/>
      <c r="AE637" s="648"/>
      <c r="AF637" s="649"/>
      <c r="AG637" s="650"/>
      <c r="AH637" s="650"/>
      <c r="AI637" s="623"/>
    </row>
    <row r="638" spans="12:35" ht="45" customHeight="1" thickBot="1" x14ac:dyDescent="0.25">
      <c r="L638" s="624"/>
      <c r="M638" s="625"/>
      <c r="N638" s="625"/>
      <c r="O638" s="626"/>
      <c r="P638" s="615"/>
      <c r="Q638" s="616"/>
      <c r="R638" s="646"/>
      <c r="S638" s="615"/>
      <c r="T638" s="615"/>
      <c r="U638" s="615"/>
      <c r="V638" s="615"/>
      <c r="W638" s="615"/>
      <c r="X638" s="615"/>
      <c r="Y638" s="619"/>
      <c r="Z638" s="647"/>
      <c r="AA638" s="648"/>
      <c r="AB638" s="648"/>
      <c r="AC638" s="648"/>
      <c r="AD638" s="648"/>
      <c r="AE638" s="648"/>
      <c r="AF638" s="649"/>
      <c r="AG638" s="650"/>
      <c r="AH638" s="650"/>
      <c r="AI638" s="623"/>
    </row>
    <row r="639" spans="12:35" ht="45" customHeight="1" thickBot="1" x14ac:dyDescent="0.25">
      <c r="L639" s="624"/>
      <c r="M639" s="625"/>
      <c r="N639" s="625"/>
      <c r="O639" s="626"/>
      <c r="P639" s="615"/>
      <c r="Q639" s="616"/>
      <c r="R639" s="646"/>
      <c r="S639" s="615"/>
      <c r="T639" s="615"/>
      <c r="U639" s="615"/>
      <c r="V639" s="615"/>
      <c r="W639" s="615"/>
      <c r="X639" s="615"/>
      <c r="Y639" s="619"/>
      <c r="Z639" s="647"/>
      <c r="AA639" s="648"/>
      <c r="AB639" s="648"/>
      <c r="AC639" s="648"/>
      <c r="AD639" s="648"/>
      <c r="AE639" s="648"/>
      <c r="AF639" s="649"/>
      <c r="AG639" s="650"/>
      <c r="AH639" s="650"/>
      <c r="AI639" s="623"/>
    </row>
    <row r="640" spans="12:35" ht="45" customHeight="1" thickBot="1" x14ac:dyDescent="0.25">
      <c r="L640" s="624"/>
      <c r="M640" s="625"/>
      <c r="N640" s="625"/>
      <c r="O640" s="626"/>
      <c r="P640" s="615"/>
      <c r="Q640" s="616"/>
      <c r="R640" s="646"/>
      <c r="S640" s="615"/>
      <c r="T640" s="615"/>
      <c r="U640" s="615"/>
      <c r="V640" s="615"/>
      <c r="W640" s="615"/>
      <c r="X640" s="615"/>
      <c r="Y640" s="619"/>
      <c r="Z640" s="647"/>
      <c r="AA640" s="648"/>
      <c r="AB640" s="648"/>
      <c r="AC640" s="648"/>
      <c r="AD640" s="648"/>
      <c r="AE640" s="648"/>
      <c r="AF640" s="649"/>
      <c r="AG640" s="650"/>
      <c r="AH640" s="650"/>
      <c r="AI640" s="623"/>
    </row>
    <row r="641" spans="12:35" ht="45" customHeight="1" thickBot="1" x14ac:dyDescent="0.25">
      <c r="L641" s="624"/>
      <c r="M641" s="625"/>
      <c r="N641" s="625"/>
      <c r="O641" s="626"/>
      <c r="P641" s="615"/>
      <c r="Q641" s="616"/>
      <c r="R641" s="646"/>
      <c r="S641" s="615"/>
      <c r="T641" s="615"/>
      <c r="U641" s="615"/>
      <c r="V641" s="615"/>
      <c r="W641" s="615"/>
      <c r="X641" s="615"/>
      <c r="Y641" s="619"/>
      <c r="Z641" s="647"/>
      <c r="AA641" s="648"/>
      <c r="AB641" s="648"/>
      <c r="AC641" s="648"/>
      <c r="AD641" s="648"/>
      <c r="AE641" s="648"/>
      <c r="AF641" s="649"/>
      <c r="AG641" s="650"/>
      <c r="AH641" s="650"/>
      <c r="AI641" s="623"/>
    </row>
    <row r="642" spans="12:35" ht="45" customHeight="1" thickBot="1" x14ac:dyDescent="0.25">
      <c r="L642" s="624"/>
      <c r="M642" s="625"/>
      <c r="N642" s="625"/>
      <c r="O642" s="626"/>
      <c r="P642" s="615"/>
      <c r="Q642" s="616"/>
      <c r="R642" s="663"/>
      <c r="S642" s="459"/>
      <c r="T642" s="459"/>
      <c r="U642" s="459"/>
      <c r="V642" s="459"/>
      <c r="W642" s="459"/>
      <c r="X642" s="459"/>
      <c r="Y642" s="619"/>
      <c r="Z642" s="664"/>
      <c r="AA642" s="665"/>
      <c r="AB642" s="665"/>
      <c r="AC642" s="665"/>
      <c r="AD642" s="665"/>
      <c r="AE642" s="665"/>
      <c r="AF642" s="649"/>
      <c r="AG642" s="650"/>
      <c r="AH642" s="650"/>
      <c r="AI642" s="623"/>
    </row>
    <row r="643" spans="12:35" ht="45" customHeight="1" thickBot="1" x14ac:dyDescent="0.25">
      <c r="L643" s="624"/>
      <c r="M643" s="625"/>
      <c r="N643" s="625"/>
      <c r="O643" s="626"/>
      <c r="P643" s="615"/>
      <c r="Q643" s="616"/>
      <c r="R643" s="663"/>
      <c r="S643" s="459"/>
      <c r="T643" s="459"/>
      <c r="U643" s="459"/>
      <c r="V643" s="459"/>
      <c r="W643" s="459"/>
      <c r="X643" s="459"/>
      <c r="Y643" s="619"/>
      <c r="Z643" s="664"/>
      <c r="AA643" s="665"/>
      <c r="AB643" s="665"/>
      <c r="AC643" s="665"/>
      <c r="AD643" s="665"/>
      <c r="AE643" s="665"/>
      <c r="AF643" s="649"/>
      <c r="AG643" s="650"/>
      <c r="AH643" s="650"/>
      <c r="AI643" s="623"/>
    </row>
    <row r="644" spans="12:35" ht="45" customHeight="1" thickBot="1" x14ac:dyDescent="0.25">
      <c r="L644" s="624"/>
      <c r="M644" s="625"/>
      <c r="N644" s="625"/>
      <c r="O644" s="626"/>
      <c r="P644" s="615"/>
      <c r="Q644" s="616"/>
      <c r="R644" s="663"/>
      <c r="S644" s="459"/>
      <c r="T644" s="459"/>
      <c r="U644" s="459"/>
      <c r="V644" s="459"/>
      <c r="W644" s="459"/>
      <c r="X644" s="459"/>
      <c r="Y644" s="619"/>
      <c r="Z644" s="664"/>
      <c r="AA644" s="665"/>
      <c r="AB644" s="665"/>
      <c r="AC644" s="665"/>
      <c r="AD644" s="665"/>
      <c r="AE644" s="665"/>
      <c r="AF644" s="649"/>
      <c r="AG644" s="650"/>
      <c r="AH644" s="650"/>
      <c r="AI644" s="623"/>
    </row>
    <row r="645" spans="12:35" ht="45" customHeight="1" thickBot="1" x14ac:dyDescent="0.25">
      <c r="L645" s="624"/>
      <c r="M645" s="625"/>
      <c r="N645" s="625"/>
      <c r="O645" s="626"/>
      <c r="P645" s="615"/>
      <c r="Q645" s="616"/>
      <c r="R645" s="663"/>
      <c r="S645" s="459"/>
      <c r="T645" s="459"/>
      <c r="U645" s="459"/>
      <c r="V645" s="459"/>
      <c r="W645" s="459"/>
      <c r="X645" s="459"/>
      <c r="Y645" s="619"/>
      <c r="Z645" s="664"/>
      <c r="AA645" s="665"/>
      <c r="AB645" s="665"/>
      <c r="AC645" s="665"/>
      <c r="AD645" s="665"/>
      <c r="AE645" s="665"/>
      <c r="AF645" s="649"/>
      <c r="AG645" s="650"/>
      <c r="AH645" s="650"/>
      <c r="AI645" s="623"/>
    </row>
    <row r="646" spans="12:35" ht="45" customHeight="1" thickBot="1" x14ac:dyDescent="0.25">
      <c r="L646" s="624"/>
      <c r="M646" s="625"/>
      <c r="N646" s="625"/>
      <c r="O646" s="626"/>
      <c r="P646" s="615"/>
      <c r="Q646" s="616"/>
      <c r="R646" s="663"/>
      <c r="S646" s="459"/>
      <c r="T646" s="459"/>
      <c r="U646" s="459"/>
      <c r="V646" s="459"/>
      <c r="W646" s="459"/>
      <c r="X646" s="459"/>
      <c r="Y646" s="619"/>
      <c r="Z646" s="664"/>
      <c r="AA646" s="665"/>
      <c r="AB646" s="665"/>
      <c r="AC646" s="665"/>
      <c r="AD646" s="665"/>
      <c r="AE646" s="665"/>
      <c r="AF646" s="649"/>
      <c r="AG646" s="650"/>
      <c r="AH646" s="650"/>
      <c r="AI646" s="623"/>
    </row>
    <row r="647" spans="12:35" ht="45" customHeight="1" thickBot="1" x14ac:dyDescent="0.25">
      <c r="L647" s="639"/>
      <c r="M647" s="640"/>
      <c r="N647" s="640"/>
      <c r="O647" s="641"/>
      <c r="P647" s="615"/>
      <c r="Q647" s="616"/>
      <c r="R647" s="663"/>
      <c r="S647" s="459"/>
      <c r="T647" s="459"/>
      <c r="U647" s="459"/>
      <c r="V647" s="459"/>
      <c r="W647" s="459"/>
      <c r="X647" s="459"/>
      <c r="Y647" s="619"/>
      <c r="Z647" s="664"/>
      <c r="AA647" s="665"/>
      <c r="AB647" s="665"/>
      <c r="AC647" s="665"/>
      <c r="AD647" s="665"/>
      <c r="AE647" s="665"/>
      <c r="AF647" s="649"/>
      <c r="AG647" s="650"/>
      <c r="AH647" s="650"/>
      <c r="AI647" s="623"/>
    </row>
    <row r="648" spans="12:35" ht="45" customHeight="1" thickBot="1" x14ac:dyDescent="0.25">
      <c r="L648" s="645"/>
      <c r="M648" s="616"/>
      <c r="N648" s="616"/>
      <c r="O648" s="616"/>
      <c r="P648" s="615"/>
      <c r="Q648" s="616"/>
      <c r="R648" s="663"/>
      <c r="S648" s="459"/>
      <c r="T648" s="459"/>
      <c r="U648" s="459"/>
      <c r="V648" s="459"/>
      <c r="W648" s="459"/>
      <c r="X648" s="459"/>
      <c r="Y648" s="619"/>
      <c r="Z648" s="664"/>
      <c r="AA648" s="665"/>
      <c r="AB648" s="665"/>
      <c r="AC648" s="665"/>
      <c r="AD648" s="665"/>
      <c r="AE648" s="665"/>
      <c r="AF648" s="649"/>
      <c r="AG648" s="650"/>
      <c r="AH648" s="650"/>
      <c r="AI648" s="623"/>
    </row>
    <row r="649" spans="12:35" ht="45" customHeight="1" thickBot="1" x14ac:dyDescent="0.25">
      <c r="L649" s="645"/>
      <c r="M649" s="616"/>
      <c r="N649" s="616"/>
      <c r="O649" s="616"/>
      <c r="P649" s="615"/>
      <c r="Q649" s="616"/>
      <c r="R649" s="663"/>
      <c r="S649" s="459"/>
      <c r="T649" s="459"/>
      <c r="U649" s="459"/>
      <c r="V649" s="459"/>
      <c r="W649" s="459"/>
      <c r="X649" s="459"/>
      <c r="Y649" s="619"/>
      <c r="Z649" s="664"/>
      <c r="AA649" s="665"/>
      <c r="AB649" s="665"/>
      <c r="AC649" s="665"/>
      <c r="AD649" s="665"/>
      <c r="AE649" s="665"/>
      <c r="AF649" s="649"/>
      <c r="AG649" s="650"/>
      <c r="AH649" s="650"/>
      <c r="AI649" s="623"/>
    </row>
    <row r="650" spans="12:35" ht="45" customHeight="1" thickBot="1" x14ac:dyDescent="0.25">
      <c r="L650" s="645"/>
      <c r="M650" s="616"/>
      <c r="N650" s="616"/>
      <c r="O650" s="616"/>
      <c r="P650" s="615"/>
      <c r="Q650" s="616"/>
      <c r="R650" s="663"/>
      <c r="S650" s="459"/>
      <c r="T650" s="459"/>
      <c r="U650" s="459"/>
      <c r="V650" s="459"/>
      <c r="W650" s="459"/>
      <c r="X650" s="459"/>
      <c r="Y650" s="666"/>
      <c r="Z650" s="664"/>
      <c r="AA650" s="665"/>
      <c r="AB650" s="665"/>
      <c r="AC650" s="665"/>
      <c r="AD650" s="665"/>
      <c r="AE650" s="665"/>
      <c r="AF650" s="649"/>
      <c r="AG650" s="650"/>
      <c r="AH650" s="650"/>
      <c r="AI650" s="667"/>
    </row>
    <row r="651" spans="12:35" ht="45" customHeight="1" thickBot="1" x14ac:dyDescent="0.25">
      <c r="L651" s="645"/>
      <c r="M651" s="616"/>
      <c r="N651" s="616"/>
      <c r="O651" s="616"/>
      <c r="P651" s="615"/>
      <c r="Q651" s="616"/>
      <c r="R651" s="663"/>
      <c r="S651" s="459"/>
      <c r="T651" s="459"/>
      <c r="U651" s="459"/>
      <c r="V651" s="459"/>
      <c r="W651" s="459"/>
      <c r="X651" s="459"/>
      <c r="Y651" s="666"/>
      <c r="Z651" s="664"/>
      <c r="AA651" s="665"/>
      <c r="AB651" s="665"/>
      <c r="AC651" s="665"/>
      <c r="AD651" s="665"/>
      <c r="AE651" s="665"/>
      <c r="AF651" s="649"/>
      <c r="AG651" s="650"/>
      <c r="AH651" s="650"/>
      <c r="AI651" s="667"/>
    </row>
    <row r="652" spans="12:35" ht="45" customHeight="1" thickBot="1" x14ac:dyDescent="0.25">
      <c r="L652" s="645"/>
      <c r="M652" s="616"/>
      <c r="N652" s="616"/>
      <c r="O652" s="616"/>
      <c r="P652" s="615"/>
      <c r="Q652" s="616"/>
      <c r="R652" s="663"/>
      <c r="S652" s="459"/>
      <c r="T652" s="459"/>
      <c r="U652" s="459"/>
      <c r="V652" s="459"/>
      <c r="W652" s="459"/>
      <c r="X652" s="459"/>
      <c r="Y652" s="666"/>
      <c r="Z652" s="664"/>
      <c r="AA652" s="665"/>
      <c r="AB652" s="665"/>
      <c r="AC652" s="665"/>
      <c r="AD652" s="665"/>
      <c r="AE652" s="665"/>
      <c r="AF652" s="649"/>
      <c r="AG652" s="650"/>
      <c r="AH652" s="650"/>
      <c r="AI652" s="667"/>
    </row>
    <row r="653" spans="12:35" ht="45" customHeight="1" thickBot="1" x14ac:dyDescent="0.25">
      <c r="L653" s="645"/>
      <c r="M653" s="616"/>
      <c r="N653" s="616"/>
      <c r="O653" s="616"/>
      <c r="P653" s="615"/>
      <c r="Q653" s="616"/>
      <c r="R653" s="663"/>
      <c r="S653" s="459"/>
      <c r="T653" s="459"/>
      <c r="U653" s="459"/>
      <c r="V653" s="459"/>
      <c r="W653" s="459"/>
      <c r="X653" s="459"/>
      <c r="Y653" s="666"/>
      <c r="Z653" s="664"/>
      <c r="AA653" s="665"/>
      <c r="AB653" s="665"/>
      <c r="AC653" s="665"/>
      <c r="AD653" s="665"/>
      <c r="AE653" s="665"/>
      <c r="AF653" s="649"/>
      <c r="AG653" s="650"/>
      <c r="AH653" s="650"/>
      <c r="AI653" s="667"/>
    </row>
    <row r="654" spans="12:35" ht="45" customHeight="1" thickBot="1" x14ac:dyDescent="0.25">
      <c r="L654" s="645"/>
      <c r="M654" s="616"/>
      <c r="N654" s="616"/>
      <c r="O654" s="616"/>
      <c r="P654" s="615"/>
      <c r="Q654" s="616"/>
      <c r="R654" s="663"/>
      <c r="S654" s="459"/>
      <c r="T654" s="459"/>
      <c r="U654" s="459"/>
      <c r="V654" s="459"/>
      <c r="W654" s="459"/>
      <c r="X654" s="459"/>
      <c r="Y654" s="666"/>
      <c r="Z654" s="664"/>
      <c r="AA654" s="665"/>
      <c r="AB654" s="665"/>
      <c r="AC654" s="665"/>
      <c r="AD654" s="665"/>
      <c r="AE654" s="665"/>
      <c r="AF654" s="649"/>
      <c r="AG654" s="650"/>
      <c r="AH654" s="650"/>
      <c r="AI654" s="667"/>
    </row>
    <row r="655" spans="12:35" ht="45" customHeight="1" thickBot="1" x14ac:dyDescent="0.25">
      <c r="L655" s="645"/>
      <c r="M655" s="616"/>
      <c r="N655" s="616"/>
      <c r="O655" s="616"/>
      <c r="P655" s="615"/>
      <c r="Q655" s="616"/>
      <c r="R655" s="663"/>
      <c r="S655" s="459"/>
      <c r="T655" s="459"/>
      <c r="U655" s="459"/>
      <c r="V655" s="459"/>
      <c r="W655" s="459"/>
      <c r="X655" s="459"/>
      <c r="Y655" s="666"/>
      <c r="Z655" s="664"/>
      <c r="AA655" s="665"/>
      <c r="AB655" s="665"/>
      <c r="AC655" s="665"/>
      <c r="AD655" s="665"/>
      <c r="AE655" s="665"/>
      <c r="AF655" s="649"/>
      <c r="AG655" s="650"/>
      <c r="AH655" s="650"/>
      <c r="AI655" s="667"/>
    </row>
    <row r="656" spans="12:35" ht="45" customHeight="1" thickBot="1" x14ac:dyDescent="0.25">
      <c r="L656" s="645"/>
      <c r="M656" s="616"/>
      <c r="N656" s="616"/>
      <c r="O656" s="616"/>
      <c r="P656" s="615"/>
      <c r="Q656" s="616"/>
      <c r="R656" s="663"/>
      <c r="S656" s="459"/>
      <c r="T656" s="459"/>
      <c r="U656" s="459"/>
      <c r="V656" s="459"/>
      <c r="W656" s="459"/>
      <c r="X656" s="459"/>
      <c r="Y656" s="666"/>
      <c r="Z656" s="664"/>
      <c r="AA656" s="665"/>
      <c r="AB656" s="665"/>
      <c r="AC656" s="665"/>
      <c r="AD656" s="665"/>
      <c r="AE656" s="665"/>
      <c r="AF656" s="649"/>
      <c r="AG656" s="650"/>
      <c r="AH656" s="650"/>
      <c r="AI656" s="667"/>
    </row>
    <row r="657" spans="12:35" ht="45" customHeight="1" thickBot="1" x14ac:dyDescent="0.25">
      <c r="L657" s="645"/>
      <c r="M657" s="616"/>
      <c r="N657" s="616"/>
      <c r="O657" s="616"/>
      <c r="P657" s="615"/>
      <c r="Q657" s="616"/>
      <c r="R657" s="663"/>
      <c r="S657" s="459"/>
      <c r="T657" s="459"/>
      <c r="U657" s="459"/>
      <c r="V657" s="459"/>
      <c r="W657" s="459"/>
      <c r="X657" s="459"/>
      <c r="Y657" s="666"/>
      <c r="Z657" s="664"/>
      <c r="AA657" s="665"/>
      <c r="AB657" s="665"/>
      <c r="AC657" s="665"/>
      <c r="AD657" s="665"/>
      <c r="AE657" s="665"/>
      <c r="AF657" s="649"/>
      <c r="AG657" s="650"/>
      <c r="AH657" s="650"/>
      <c r="AI657" s="667"/>
    </row>
    <row r="658" spans="12:35" ht="45" customHeight="1" thickBot="1" x14ac:dyDescent="0.25">
      <c r="L658" s="645"/>
      <c r="M658" s="616"/>
      <c r="N658" s="616"/>
      <c r="O658" s="616"/>
      <c r="P658" s="615"/>
      <c r="Q658" s="616"/>
      <c r="R658" s="663"/>
      <c r="S658" s="459"/>
      <c r="T658" s="459"/>
      <c r="U658" s="459"/>
      <c r="V658" s="459"/>
      <c r="W658" s="459"/>
      <c r="X658" s="459"/>
      <c r="Y658" s="666"/>
      <c r="Z658" s="664"/>
      <c r="AA658" s="665"/>
      <c r="AB658" s="665"/>
      <c r="AC658" s="665"/>
      <c r="AD658" s="665"/>
      <c r="AE658" s="665"/>
      <c r="AF658" s="649"/>
      <c r="AG658" s="650"/>
      <c r="AH658" s="650"/>
      <c r="AI658" s="667"/>
    </row>
    <row r="659" spans="12:35" ht="45" customHeight="1" thickBot="1" x14ac:dyDescent="0.25">
      <c r="L659" s="645"/>
      <c r="M659" s="616"/>
      <c r="N659" s="616"/>
      <c r="O659" s="616"/>
      <c r="P659" s="615"/>
      <c r="Q659" s="616"/>
      <c r="R659" s="663"/>
      <c r="S659" s="459"/>
      <c r="T659" s="459"/>
      <c r="U659" s="459"/>
      <c r="V659" s="459"/>
      <c r="W659" s="459"/>
      <c r="X659" s="459"/>
      <c r="Y659" s="666"/>
      <c r="Z659" s="664"/>
      <c r="AA659" s="665"/>
      <c r="AB659" s="665"/>
      <c r="AC659" s="665"/>
      <c r="AD659" s="665"/>
      <c r="AE659" s="665"/>
      <c r="AF659" s="649"/>
      <c r="AG659" s="650"/>
      <c r="AH659" s="650"/>
      <c r="AI659" s="667"/>
    </row>
    <row r="660" spans="12:35" ht="45" customHeight="1" thickBot="1" x14ac:dyDescent="0.25">
      <c r="L660" s="645"/>
      <c r="M660" s="616"/>
      <c r="N660" s="616"/>
      <c r="O660" s="616"/>
      <c r="P660" s="615"/>
      <c r="Q660" s="616"/>
      <c r="R660" s="663"/>
      <c r="S660" s="459"/>
      <c r="T660" s="459"/>
      <c r="U660" s="459"/>
      <c r="V660" s="459"/>
      <c r="W660" s="459"/>
      <c r="X660" s="459"/>
      <c r="Y660" s="666"/>
      <c r="Z660" s="664"/>
      <c r="AA660" s="665"/>
      <c r="AB660" s="665"/>
      <c r="AC660" s="665"/>
      <c r="AD660" s="665"/>
      <c r="AE660" s="665"/>
      <c r="AF660" s="649"/>
      <c r="AG660" s="650"/>
      <c r="AH660" s="650"/>
      <c r="AI660" s="667"/>
    </row>
    <row r="661" spans="12:35" ht="45" customHeight="1" thickBot="1" x14ac:dyDescent="0.25">
      <c r="L661" s="645"/>
      <c r="M661" s="616"/>
      <c r="N661" s="616"/>
      <c r="O661" s="616"/>
      <c r="P661" s="615"/>
      <c r="Q661" s="616"/>
      <c r="R661" s="663"/>
      <c r="S661" s="459"/>
      <c r="T661" s="459"/>
      <c r="U661" s="459"/>
      <c r="V661" s="459"/>
      <c r="W661" s="459"/>
      <c r="X661" s="459"/>
      <c r="Y661" s="666"/>
      <c r="Z661" s="664"/>
      <c r="AA661" s="665"/>
      <c r="AB661" s="665"/>
      <c r="AC661" s="665"/>
      <c r="AD661" s="665"/>
      <c r="AE661" s="665"/>
      <c r="AF661" s="649"/>
      <c r="AG661" s="650"/>
      <c r="AH661" s="650"/>
      <c r="AI661" s="667"/>
    </row>
    <row r="662" spans="12:35" ht="45" customHeight="1" thickBot="1" x14ac:dyDescent="0.25">
      <c r="L662" s="645"/>
      <c r="M662" s="616"/>
      <c r="N662" s="616"/>
      <c r="O662" s="616"/>
      <c r="P662" s="615"/>
      <c r="Q662" s="616"/>
      <c r="R662" s="663"/>
      <c r="S662" s="459"/>
      <c r="T662" s="459"/>
      <c r="U662" s="459"/>
      <c r="V662" s="459"/>
      <c r="W662" s="459"/>
      <c r="X662" s="459"/>
      <c r="Y662" s="666"/>
      <c r="Z662" s="664"/>
      <c r="AA662" s="665"/>
      <c r="AB662" s="665"/>
      <c r="AC662" s="665"/>
      <c r="AD662" s="665"/>
      <c r="AE662" s="665"/>
      <c r="AF662" s="649"/>
      <c r="AG662" s="650"/>
      <c r="AH662" s="650"/>
      <c r="AI662" s="667"/>
    </row>
    <row r="663" spans="12:35" ht="45" customHeight="1" thickBot="1" x14ac:dyDescent="0.25">
      <c r="L663" s="645"/>
      <c r="M663" s="616"/>
      <c r="N663" s="616"/>
      <c r="O663" s="616"/>
      <c r="P663" s="615"/>
      <c r="Q663" s="616"/>
      <c r="R663" s="663"/>
      <c r="S663" s="459"/>
      <c r="T663" s="459"/>
      <c r="U663" s="459"/>
      <c r="V663" s="459"/>
      <c r="W663" s="459"/>
      <c r="X663" s="459"/>
      <c r="Y663" s="666"/>
      <c r="Z663" s="664"/>
      <c r="AA663" s="665"/>
      <c r="AB663" s="665"/>
      <c r="AC663" s="665"/>
      <c r="AD663" s="665"/>
      <c r="AE663" s="665"/>
      <c r="AF663" s="649"/>
      <c r="AG663" s="650"/>
      <c r="AH663" s="650"/>
      <c r="AI663" s="667"/>
    </row>
    <row r="664" spans="12:35" ht="45" customHeight="1" thickBot="1" x14ac:dyDescent="0.25">
      <c r="L664" s="645"/>
      <c r="M664" s="616"/>
      <c r="N664" s="616"/>
      <c r="O664" s="616"/>
      <c r="P664" s="615"/>
      <c r="Q664" s="616"/>
      <c r="R664" s="663"/>
      <c r="S664" s="459"/>
      <c r="T664" s="459"/>
      <c r="U664" s="459"/>
      <c r="V664" s="459"/>
      <c r="W664" s="459"/>
      <c r="X664" s="459"/>
      <c r="Y664" s="666"/>
      <c r="Z664" s="664"/>
      <c r="AA664" s="665"/>
      <c r="AB664" s="665"/>
      <c r="AC664" s="665"/>
      <c r="AD664" s="665"/>
      <c r="AE664" s="665"/>
      <c r="AF664" s="649"/>
      <c r="AG664" s="650"/>
      <c r="AH664" s="650"/>
      <c r="AI664" s="667"/>
    </row>
    <row r="665" spans="12:35" ht="45" customHeight="1" thickBot="1" x14ac:dyDescent="0.25">
      <c r="L665" s="645"/>
      <c r="M665" s="616"/>
      <c r="N665" s="616"/>
      <c r="O665" s="616"/>
      <c r="P665" s="615"/>
      <c r="Q665" s="616"/>
      <c r="R665" s="663"/>
      <c r="S665" s="459"/>
      <c r="T665" s="459"/>
      <c r="U665" s="459"/>
      <c r="V665" s="459"/>
      <c r="W665" s="459"/>
      <c r="X665" s="459"/>
      <c r="Y665" s="666"/>
      <c r="Z665" s="664"/>
      <c r="AA665" s="665"/>
      <c r="AB665" s="665"/>
      <c r="AC665" s="665"/>
      <c r="AD665" s="665"/>
      <c r="AE665" s="665"/>
      <c r="AF665" s="649"/>
      <c r="AG665" s="650"/>
      <c r="AH665" s="650"/>
      <c r="AI665" s="667"/>
    </row>
    <row r="666" spans="12:35" ht="45" customHeight="1" thickBot="1" x14ac:dyDescent="0.25">
      <c r="L666" s="645"/>
      <c r="M666" s="616"/>
      <c r="N666" s="616"/>
      <c r="O666" s="616"/>
      <c r="P666" s="615"/>
      <c r="Q666" s="616"/>
      <c r="R666" s="663"/>
      <c r="S666" s="459"/>
      <c r="T666" s="459"/>
      <c r="U666" s="459"/>
      <c r="V666" s="459"/>
      <c r="W666" s="459"/>
      <c r="X666" s="459"/>
      <c r="Y666" s="666"/>
      <c r="Z666" s="664"/>
      <c r="AA666" s="665"/>
      <c r="AB666" s="665"/>
      <c r="AC666" s="665"/>
      <c r="AD666" s="665"/>
      <c r="AE666" s="665"/>
      <c r="AF666" s="649"/>
      <c r="AG666" s="650"/>
      <c r="AH666" s="650"/>
      <c r="AI666" s="667"/>
    </row>
    <row r="667" spans="12:35" ht="45" customHeight="1" thickBot="1" x14ac:dyDescent="0.25">
      <c r="L667" s="645"/>
      <c r="M667" s="616"/>
      <c r="N667" s="616"/>
      <c r="O667" s="616"/>
      <c r="P667" s="615"/>
      <c r="Q667" s="616"/>
      <c r="R667" s="663"/>
      <c r="S667" s="459"/>
      <c r="T667" s="459"/>
      <c r="U667" s="459"/>
      <c r="V667" s="459"/>
      <c r="W667" s="459"/>
      <c r="X667" s="459"/>
      <c r="Y667" s="666"/>
      <c r="Z667" s="664"/>
      <c r="AA667" s="665"/>
      <c r="AB667" s="665"/>
      <c r="AC667" s="665"/>
      <c r="AD667" s="665"/>
      <c r="AE667" s="665"/>
      <c r="AF667" s="649"/>
      <c r="AG667" s="650"/>
      <c r="AH667" s="650"/>
      <c r="AI667" s="667"/>
    </row>
    <row r="668" spans="12:35" ht="45" customHeight="1" thickBot="1" x14ac:dyDescent="0.25">
      <c r="L668" s="645"/>
      <c r="M668" s="616"/>
      <c r="N668" s="616"/>
      <c r="O668" s="616"/>
      <c r="P668" s="615"/>
      <c r="Q668" s="616"/>
      <c r="R668" s="663"/>
      <c r="S668" s="459"/>
      <c r="T668" s="459"/>
      <c r="U668" s="459"/>
      <c r="V668" s="459"/>
      <c r="W668" s="459"/>
      <c r="X668" s="459"/>
      <c r="Y668" s="666"/>
      <c r="Z668" s="664"/>
      <c r="AA668" s="665"/>
      <c r="AB668" s="665"/>
      <c r="AC668" s="665"/>
      <c r="AD668" s="665"/>
      <c r="AE668" s="665"/>
      <c r="AF668" s="649"/>
      <c r="AG668" s="650"/>
      <c r="AH668" s="650"/>
      <c r="AI668" s="667"/>
    </row>
    <row r="669" spans="12:35" ht="45" customHeight="1" thickBot="1" x14ac:dyDescent="0.25">
      <c r="L669" s="645"/>
      <c r="M669" s="616"/>
      <c r="N669" s="616"/>
      <c r="O669" s="616"/>
      <c r="P669" s="615"/>
      <c r="Q669" s="616"/>
      <c r="R669" s="663"/>
      <c r="S669" s="459"/>
      <c r="T669" s="459"/>
      <c r="U669" s="459"/>
      <c r="V669" s="459"/>
      <c r="W669" s="459"/>
      <c r="X669" s="459"/>
      <c r="Y669" s="666"/>
      <c r="Z669" s="664"/>
      <c r="AA669" s="665"/>
      <c r="AB669" s="665"/>
      <c r="AC669" s="665"/>
      <c r="AD669" s="665"/>
      <c r="AE669" s="665"/>
      <c r="AF669" s="649"/>
      <c r="AG669" s="650"/>
      <c r="AH669" s="650"/>
      <c r="AI669" s="667"/>
    </row>
    <row r="670" spans="12:35" ht="45" customHeight="1" thickBot="1" x14ac:dyDescent="0.25">
      <c r="L670" s="645"/>
      <c r="M670" s="616"/>
      <c r="N670" s="616"/>
      <c r="O670" s="616"/>
      <c r="P670" s="615"/>
      <c r="Q670" s="616"/>
      <c r="R670" s="663"/>
      <c r="S670" s="459"/>
      <c r="T670" s="459"/>
      <c r="U670" s="459"/>
      <c r="V670" s="459"/>
      <c r="W670" s="459"/>
      <c r="X670" s="459"/>
      <c r="Y670" s="666"/>
      <c r="Z670" s="664"/>
      <c r="AA670" s="665"/>
      <c r="AB670" s="665"/>
      <c r="AC670" s="665"/>
      <c r="AD670" s="665"/>
      <c r="AE670" s="665"/>
      <c r="AF670" s="649"/>
      <c r="AG670" s="650"/>
      <c r="AH670" s="650"/>
      <c r="AI670" s="667"/>
    </row>
    <row r="671" spans="12:35" ht="45" customHeight="1" thickBot="1" x14ac:dyDescent="0.25">
      <c r="L671" s="645"/>
      <c r="M671" s="616"/>
      <c r="N671" s="616"/>
      <c r="O671" s="616"/>
      <c r="P671" s="615"/>
      <c r="Q671" s="616"/>
      <c r="R671" s="663"/>
      <c r="S671" s="459"/>
      <c r="T671" s="459"/>
      <c r="U671" s="459"/>
      <c r="V671" s="459"/>
      <c r="W671" s="459"/>
      <c r="X671" s="459"/>
      <c r="Y671" s="666"/>
      <c r="Z671" s="664"/>
      <c r="AA671" s="665"/>
      <c r="AB671" s="665"/>
      <c r="AC671" s="665"/>
      <c r="AD671" s="665"/>
      <c r="AE671" s="665"/>
      <c r="AF671" s="649"/>
      <c r="AG671" s="650"/>
      <c r="AH671" s="650"/>
      <c r="AI671" s="667"/>
    </row>
    <row r="672" spans="12:35" ht="45" customHeight="1" thickBot="1" x14ac:dyDescent="0.25">
      <c r="L672" s="645"/>
      <c r="M672" s="616"/>
      <c r="N672" s="616"/>
      <c r="O672" s="616"/>
      <c r="P672" s="615"/>
      <c r="Q672" s="616"/>
      <c r="R672" s="663"/>
      <c r="S672" s="459"/>
      <c r="T672" s="459"/>
      <c r="U672" s="459"/>
      <c r="V672" s="459"/>
      <c r="W672" s="459"/>
      <c r="X672" s="459"/>
      <c r="Y672" s="666"/>
      <c r="Z672" s="664"/>
      <c r="AA672" s="665"/>
      <c r="AB672" s="665"/>
      <c r="AC672" s="665"/>
      <c r="AD672" s="665"/>
      <c r="AE672" s="665"/>
      <c r="AF672" s="649"/>
      <c r="AG672" s="650"/>
      <c r="AH672" s="650"/>
      <c r="AI672" s="667"/>
    </row>
    <row r="673" spans="12:35" ht="45" customHeight="1" thickBot="1" x14ac:dyDescent="0.25">
      <c r="L673" s="645"/>
      <c r="M673" s="616"/>
      <c r="N673" s="616"/>
      <c r="O673" s="616"/>
      <c r="P673" s="615"/>
      <c r="Q673" s="616"/>
      <c r="R673" s="663"/>
      <c r="S673" s="459"/>
      <c r="T673" s="459"/>
      <c r="U673" s="459"/>
      <c r="V673" s="459"/>
      <c r="W673" s="459"/>
      <c r="X673" s="459"/>
      <c r="Y673" s="666"/>
      <c r="Z673" s="664"/>
      <c r="AA673" s="665"/>
      <c r="AB673" s="665"/>
      <c r="AC673" s="665"/>
      <c r="AD673" s="665"/>
      <c r="AE673" s="665"/>
      <c r="AF673" s="649"/>
      <c r="AG673" s="650"/>
      <c r="AH673" s="650"/>
      <c r="AI673" s="667"/>
    </row>
    <row r="674" spans="12:35" ht="45" customHeight="1" thickBot="1" x14ac:dyDescent="0.25">
      <c r="L674" s="645"/>
      <c r="M674" s="616"/>
      <c r="N674" s="616"/>
      <c r="O674" s="616"/>
      <c r="P674" s="615"/>
      <c r="Q674" s="616"/>
      <c r="R674" s="663"/>
      <c r="S674" s="459"/>
      <c r="T674" s="459"/>
      <c r="U674" s="459"/>
      <c r="V674" s="459"/>
      <c r="W674" s="459"/>
      <c r="X674" s="459"/>
      <c r="Y674" s="666"/>
      <c r="Z674" s="664"/>
      <c r="AA674" s="665"/>
      <c r="AB674" s="665"/>
      <c r="AC674" s="665"/>
      <c r="AD674" s="665"/>
      <c r="AE674" s="665"/>
      <c r="AF674" s="649"/>
      <c r="AG674" s="650"/>
      <c r="AH674" s="650"/>
      <c r="AI674" s="667"/>
    </row>
    <row r="675" spans="12:35" ht="45" customHeight="1" thickBot="1" x14ac:dyDescent="0.25">
      <c r="L675" s="645"/>
      <c r="M675" s="616"/>
      <c r="N675" s="616"/>
      <c r="O675" s="616"/>
      <c r="P675" s="615"/>
      <c r="Q675" s="616"/>
      <c r="R675" s="663"/>
      <c r="S675" s="459"/>
      <c r="T675" s="459"/>
      <c r="U675" s="459"/>
      <c r="V675" s="459"/>
      <c r="W675" s="459"/>
      <c r="X675" s="459"/>
      <c r="Y675" s="666"/>
      <c r="Z675" s="664"/>
      <c r="AA675" s="665"/>
      <c r="AB675" s="665"/>
      <c r="AC675" s="665"/>
      <c r="AD675" s="665"/>
      <c r="AE675" s="665"/>
      <c r="AF675" s="649"/>
      <c r="AG675" s="650"/>
      <c r="AH675" s="650"/>
      <c r="AI675" s="667"/>
    </row>
    <row r="676" spans="12:35" ht="45" customHeight="1" thickBot="1" x14ac:dyDescent="0.25">
      <c r="L676" s="645"/>
      <c r="M676" s="616"/>
      <c r="N676" s="616"/>
      <c r="O676" s="616"/>
      <c r="P676" s="615"/>
      <c r="Q676" s="616"/>
      <c r="R676" s="663"/>
      <c r="S676" s="459"/>
      <c r="T676" s="459"/>
      <c r="U676" s="459"/>
      <c r="V676" s="459"/>
      <c r="W676" s="459"/>
      <c r="X676" s="459"/>
      <c r="Y676" s="666"/>
      <c r="Z676" s="664"/>
      <c r="AA676" s="665"/>
      <c r="AB676" s="665"/>
      <c r="AC676" s="665"/>
      <c r="AD676" s="665"/>
      <c r="AE676" s="665"/>
      <c r="AF676" s="649"/>
      <c r="AG676" s="650"/>
      <c r="AH676" s="650"/>
      <c r="AI676" s="667"/>
    </row>
    <row r="677" spans="12:35" ht="45" customHeight="1" thickBot="1" x14ac:dyDescent="0.25">
      <c r="L677" s="645"/>
      <c r="M677" s="616"/>
      <c r="N677" s="616"/>
      <c r="O677" s="616"/>
      <c r="P677" s="615"/>
      <c r="Q677" s="616"/>
      <c r="R677" s="663"/>
      <c r="S677" s="459"/>
      <c r="T677" s="459"/>
      <c r="U677" s="459"/>
      <c r="V677" s="459"/>
      <c r="W677" s="459"/>
      <c r="X677" s="459"/>
      <c r="Y677" s="666"/>
      <c r="Z677" s="664"/>
      <c r="AA677" s="665"/>
      <c r="AB677" s="665"/>
      <c r="AC677" s="665"/>
      <c r="AD677" s="665"/>
      <c r="AE677" s="665"/>
      <c r="AF677" s="649"/>
      <c r="AG677" s="650"/>
      <c r="AH677" s="650"/>
      <c r="AI677" s="667"/>
    </row>
    <row r="678" spans="12:35" ht="45" customHeight="1" thickBot="1" x14ac:dyDescent="0.25">
      <c r="L678" s="645"/>
      <c r="M678" s="616"/>
      <c r="N678" s="616"/>
      <c r="O678" s="616"/>
      <c r="P678" s="615"/>
      <c r="Q678" s="616"/>
      <c r="R678" s="663"/>
      <c r="S678" s="459"/>
      <c r="T678" s="459"/>
      <c r="U678" s="459"/>
      <c r="V678" s="459"/>
      <c r="W678" s="459"/>
      <c r="X678" s="459"/>
      <c r="Y678" s="666"/>
      <c r="Z678" s="664"/>
      <c r="AA678" s="665"/>
      <c r="AB678" s="665"/>
      <c r="AC678" s="665"/>
      <c r="AD678" s="665"/>
      <c r="AE678" s="665"/>
      <c r="AF678" s="649"/>
      <c r="AG678" s="650"/>
      <c r="AH678" s="650"/>
      <c r="AI678" s="667"/>
    </row>
    <row r="679" spans="12:35" ht="45" customHeight="1" thickBot="1" x14ac:dyDescent="0.25">
      <c r="L679" s="645"/>
      <c r="M679" s="616"/>
      <c r="N679" s="616"/>
      <c r="O679" s="616"/>
      <c r="P679" s="615"/>
      <c r="Q679" s="616"/>
      <c r="R679" s="663"/>
      <c r="S679" s="459"/>
      <c r="T679" s="459"/>
      <c r="U679" s="459"/>
      <c r="V679" s="459"/>
      <c r="W679" s="459"/>
      <c r="X679" s="459"/>
      <c r="Y679" s="666"/>
      <c r="Z679" s="664"/>
      <c r="AA679" s="665"/>
      <c r="AB679" s="665"/>
      <c r="AC679" s="665"/>
      <c r="AD679" s="665"/>
      <c r="AE679" s="665"/>
      <c r="AF679" s="649"/>
      <c r="AG679" s="650"/>
      <c r="AH679" s="650"/>
      <c r="AI679" s="667"/>
    </row>
    <row r="680" spans="12:35" ht="45" customHeight="1" thickBot="1" x14ac:dyDescent="0.25">
      <c r="L680" s="645"/>
      <c r="M680" s="616"/>
      <c r="N680" s="616"/>
      <c r="O680" s="616"/>
      <c r="P680" s="615"/>
      <c r="Q680" s="616"/>
      <c r="R680" s="663"/>
      <c r="S680" s="459"/>
      <c r="T680" s="459"/>
      <c r="U680" s="459"/>
      <c r="V680" s="459"/>
      <c r="W680" s="459"/>
      <c r="X680" s="459"/>
      <c r="Y680" s="666"/>
      <c r="Z680" s="664"/>
      <c r="AA680" s="665"/>
      <c r="AB680" s="665"/>
      <c r="AC680" s="665"/>
      <c r="AD680" s="665"/>
      <c r="AE680" s="665"/>
      <c r="AF680" s="649"/>
      <c r="AG680" s="650"/>
      <c r="AH680" s="650"/>
      <c r="AI680" s="667"/>
    </row>
    <row r="681" spans="12:35" ht="45" customHeight="1" thickBot="1" x14ac:dyDescent="0.25">
      <c r="L681" s="645"/>
      <c r="M681" s="616"/>
      <c r="N681" s="616"/>
      <c r="O681" s="616"/>
      <c r="P681" s="615"/>
      <c r="Q681" s="616"/>
      <c r="R681" s="663"/>
      <c r="S681" s="459"/>
      <c r="T681" s="459"/>
      <c r="U681" s="459"/>
      <c r="V681" s="459"/>
      <c r="W681" s="459"/>
      <c r="X681" s="459"/>
      <c r="Y681" s="666"/>
      <c r="Z681" s="664"/>
      <c r="AA681" s="665"/>
      <c r="AB681" s="665"/>
      <c r="AC681" s="665"/>
      <c r="AD681" s="665"/>
      <c r="AE681" s="665"/>
      <c r="AF681" s="649"/>
      <c r="AG681" s="650"/>
      <c r="AH681" s="650"/>
      <c r="AI681" s="667"/>
    </row>
    <row r="682" spans="12:35" ht="45" customHeight="1" thickBot="1" x14ac:dyDescent="0.25">
      <c r="L682" s="645"/>
      <c r="M682" s="616"/>
      <c r="N682" s="616"/>
      <c r="O682" s="616"/>
      <c r="P682" s="615"/>
      <c r="Q682" s="616"/>
      <c r="R682" s="663"/>
      <c r="S682" s="459"/>
      <c r="T682" s="459"/>
      <c r="U682" s="459"/>
      <c r="V682" s="459"/>
      <c r="W682" s="459"/>
      <c r="X682" s="459"/>
      <c r="Y682" s="666"/>
      <c r="Z682" s="664"/>
      <c r="AA682" s="665"/>
      <c r="AB682" s="665"/>
      <c r="AC682" s="665"/>
      <c r="AD682" s="665"/>
      <c r="AE682" s="665"/>
      <c r="AF682" s="649"/>
      <c r="AG682" s="650"/>
      <c r="AH682" s="650"/>
      <c r="AI682" s="667"/>
    </row>
    <row r="683" spans="12:35" ht="45" customHeight="1" thickBot="1" x14ac:dyDescent="0.25">
      <c r="L683" s="645"/>
      <c r="M683" s="616"/>
      <c r="N683" s="616"/>
      <c r="O683" s="616"/>
      <c r="P683" s="615"/>
      <c r="Q683" s="616"/>
      <c r="R683" s="663"/>
      <c r="S683" s="459"/>
      <c r="T683" s="459"/>
      <c r="U683" s="459"/>
      <c r="V683" s="459"/>
      <c r="W683" s="459"/>
      <c r="X683" s="459"/>
      <c r="Y683" s="666"/>
      <c r="Z683" s="664"/>
      <c r="AA683" s="665"/>
      <c r="AB683" s="665"/>
      <c r="AC683" s="665"/>
      <c r="AD683" s="665"/>
      <c r="AE683" s="665"/>
      <c r="AF683" s="649"/>
      <c r="AG683" s="650"/>
      <c r="AH683" s="650"/>
      <c r="AI683" s="667"/>
    </row>
    <row r="684" spans="12:35" ht="45" customHeight="1" thickBot="1" x14ac:dyDescent="0.25">
      <c r="L684" s="645"/>
      <c r="M684" s="616"/>
      <c r="N684" s="616"/>
      <c r="O684" s="616"/>
      <c r="P684" s="615"/>
      <c r="Q684" s="616"/>
      <c r="R684" s="663"/>
      <c r="S684" s="459"/>
      <c r="T684" s="459"/>
      <c r="U684" s="459"/>
      <c r="V684" s="459"/>
      <c r="W684" s="459"/>
      <c r="X684" s="459"/>
      <c r="Y684" s="666"/>
      <c r="Z684" s="664"/>
      <c r="AA684" s="665"/>
      <c r="AB684" s="665"/>
      <c r="AC684" s="665"/>
      <c r="AD684" s="665"/>
      <c r="AE684" s="665"/>
      <c r="AF684" s="649"/>
      <c r="AG684" s="650"/>
      <c r="AH684" s="650"/>
      <c r="AI684" s="667"/>
    </row>
    <row r="685" spans="12:35" ht="45" customHeight="1" thickBot="1" x14ac:dyDescent="0.25">
      <c r="L685" s="645"/>
      <c r="M685" s="616"/>
      <c r="N685" s="616"/>
      <c r="O685" s="616"/>
      <c r="P685" s="615"/>
      <c r="Q685" s="616"/>
      <c r="R685" s="663"/>
      <c r="S685" s="459"/>
      <c r="T685" s="459"/>
      <c r="U685" s="459"/>
      <c r="V685" s="459"/>
      <c r="W685" s="459"/>
      <c r="X685" s="459"/>
      <c r="Y685" s="666"/>
      <c r="Z685" s="664"/>
      <c r="AA685" s="665"/>
      <c r="AB685" s="665"/>
      <c r="AC685" s="665"/>
      <c r="AD685" s="665"/>
      <c r="AE685" s="665"/>
      <c r="AF685" s="649"/>
      <c r="AG685" s="650"/>
      <c r="AH685" s="650"/>
      <c r="AI685" s="667"/>
    </row>
    <row r="686" spans="12:35" ht="45" customHeight="1" thickBot="1" x14ac:dyDescent="0.25">
      <c r="L686" s="645"/>
      <c r="M686" s="616"/>
      <c r="N686" s="616"/>
      <c r="O686" s="616"/>
      <c r="P686" s="615"/>
      <c r="Q686" s="616"/>
      <c r="R686" s="663"/>
      <c r="S686" s="459"/>
      <c r="T686" s="459"/>
      <c r="U686" s="459"/>
      <c r="V686" s="459"/>
      <c r="W686" s="459"/>
      <c r="X686" s="459"/>
      <c r="Y686" s="666"/>
      <c r="Z686" s="664"/>
      <c r="AA686" s="665"/>
      <c r="AB686" s="665"/>
      <c r="AC686" s="665"/>
      <c r="AD686" s="665"/>
      <c r="AE686" s="665"/>
      <c r="AF686" s="649"/>
      <c r="AG686" s="650"/>
      <c r="AH686" s="650"/>
      <c r="AI686" s="667"/>
    </row>
    <row r="687" spans="12:35" ht="45" customHeight="1" thickBot="1" x14ac:dyDescent="0.25">
      <c r="L687" s="645"/>
      <c r="M687" s="616"/>
      <c r="N687" s="616"/>
      <c r="O687" s="616"/>
      <c r="P687" s="615"/>
      <c r="Q687" s="616"/>
      <c r="R687" s="663"/>
      <c r="S687" s="459"/>
      <c r="T687" s="459"/>
      <c r="U687" s="459"/>
      <c r="V687" s="459"/>
      <c r="W687" s="459"/>
      <c r="X687" s="459"/>
      <c r="Y687" s="666"/>
      <c r="Z687" s="664"/>
      <c r="AA687" s="665"/>
      <c r="AB687" s="665"/>
      <c r="AC687" s="665"/>
      <c r="AD687" s="665"/>
      <c r="AE687" s="665"/>
      <c r="AF687" s="649"/>
      <c r="AG687" s="650"/>
      <c r="AH687" s="650"/>
      <c r="AI687" s="667"/>
    </row>
    <row r="688" spans="12:35" ht="45" customHeight="1" thickBot="1" x14ac:dyDescent="0.25">
      <c r="L688" s="645"/>
      <c r="M688" s="616"/>
      <c r="N688" s="616"/>
      <c r="O688" s="616"/>
      <c r="P688" s="615"/>
      <c r="Q688" s="616"/>
      <c r="R688" s="663"/>
      <c r="S688" s="459"/>
      <c r="T688" s="459"/>
      <c r="U688" s="459"/>
      <c r="V688" s="459"/>
      <c r="W688" s="459"/>
      <c r="X688" s="459"/>
      <c r="Y688" s="666"/>
      <c r="Z688" s="664"/>
      <c r="AA688" s="665"/>
      <c r="AB688" s="665"/>
      <c r="AC688" s="665"/>
      <c r="AD688" s="665"/>
      <c r="AE688" s="665"/>
      <c r="AF688" s="649"/>
      <c r="AG688" s="650"/>
      <c r="AH688" s="650"/>
      <c r="AI688" s="667"/>
    </row>
    <row r="689" spans="12:35" ht="45" customHeight="1" thickBot="1" x14ac:dyDescent="0.25">
      <c r="L689" s="645"/>
      <c r="M689" s="616"/>
      <c r="N689" s="616"/>
      <c r="O689" s="616"/>
      <c r="P689" s="615"/>
      <c r="Q689" s="616"/>
      <c r="R689" s="663"/>
      <c r="S689" s="459"/>
      <c r="T689" s="459"/>
      <c r="U689" s="459"/>
      <c r="V689" s="459"/>
      <c r="W689" s="459"/>
      <c r="X689" s="459"/>
      <c r="Y689" s="666"/>
      <c r="Z689" s="664"/>
      <c r="AA689" s="665"/>
      <c r="AB689" s="665"/>
      <c r="AC689" s="665"/>
      <c r="AD689" s="665"/>
      <c r="AE689" s="665"/>
      <c r="AF689" s="649"/>
      <c r="AG689" s="650"/>
      <c r="AH689" s="650"/>
      <c r="AI689" s="667"/>
    </row>
    <row r="690" spans="12:35" ht="45" customHeight="1" thickBot="1" x14ac:dyDescent="0.25">
      <c r="L690" s="645"/>
      <c r="M690" s="616"/>
      <c r="N690" s="616"/>
      <c r="O690" s="616"/>
      <c r="P690" s="615"/>
      <c r="Q690" s="616"/>
      <c r="R690" s="663"/>
      <c r="S690" s="459"/>
      <c r="T690" s="459"/>
      <c r="U690" s="459"/>
      <c r="V690" s="459"/>
      <c r="W690" s="459"/>
      <c r="X690" s="459"/>
      <c r="Y690" s="666"/>
      <c r="Z690" s="664"/>
      <c r="AA690" s="665"/>
      <c r="AB690" s="665"/>
      <c r="AC690" s="665"/>
      <c r="AD690" s="665"/>
      <c r="AE690" s="665"/>
      <c r="AF690" s="649"/>
      <c r="AG690" s="650"/>
      <c r="AH690" s="650"/>
      <c r="AI690" s="667"/>
    </row>
    <row r="691" spans="12:35" ht="45" customHeight="1" thickBot="1" x14ac:dyDescent="0.25">
      <c r="L691" s="645"/>
      <c r="M691" s="616"/>
      <c r="N691" s="616"/>
      <c r="O691" s="616"/>
      <c r="P691" s="615"/>
      <c r="Q691" s="616"/>
      <c r="R691" s="663"/>
      <c r="S691" s="459"/>
      <c r="T691" s="459"/>
      <c r="U691" s="459"/>
      <c r="V691" s="459"/>
      <c r="W691" s="459"/>
      <c r="X691" s="459"/>
      <c r="Y691" s="666"/>
      <c r="Z691" s="664"/>
      <c r="AA691" s="665"/>
      <c r="AB691" s="665"/>
      <c r="AC691" s="665"/>
      <c r="AD691" s="665"/>
      <c r="AE691" s="665"/>
      <c r="AF691" s="649"/>
      <c r="AG691" s="650"/>
      <c r="AH691" s="650"/>
      <c r="AI691" s="667"/>
    </row>
    <row r="692" spans="12:35" ht="45" customHeight="1" thickBot="1" x14ac:dyDescent="0.25">
      <c r="L692" s="645"/>
      <c r="M692" s="616"/>
      <c r="N692" s="616"/>
      <c r="O692" s="616"/>
      <c r="P692" s="615"/>
      <c r="Q692" s="616"/>
      <c r="R692" s="663"/>
      <c r="S692" s="459"/>
      <c r="T692" s="459"/>
      <c r="U692" s="459"/>
      <c r="V692" s="459"/>
      <c r="W692" s="459"/>
      <c r="X692" s="459"/>
      <c r="Y692" s="666"/>
      <c r="Z692" s="664"/>
      <c r="AA692" s="665"/>
      <c r="AB692" s="665"/>
      <c r="AC692" s="665"/>
      <c r="AD692" s="665"/>
      <c r="AE692" s="665"/>
      <c r="AF692" s="649"/>
      <c r="AG692" s="650"/>
      <c r="AH692" s="650"/>
      <c r="AI692" s="667"/>
    </row>
    <row r="693" spans="12:35" ht="45" customHeight="1" thickBot="1" x14ac:dyDescent="0.25">
      <c r="L693" s="645"/>
      <c r="M693" s="616"/>
      <c r="N693" s="616"/>
      <c r="O693" s="616"/>
      <c r="P693" s="615"/>
      <c r="Q693" s="616"/>
      <c r="R693" s="663"/>
      <c r="S693" s="459"/>
      <c r="T693" s="459"/>
      <c r="U693" s="459"/>
      <c r="V693" s="459"/>
      <c r="W693" s="459"/>
      <c r="X693" s="459"/>
      <c r="Y693" s="666"/>
      <c r="Z693" s="664"/>
      <c r="AA693" s="665"/>
      <c r="AB693" s="665"/>
      <c r="AC693" s="665"/>
      <c r="AD693" s="665"/>
      <c r="AE693" s="665"/>
      <c r="AF693" s="649"/>
      <c r="AG693" s="650"/>
      <c r="AH693" s="650"/>
      <c r="AI693" s="667"/>
    </row>
    <row r="694" spans="12:35" ht="45" customHeight="1" thickBot="1" x14ac:dyDescent="0.25">
      <c r="L694" s="645"/>
      <c r="M694" s="616"/>
      <c r="N694" s="616"/>
      <c r="O694" s="616"/>
      <c r="P694" s="615"/>
      <c r="Q694" s="616"/>
      <c r="R694" s="663"/>
      <c r="S694" s="459"/>
      <c r="T694" s="459"/>
      <c r="U694" s="459"/>
      <c r="V694" s="459"/>
      <c r="W694" s="459"/>
      <c r="X694" s="459"/>
      <c r="Y694" s="666"/>
      <c r="Z694" s="664"/>
      <c r="AA694" s="665"/>
      <c r="AB694" s="665"/>
      <c r="AC694" s="665"/>
      <c r="AD694" s="665"/>
      <c r="AE694" s="665"/>
      <c r="AF694" s="649"/>
      <c r="AG694" s="650"/>
      <c r="AH694" s="650"/>
      <c r="AI694" s="667"/>
    </row>
    <row r="695" spans="12:35" ht="45" customHeight="1" thickBot="1" x14ac:dyDescent="0.25">
      <c r="L695" s="645"/>
      <c r="M695" s="616"/>
      <c r="N695" s="616"/>
      <c r="O695" s="616"/>
      <c r="P695" s="615"/>
      <c r="Q695" s="616"/>
      <c r="R695" s="663"/>
      <c r="S695" s="459"/>
      <c r="T695" s="459"/>
      <c r="U695" s="459"/>
      <c r="V695" s="459"/>
      <c r="W695" s="459"/>
      <c r="X695" s="459"/>
      <c r="Y695" s="666"/>
      <c r="Z695" s="664"/>
      <c r="AA695" s="665"/>
      <c r="AB695" s="665"/>
      <c r="AC695" s="665"/>
      <c r="AD695" s="665"/>
      <c r="AE695" s="665"/>
      <c r="AF695" s="649"/>
      <c r="AG695" s="650"/>
      <c r="AH695" s="650"/>
      <c r="AI695" s="667"/>
    </row>
    <row r="696" spans="12:35" ht="45" customHeight="1" thickBot="1" x14ac:dyDescent="0.25">
      <c r="L696" s="645"/>
      <c r="M696" s="616"/>
      <c r="N696" s="616"/>
      <c r="O696" s="616"/>
      <c r="P696" s="615"/>
      <c r="Q696" s="616"/>
      <c r="R696" s="663"/>
      <c r="S696" s="459"/>
      <c r="T696" s="459"/>
      <c r="U696" s="459"/>
      <c r="V696" s="459"/>
      <c r="W696" s="459"/>
      <c r="X696" s="459"/>
      <c r="Y696" s="666"/>
      <c r="Z696" s="664"/>
      <c r="AA696" s="665"/>
      <c r="AB696" s="665"/>
      <c r="AC696" s="665"/>
      <c r="AD696" s="665"/>
      <c r="AE696" s="665"/>
      <c r="AF696" s="649"/>
      <c r="AG696" s="650"/>
      <c r="AH696" s="650"/>
      <c r="AI696" s="667"/>
    </row>
    <row r="697" spans="12:35" ht="45" customHeight="1" thickBot="1" x14ac:dyDescent="0.25">
      <c r="L697" s="645"/>
      <c r="M697" s="616"/>
      <c r="N697" s="616"/>
      <c r="O697" s="616"/>
      <c r="P697" s="615"/>
      <c r="Q697" s="616"/>
      <c r="R697" s="663"/>
      <c r="S697" s="459"/>
      <c r="T697" s="459"/>
      <c r="U697" s="459"/>
      <c r="V697" s="459"/>
      <c r="W697" s="459"/>
      <c r="X697" s="459"/>
      <c r="Y697" s="666"/>
      <c r="Z697" s="664"/>
      <c r="AA697" s="665"/>
      <c r="AB697" s="665"/>
      <c r="AC697" s="665"/>
      <c r="AD697" s="665"/>
      <c r="AE697" s="665"/>
      <c r="AF697" s="649"/>
      <c r="AG697" s="650"/>
      <c r="AH697" s="650"/>
      <c r="AI697" s="667"/>
    </row>
    <row r="698" spans="12:35" ht="45" customHeight="1" thickBot="1" x14ac:dyDescent="0.25">
      <c r="L698" s="645"/>
      <c r="M698" s="616"/>
      <c r="N698" s="616"/>
      <c r="O698" s="616"/>
      <c r="P698" s="615"/>
      <c r="Q698" s="616"/>
      <c r="R698" s="663"/>
      <c r="S698" s="459"/>
      <c r="T698" s="459"/>
      <c r="U698" s="459"/>
      <c r="V698" s="459"/>
      <c r="W698" s="459"/>
      <c r="X698" s="459"/>
      <c r="Y698" s="666"/>
      <c r="Z698" s="664"/>
      <c r="AA698" s="665"/>
      <c r="AB698" s="665"/>
      <c r="AC698" s="665"/>
      <c r="AD698" s="665"/>
      <c r="AE698" s="665"/>
      <c r="AF698" s="649"/>
      <c r="AG698" s="650"/>
      <c r="AH698" s="650"/>
      <c r="AI698" s="667"/>
    </row>
    <row r="699" spans="12:35" ht="45" customHeight="1" thickBot="1" x14ac:dyDescent="0.25">
      <c r="L699" s="645"/>
      <c r="M699" s="616"/>
      <c r="N699" s="616"/>
      <c r="O699" s="616"/>
      <c r="P699" s="615"/>
      <c r="Q699" s="616"/>
      <c r="R699" s="663"/>
      <c r="S699" s="459"/>
      <c r="T699" s="459"/>
      <c r="U699" s="459"/>
      <c r="V699" s="459"/>
      <c r="W699" s="459"/>
      <c r="X699" s="459"/>
      <c r="Y699" s="666"/>
      <c r="Z699" s="664"/>
      <c r="AA699" s="665"/>
      <c r="AB699" s="665"/>
      <c r="AC699" s="665"/>
      <c r="AD699" s="665"/>
      <c r="AE699" s="665"/>
      <c r="AF699" s="649"/>
      <c r="AG699" s="650"/>
      <c r="AH699" s="650"/>
      <c r="AI699" s="667"/>
    </row>
    <row r="700" spans="12:35" ht="45" customHeight="1" thickBot="1" x14ac:dyDescent="0.25">
      <c r="L700" s="645"/>
      <c r="M700" s="616"/>
      <c r="N700" s="616"/>
      <c r="O700" s="616"/>
      <c r="P700" s="615"/>
      <c r="Q700" s="616"/>
      <c r="R700" s="663"/>
      <c r="S700" s="459"/>
      <c r="T700" s="459"/>
      <c r="U700" s="459"/>
      <c r="V700" s="459"/>
      <c r="W700" s="459"/>
      <c r="X700" s="459"/>
      <c r="Y700" s="666"/>
      <c r="Z700" s="664"/>
      <c r="AA700" s="665"/>
      <c r="AB700" s="665"/>
      <c r="AC700" s="665"/>
      <c r="AD700" s="665"/>
      <c r="AE700" s="665"/>
      <c r="AF700" s="649"/>
      <c r="AG700" s="650"/>
      <c r="AH700" s="650"/>
      <c r="AI700" s="667"/>
    </row>
    <row r="701" spans="12:35" ht="45" customHeight="1" thickBot="1" x14ac:dyDescent="0.25">
      <c r="L701" s="645"/>
      <c r="M701" s="616"/>
      <c r="N701" s="616"/>
      <c r="O701" s="616"/>
      <c r="P701" s="615"/>
      <c r="Q701" s="616"/>
      <c r="R701" s="663"/>
      <c r="S701" s="459"/>
      <c r="T701" s="459"/>
      <c r="U701" s="459"/>
      <c r="V701" s="459"/>
      <c r="W701" s="459"/>
      <c r="X701" s="459"/>
      <c r="Y701" s="666"/>
      <c r="Z701" s="664"/>
      <c r="AA701" s="665"/>
      <c r="AB701" s="665"/>
      <c r="AC701" s="665"/>
      <c r="AD701" s="665"/>
      <c r="AE701" s="665"/>
      <c r="AF701" s="649"/>
      <c r="AG701" s="650"/>
      <c r="AH701" s="650"/>
      <c r="AI701" s="667"/>
    </row>
    <row r="702" spans="12:35" ht="45" customHeight="1" thickBot="1" x14ac:dyDescent="0.25">
      <c r="L702" s="645"/>
      <c r="M702" s="616"/>
      <c r="N702" s="616"/>
      <c r="O702" s="616"/>
      <c r="P702" s="615"/>
      <c r="Q702" s="616"/>
      <c r="R702" s="663"/>
      <c r="S702" s="459"/>
      <c r="T702" s="459"/>
      <c r="U702" s="459"/>
      <c r="V702" s="459"/>
      <c r="W702" s="459"/>
      <c r="X702" s="459"/>
      <c r="Y702" s="666"/>
      <c r="Z702" s="664"/>
      <c r="AA702" s="665"/>
      <c r="AB702" s="665"/>
      <c r="AC702" s="665"/>
      <c r="AD702" s="665"/>
      <c r="AE702" s="665"/>
      <c r="AF702" s="649"/>
      <c r="AG702" s="650"/>
      <c r="AH702" s="650"/>
      <c r="AI702" s="667"/>
    </row>
    <row r="703" spans="12:35" ht="45" customHeight="1" thickBot="1" x14ac:dyDescent="0.25">
      <c r="L703" s="645"/>
      <c r="M703" s="616"/>
      <c r="N703" s="616"/>
      <c r="O703" s="616"/>
      <c r="P703" s="615"/>
      <c r="Q703" s="616"/>
      <c r="R703" s="663"/>
      <c r="S703" s="459"/>
      <c r="T703" s="459"/>
      <c r="U703" s="459"/>
      <c r="V703" s="459"/>
      <c r="W703" s="459"/>
      <c r="X703" s="459"/>
      <c r="Y703" s="666"/>
      <c r="Z703" s="664"/>
      <c r="AA703" s="665"/>
      <c r="AB703" s="665"/>
      <c r="AC703" s="665"/>
      <c r="AD703" s="665"/>
      <c r="AE703" s="665"/>
      <c r="AF703" s="649"/>
      <c r="AG703" s="650"/>
      <c r="AH703" s="650"/>
      <c r="AI703" s="667"/>
    </row>
    <row r="704" spans="12:35" ht="45" customHeight="1" thickBot="1" x14ac:dyDescent="0.25">
      <c r="L704" s="645"/>
      <c r="M704" s="616"/>
      <c r="N704" s="616"/>
      <c r="O704" s="616"/>
      <c r="P704" s="615"/>
      <c r="Q704" s="616"/>
      <c r="R704" s="663"/>
      <c r="S704" s="459"/>
      <c r="T704" s="459"/>
      <c r="U704" s="459"/>
      <c r="V704" s="459"/>
      <c r="W704" s="459"/>
      <c r="X704" s="459"/>
      <c r="Y704" s="666"/>
      <c r="Z704" s="664"/>
      <c r="AA704" s="665"/>
      <c r="AB704" s="665"/>
      <c r="AC704" s="665"/>
      <c r="AD704" s="665"/>
      <c r="AE704" s="665"/>
      <c r="AF704" s="649"/>
      <c r="AG704" s="650"/>
      <c r="AH704" s="650"/>
      <c r="AI704" s="667"/>
    </row>
    <row r="705" spans="12:35" ht="45" customHeight="1" thickBot="1" x14ac:dyDescent="0.25">
      <c r="L705" s="645"/>
      <c r="M705" s="616"/>
      <c r="N705" s="616"/>
      <c r="O705" s="616"/>
      <c r="P705" s="615"/>
      <c r="Q705" s="616"/>
      <c r="R705" s="663"/>
      <c r="S705" s="459"/>
      <c r="T705" s="459"/>
      <c r="U705" s="459"/>
      <c r="V705" s="459"/>
      <c r="W705" s="459"/>
      <c r="X705" s="459"/>
      <c r="Y705" s="666"/>
      <c r="Z705" s="664"/>
      <c r="AA705" s="665"/>
      <c r="AB705" s="665"/>
      <c r="AC705" s="665"/>
      <c r="AD705" s="665"/>
      <c r="AE705" s="665"/>
      <c r="AF705" s="649"/>
      <c r="AG705" s="650"/>
      <c r="AH705" s="650"/>
      <c r="AI705" s="667"/>
    </row>
    <row r="706" spans="12:35" ht="45" customHeight="1" thickBot="1" x14ac:dyDescent="0.25">
      <c r="L706" s="645"/>
      <c r="M706" s="616"/>
      <c r="N706" s="616"/>
      <c r="O706" s="616"/>
      <c r="P706" s="615"/>
      <c r="Q706" s="616"/>
      <c r="R706" s="663"/>
      <c r="S706" s="459"/>
      <c r="T706" s="459"/>
      <c r="U706" s="459"/>
      <c r="V706" s="459"/>
      <c r="W706" s="459"/>
      <c r="X706" s="459"/>
      <c r="Y706" s="666"/>
      <c r="Z706" s="664"/>
      <c r="AA706" s="665"/>
      <c r="AB706" s="665"/>
      <c r="AC706" s="665"/>
      <c r="AD706" s="665"/>
      <c r="AE706" s="665"/>
      <c r="AF706" s="649"/>
      <c r="AG706" s="650"/>
      <c r="AH706" s="650"/>
      <c r="AI706" s="667"/>
    </row>
    <row r="707" spans="12:35" ht="45" customHeight="1" thickBot="1" x14ac:dyDescent="0.25">
      <c r="L707" s="645"/>
      <c r="M707" s="616"/>
      <c r="N707" s="616"/>
      <c r="O707" s="616"/>
      <c r="P707" s="615"/>
      <c r="Q707" s="616"/>
      <c r="R707" s="663"/>
      <c r="S707" s="459"/>
      <c r="T707" s="459"/>
      <c r="U707" s="459"/>
      <c r="V707" s="459"/>
      <c r="W707" s="459"/>
      <c r="X707" s="459"/>
      <c r="Y707" s="666"/>
      <c r="Z707" s="664"/>
      <c r="AA707" s="665"/>
      <c r="AB707" s="665"/>
      <c r="AC707" s="665"/>
      <c r="AD707" s="665"/>
      <c r="AE707" s="665"/>
      <c r="AF707" s="649"/>
      <c r="AG707" s="650"/>
      <c r="AH707" s="650"/>
      <c r="AI707" s="667"/>
    </row>
    <row r="708" spans="12:35" ht="45" customHeight="1" thickBot="1" x14ac:dyDescent="0.25">
      <c r="L708" s="645"/>
      <c r="M708" s="616"/>
      <c r="N708" s="616"/>
      <c r="O708" s="616"/>
      <c r="P708" s="615"/>
      <c r="Q708" s="616"/>
      <c r="R708" s="663"/>
      <c r="S708" s="459"/>
      <c r="T708" s="459"/>
      <c r="U708" s="459"/>
      <c r="V708" s="459"/>
      <c r="W708" s="459"/>
      <c r="X708" s="459"/>
      <c r="Y708" s="666"/>
      <c r="Z708" s="664"/>
      <c r="AA708" s="665"/>
      <c r="AB708" s="665"/>
      <c r="AC708" s="665"/>
      <c r="AD708" s="665"/>
      <c r="AE708" s="665"/>
      <c r="AF708" s="649"/>
      <c r="AG708" s="650"/>
      <c r="AH708" s="650"/>
      <c r="AI708" s="667"/>
    </row>
    <row r="709" spans="12:35" ht="45" customHeight="1" thickBot="1" x14ac:dyDescent="0.25">
      <c r="L709" s="645"/>
      <c r="M709" s="616"/>
      <c r="N709" s="616"/>
      <c r="O709" s="616"/>
      <c r="P709" s="615"/>
      <c r="Q709" s="616"/>
      <c r="R709" s="663"/>
      <c r="S709" s="459"/>
      <c r="T709" s="459"/>
      <c r="U709" s="459"/>
      <c r="V709" s="459"/>
      <c r="W709" s="459"/>
      <c r="X709" s="459"/>
      <c r="Y709" s="666"/>
      <c r="Z709" s="664"/>
      <c r="AA709" s="665"/>
      <c r="AB709" s="665"/>
      <c r="AC709" s="665"/>
      <c r="AD709" s="665"/>
      <c r="AE709" s="665"/>
      <c r="AF709" s="649"/>
      <c r="AG709" s="650"/>
      <c r="AH709" s="650"/>
      <c r="AI709" s="667"/>
    </row>
    <row r="710" spans="12:35" ht="45" customHeight="1" thickBot="1" x14ac:dyDescent="0.25">
      <c r="L710" s="645"/>
      <c r="M710" s="616"/>
      <c r="N710" s="616"/>
      <c r="O710" s="616"/>
      <c r="P710" s="615"/>
      <c r="Q710" s="616"/>
      <c r="R710" s="663"/>
      <c r="S710" s="459"/>
      <c r="T710" s="459"/>
      <c r="U710" s="459"/>
      <c r="V710" s="459"/>
      <c r="W710" s="459"/>
      <c r="X710" s="459"/>
      <c r="Y710" s="666"/>
      <c r="Z710" s="664"/>
      <c r="AA710" s="665"/>
      <c r="AB710" s="665"/>
      <c r="AC710" s="665"/>
      <c r="AD710" s="665"/>
      <c r="AE710" s="665"/>
      <c r="AF710" s="649"/>
      <c r="AG710" s="650"/>
      <c r="AH710" s="650"/>
      <c r="AI710" s="667"/>
    </row>
    <row r="711" spans="12:35" ht="45" customHeight="1" thickBot="1" x14ac:dyDescent="0.25">
      <c r="L711" s="645"/>
      <c r="M711" s="616"/>
      <c r="N711" s="616"/>
      <c r="O711" s="616"/>
      <c r="P711" s="615"/>
      <c r="Q711" s="616"/>
      <c r="R711" s="663"/>
      <c r="S711" s="459"/>
      <c r="T711" s="459"/>
      <c r="U711" s="459"/>
      <c r="V711" s="459"/>
      <c r="W711" s="459"/>
      <c r="X711" s="459"/>
      <c r="Y711" s="666"/>
      <c r="Z711" s="664"/>
      <c r="AA711" s="665"/>
      <c r="AB711" s="665"/>
      <c r="AC711" s="665"/>
      <c r="AD711" s="665"/>
      <c r="AE711" s="665"/>
      <c r="AF711" s="649"/>
      <c r="AG711" s="650"/>
      <c r="AH711" s="650"/>
      <c r="AI711" s="667"/>
    </row>
    <row r="712" spans="12:35" ht="45" customHeight="1" thickBot="1" x14ac:dyDescent="0.25">
      <c r="L712" s="645"/>
      <c r="M712" s="616"/>
      <c r="N712" s="616"/>
      <c r="O712" s="616"/>
      <c r="P712" s="615"/>
      <c r="Q712" s="616"/>
      <c r="R712" s="663"/>
      <c r="S712" s="459"/>
      <c r="T712" s="459"/>
      <c r="U712" s="459"/>
      <c r="V712" s="459"/>
      <c r="W712" s="459"/>
      <c r="X712" s="459"/>
      <c r="Y712" s="666"/>
      <c r="Z712" s="664"/>
      <c r="AA712" s="665"/>
      <c r="AB712" s="665"/>
      <c r="AC712" s="665"/>
      <c r="AD712" s="665"/>
      <c r="AE712" s="665"/>
      <c r="AF712" s="649"/>
      <c r="AG712" s="650"/>
      <c r="AH712" s="650"/>
      <c r="AI712" s="667"/>
    </row>
    <row r="713" spans="12:35" ht="45" customHeight="1" thickBot="1" x14ac:dyDescent="0.25">
      <c r="L713" s="645"/>
      <c r="M713" s="616"/>
      <c r="N713" s="616"/>
      <c r="O713" s="616"/>
      <c r="P713" s="615"/>
      <c r="Q713" s="616"/>
      <c r="R713" s="663"/>
      <c r="S713" s="459"/>
      <c r="T713" s="459"/>
      <c r="U713" s="459"/>
      <c r="V713" s="459"/>
      <c r="W713" s="459"/>
      <c r="X713" s="459"/>
      <c r="Y713" s="666"/>
      <c r="Z713" s="664"/>
      <c r="AA713" s="665"/>
      <c r="AB713" s="665"/>
      <c r="AC713" s="665"/>
      <c r="AD713" s="665"/>
      <c r="AE713" s="665"/>
      <c r="AF713" s="649"/>
      <c r="AG713" s="650"/>
      <c r="AH713" s="650"/>
      <c r="AI713" s="667"/>
    </row>
    <row r="714" spans="12:35" ht="45" customHeight="1" thickBot="1" x14ac:dyDescent="0.25">
      <c r="L714" s="645"/>
      <c r="M714" s="616"/>
      <c r="N714" s="616"/>
      <c r="O714" s="616"/>
      <c r="P714" s="615"/>
      <c r="Q714" s="616"/>
      <c r="R714" s="663"/>
      <c r="S714" s="459"/>
      <c r="T714" s="459"/>
      <c r="U714" s="459"/>
      <c r="V714" s="459"/>
      <c r="W714" s="459"/>
      <c r="X714" s="459"/>
      <c r="Y714" s="666"/>
      <c r="Z714" s="664"/>
      <c r="AA714" s="665"/>
      <c r="AB714" s="665"/>
      <c r="AC714" s="665"/>
      <c r="AD714" s="665"/>
      <c r="AE714" s="665"/>
      <c r="AF714" s="649"/>
      <c r="AG714" s="650"/>
      <c r="AH714" s="650"/>
      <c r="AI714" s="667"/>
    </row>
    <row r="715" spans="12:35" ht="45" customHeight="1" thickBot="1" x14ac:dyDescent="0.25">
      <c r="L715" s="645"/>
      <c r="M715" s="616"/>
      <c r="N715" s="616"/>
      <c r="O715" s="616"/>
      <c r="P715" s="615"/>
      <c r="Q715" s="616"/>
      <c r="R715" s="663"/>
      <c r="S715" s="459"/>
      <c r="T715" s="459"/>
      <c r="U715" s="459"/>
      <c r="V715" s="459"/>
      <c r="W715" s="459"/>
      <c r="X715" s="459"/>
      <c r="Y715" s="666"/>
      <c r="Z715" s="664"/>
      <c r="AA715" s="665"/>
      <c r="AB715" s="665"/>
      <c r="AC715" s="665"/>
      <c r="AD715" s="665"/>
      <c r="AE715" s="665"/>
      <c r="AF715" s="649"/>
      <c r="AG715" s="650"/>
      <c r="AH715" s="650"/>
      <c r="AI715" s="667"/>
    </row>
    <row r="716" spans="12:35" ht="45" customHeight="1" thickBot="1" x14ac:dyDescent="0.25">
      <c r="L716" s="645"/>
      <c r="M716" s="616"/>
      <c r="N716" s="616"/>
      <c r="O716" s="616"/>
      <c r="P716" s="615"/>
      <c r="Q716" s="616"/>
      <c r="R716" s="663"/>
      <c r="S716" s="459"/>
      <c r="T716" s="459"/>
      <c r="U716" s="459"/>
      <c r="V716" s="459"/>
      <c r="W716" s="459"/>
      <c r="X716" s="459"/>
      <c r="Y716" s="666"/>
      <c r="Z716" s="664"/>
      <c r="AA716" s="665"/>
      <c r="AB716" s="665"/>
      <c r="AC716" s="665"/>
      <c r="AD716" s="665"/>
      <c r="AE716" s="665"/>
      <c r="AF716" s="649"/>
      <c r="AG716" s="650"/>
      <c r="AH716" s="650"/>
      <c r="AI716" s="667"/>
    </row>
    <row r="717" spans="12:35" ht="45" customHeight="1" thickBot="1" x14ac:dyDescent="0.25">
      <c r="L717" s="645"/>
      <c r="M717" s="616"/>
      <c r="N717" s="616"/>
      <c r="O717" s="616"/>
      <c r="P717" s="615"/>
      <c r="Q717" s="616"/>
      <c r="R717" s="663"/>
      <c r="S717" s="459"/>
      <c r="T717" s="459"/>
      <c r="U717" s="459"/>
      <c r="V717" s="459"/>
      <c r="W717" s="459"/>
      <c r="X717" s="459"/>
      <c r="Y717" s="666"/>
      <c r="Z717" s="664"/>
      <c r="AA717" s="665"/>
      <c r="AB717" s="665"/>
      <c r="AC717" s="665"/>
      <c r="AD717" s="665"/>
      <c r="AE717" s="665"/>
      <c r="AF717" s="649"/>
      <c r="AG717" s="650"/>
      <c r="AH717" s="650"/>
      <c r="AI717" s="667"/>
    </row>
    <row r="718" spans="12:35" ht="45" customHeight="1" thickBot="1" x14ac:dyDescent="0.25">
      <c r="L718" s="645"/>
      <c r="M718" s="616"/>
      <c r="N718" s="616"/>
      <c r="O718" s="616"/>
      <c r="P718" s="615"/>
      <c r="Q718" s="616"/>
      <c r="R718" s="663"/>
      <c r="S718" s="459"/>
      <c r="T718" s="459"/>
      <c r="U718" s="459"/>
      <c r="V718" s="459"/>
      <c r="W718" s="459"/>
      <c r="X718" s="459"/>
      <c r="Y718" s="666"/>
      <c r="Z718" s="664"/>
      <c r="AA718" s="665"/>
      <c r="AB718" s="665"/>
      <c r="AC718" s="665"/>
      <c r="AD718" s="665"/>
      <c r="AE718" s="665"/>
      <c r="AF718" s="649"/>
      <c r="AG718" s="650"/>
      <c r="AH718" s="650"/>
      <c r="AI718" s="667"/>
    </row>
    <row r="719" spans="12:35" ht="45" customHeight="1" thickBot="1" x14ac:dyDescent="0.25">
      <c r="L719" s="645"/>
      <c r="M719" s="616"/>
      <c r="N719" s="616"/>
      <c r="O719" s="616"/>
      <c r="P719" s="615"/>
      <c r="Q719" s="616"/>
      <c r="R719" s="663"/>
      <c r="S719" s="459"/>
      <c r="T719" s="459"/>
      <c r="U719" s="459"/>
      <c r="V719" s="459"/>
      <c r="W719" s="459"/>
      <c r="X719" s="459"/>
      <c r="Y719" s="666"/>
      <c r="Z719" s="664"/>
      <c r="AA719" s="665"/>
      <c r="AB719" s="665"/>
      <c r="AC719" s="665"/>
      <c r="AD719" s="665"/>
      <c r="AE719" s="665"/>
      <c r="AF719" s="649"/>
      <c r="AG719" s="650"/>
      <c r="AH719" s="650"/>
      <c r="AI719" s="667"/>
    </row>
    <row r="720" spans="12:35" ht="45" customHeight="1" thickBot="1" x14ac:dyDescent="0.25">
      <c r="L720" s="645"/>
      <c r="M720" s="616"/>
      <c r="N720" s="616"/>
      <c r="O720" s="616"/>
      <c r="P720" s="615"/>
      <c r="Q720" s="616"/>
      <c r="R720" s="663"/>
      <c r="S720" s="459"/>
      <c r="T720" s="459"/>
      <c r="U720" s="459"/>
      <c r="V720" s="459"/>
      <c r="W720" s="459"/>
      <c r="X720" s="459"/>
      <c r="Y720" s="666"/>
      <c r="Z720" s="664"/>
      <c r="AA720" s="665"/>
      <c r="AB720" s="665"/>
      <c r="AC720" s="665"/>
      <c r="AD720" s="665"/>
      <c r="AE720" s="665"/>
      <c r="AF720" s="649"/>
      <c r="AG720" s="650"/>
      <c r="AH720" s="650"/>
      <c r="AI720" s="667"/>
    </row>
    <row r="721" spans="12:35" ht="45" customHeight="1" thickBot="1" x14ac:dyDescent="0.25">
      <c r="L721" s="645"/>
      <c r="M721" s="616"/>
      <c r="N721" s="616"/>
      <c r="O721" s="616"/>
      <c r="P721" s="615"/>
      <c r="Q721" s="616"/>
      <c r="R721" s="663"/>
      <c r="S721" s="459"/>
      <c r="T721" s="459"/>
      <c r="U721" s="459"/>
      <c r="V721" s="459"/>
      <c r="W721" s="459"/>
      <c r="X721" s="459"/>
      <c r="Y721" s="666"/>
      <c r="Z721" s="664"/>
      <c r="AA721" s="665"/>
      <c r="AB721" s="665"/>
      <c r="AC721" s="665"/>
      <c r="AD721" s="665"/>
      <c r="AE721" s="665"/>
      <c r="AF721" s="649"/>
      <c r="AG721" s="650"/>
      <c r="AH721" s="650"/>
      <c r="AI721" s="667"/>
    </row>
    <row r="722" spans="12:35" ht="45" customHeight="1" thickBot="1" x14ac:dyDescent="0.25">
      <c r="L722" s="645"/>
      <c r="M722" s="616"/>
      <c r="N722" s="616"/>
      <c r="O722" s="616"/>
      <c r="P722" s="615"/>
      <c r="Q722" s="616"/>
      <c r="R722" s="663"/>
      <c r="S722" s="459"/>
      <c r="T722" s="459"/>
      <c r="U722" s="459"/>
      <c r="V722" s="459"/>
      <c r="W722" s="459"/>
      <c r="X722" s="459"/>
      <c r="Y722" s="666"/>
      <c r="Z722" s="664"/>
      <c r="AA722" s="665"/>
      <c r="AB722" s="665"/>
      <c r="AC722" s="665"/>
      <c r="AD722" s="665"/>
      <c r="AE722" s="665"/>
      <c r="AF722" s="649"/>
      <c r="AG722" s="650"/>
      <c r="AH722" s="650"/>
      <c r="AI722" s="667"/>
    </row>
    <row r="723" spans="12:35" ht="45" customHeight="1" thickBot="1" x14ac:dyDescent="0.25">
      <c r="L723" s="645"/>
      <c r="M723" s="616"/>
      <c r="N723" s="616"/>
      <c r="O723" s="616"/>
      <c r="P723" s="615"/>
      <c r="Q723" s="616"/>
      <c r="R723" s="663"/>
      <c r="S723" s="459"/>
      <c r="T723" s="459"/>
      <c r="U723" s="459"/>
      <c r="V723" s="459"/>
      <c r="W723" s="459"/>
      <c r="X723" s="459"/>
      <c r="Y723" s="666"/>
      <c r="Z723" s="664"/>
      <c r="AA723" s="665"/>
      <c r="AB723" s="665"/>
      <c r="AC723" s="665"/>
      <c r="AD723" s="665"/>
      <c r="AE723" s="665"/>
      <c r="AF723" s="649"/>
      <c r="AG723" s="650"/>
      <c r="AH723" s="650"/>
      <c r="AI723" s="667"/>
    </row>
    <row r="724" spans="12:35" ht="45" customHeight="1" thickBot="1" x14ac:dyDescent="0.25">
      <c r="L724" s="645"/>
      <c r="M724" s="616"/>
      <c r="N724" s="616"/>
      <c r="O724" s="616"/>
      <c r="P724" s="615"/>
      <c r="Q724" s="616"/>
      <c r="R724" s="663"/>
      <c r="S724" s="459"/>
      <c r="T724" s="459"/>
      <c r="U724" s="459"/>
      <c r="V724" s="459"/>
      <c r="W724" s="459"/>
      <c r="X724" s="459"/>
      <c r="Y724" s="666"/>
      <c r="Z724" s="664"/>
      <c r="AA724" s="665"/>
      <c r="AB724" s="665"/>
      <c r="AC724" s="665"/>
      <c r="AD724" s="665"/>
      <c r="AE724" s="665"/>
      <c r="AF724" s="649"/>
      <c r="AG724" s="650"/>
      <c r="AH724" s="650"/>
      <c r="AI724" s="667"/>
    </row>
    <row r="725" spans="12:35" ht="45" customHeight="1" thickBot="1" x14ac:dyDescent="0.25">
      <c r="L725" s="645"/>
      <c r="M725" s="616"/>
      <c r="N725" s="616"/>
      <c r="O725" s="616"/>
      <c r="P725" s="615"/>
      <c r="Q725" s="616"/>
      <c r="R725" s="663"/>
      <c r="S725" s="459"/>
      <c r="T725" s="459"/>
      <c r="U725" s="459"/>
      <c r="V725" s="459"/>
      <c r="W725" s="459"/>
      <c r="X725" s="459"/>
      <c r="Y725" s="666"/>
      <c r="Z725" s="664"/>
      <c r="AA725" s="665"/>
      <c r="AB725" s="665"/>
      <c r="AC725" s="665"/>
      <c r="AD725" s="665"/>
      <c r="AE725" s="665"/>
      <c r="AF725" s="649"/>
      <c r="AG725" s="650"/>
      <c r="AH725" s="650"/>
      <c r="AI725" s="667"/>
    </row>
    <row r="726" spans="12:35" ht="45" customHeight="1" thickBot="1" x14ac:dyDescent="0.25">
      <c r="L726" s="645"/>
      <c r="M726" s="616"/>
      <c r="N726" s="616"/>
      <c r="O726" s="616"/>
      <c r="P726" s="615"/>
      <c r="Q726" s="616"/>
      <c r="R726" s="663"/>
      <c r="S726" s="459"/>
      <c r="T726" s="459"/>
      <c r="U726" s="459"/>
      <c r="V726" s="459"/>
      <c r="W726" s="459"/>
      <c r="X726" s="459"/>
      <c r="Y726" s="666"/>
      <c r="Z726" s="664"/>
      <c r="AA726" s="665"/>
      <c r="AB726" s="665"/>
      <c r="AC726" s="665"/>
      <c r="AD726" s="665"/>
      <c r="AE726" s="665"/>
      <c r="AF726" s="649"/>
      <c r="AG726" s="650"/>
      <c r="AH726" s="650"/>
      <c r="AI726" s="667"/>
    </row>
    <row r="727" spans="12:35" ht="45" customHeight="1" thickBot="1" x14ac:dyDescent="0.25">
      <c r="L727" s="645"/>
      <c r="M727" s="616"/>
      <c r="N727" s="616"/>
      <c r="O727" s="616"/>
      <c r="P727" s="615"/>
      <c r="Q727" s="616"/>
      <c r="R727" s="663"/>
      <c r="S727" s="459"/>
      <c r="T727" s="459"/>
      <c r="U727" s="459"/>
      <c r="V727" s="459"/>
      <c r="W727" s="459"/>
      <c r="X727" s="459"/>
      <c r="Y727" s="666"/>
      <c r="Z727" s="664"/>
      <c r="AA727" s="665"/>
      <c r="AB727" s="665"/>
      <c r="AC727" s="665"/>
      <c r="AD727" s="665"/>
      <c r="AE727" s="665"/>
      <c r="AF727" s="649"/>
      <c r="AG727" s="650"/>
      <c r="AH727" s="650"/>
      <c r="AI727" s="667"/>
    </row>
    <row r="728" spans="12:35" ht="45" customHeight="1" thickBot="1" x14ac:dyDescent="0.25">
      <c r="L728" s="645"/>
      <c r="M728" s="616"/>
      <c r="N728" s="616"/>
      <c r="O728" s="616"/>
      <c r="P728" s="615"/>
      <c r="Q728" s="616"/>
      <c r="R728" s="663"/>
      <c r="S728" s="459"/>
      <c r="T728" s="459"/>
      <c r="U728" s="459"/>
      <c r="V728" s="459"/>
      <c r="W728" s="459"/>
      <c r="X728" s="459"/>
      <c r="Y728" s="666"/>
      <c r="Z728" s="664"/>
      <c r="AA728" s="665"/>
      <c r="AB728" s="665"/>
      <c r="AC728" s="665"/>
      <c r="AD728" s="665"/>
      <c r="AE728" s="665"/>
      <c r="AF728" s="649"/>
      <c r="AG728" s="650"/>
      <c r="AH728" s="650"/>
      <c r="AI728" s="667"/>
    </row>
    <row r="729" spans="12:35" ht="45" customHeight="1" thickBot="1" x14ac:dyDescent="0.25">
      <c r="L729" s="645"/>
      <c r="M729" s="616"/>
      <c r="N729" s="616"/>
      <c r="O729" s="616"/>
      <c r="P729" s="615"/>
      <c r="Q729" s="616"/>
      <c r="R729" s="663"/>
      <c r="S729" s="459"/>
      <c r="T729" s="459"/>
      <c r="U729" s="459"/>
      <c r="V729" s="459"/>
      <c r="W729" s="459"/>
      <c r="X729" s="459"/>
      <c r="Y729" s="666"/>
      <c r="Z729" s="664"/>
      <c r="AA729" s="665"/>
      <c r="AB729" s="665"/>
      <c r="AC729" s="665"/>
      <c r="AD729" s="665"/>
      <c r="AE729" s="665"/>
      <c r="AF729" s="649"/>
      <c r="AG729" s="650"/>
      <c r="AH729" s="650"/>
      <c r="AI729" s="667"/>
    </row>
    <row r="730" spans="12:35" ht="45" customHeight="1" thickBot="1" x14ac:dyDescent="0.25">
      <c r="L730" s="645"/>
      <c r="M730" s="616"/>
      <c r="N730" s="616"/>
      <c r="O730" s="616"/>
      <c r="P730" s="615"/>
      <c r="Q730" s="616"/>
      <c r="R730" s="663"/>
      <c r="S730" s="459"/>
      <c r="T730" s="459"/>
      <c r="U730" s="459"/>
      <c r="V730" s="459"/>
      <c r="W730" s="459"/>
      <c r="X730" s="459"/>
      <c r="Y730" s="666"/>
      <c r="Z730" s="664"/>
      <c r="AA730" s="665"/>
      <c r="AB730" s="665"/>
      <c r="AC730" s="665"/>
      <c r="AD730" s="665"/>
      <c r="AE730" s="665"/>
      <c r="AF730" s="649"/>
      <c r="AG730" s="650"/>
      <c r="AH730" s="650"/>
      <c r="AI730" s="667"/>
    </row>
    <row r="731" spans="12:35" ht="45" customHeight="1" thickBot="1" x14ac:dyDescent="0.25">
      <c r="L731" s="645"/>
      <c r="M731" s="616"/>
      <c r="N731" s="616"/>
      <c r="O731" s="616"/>
      <c r="P731" s="615"/>
      <c r="Q731" s="616"/>
      <c r="R731" s="663"/>
      <c r="S731" s="459"/>
      <c r="T731" s="459"/>
      <c r="U731" s="459"/>
      <c r="V731" s="459"/>
      <c r="W731" s="459"/>
      <c r="X731" s="459"/>
      <c r="Y731" s="666"/>
      <c r="Z731" s="664"/>
      <c r="AA731" s="665"/>
      <c r="AB731" s="665"/>
      <c r="AC731" s="665"/>
      <c r="AD731" s="665"/>
      <c r="AE731" s="665"/>
      <c r="AF731" s="649"/>
      <c r="AG731" s="650"/>
      <c r="AH731" s="650"/>
      <c r="AI731" s="667"/>
    </row>
    <row r="732" spans="12:35" ht="45" customHeight="1" thickBot="1" x14ac:dyDescent="0.25">
      <c r="L732" s="645"/>
      <c r="M732" s="616"/>
      <c r="N732" s="616"/>
      <c r="O732" s="616"/>
      <c r="P732" s="615"/>
      <c r="Q732" s="616"/>
      <c r="R732" s="663"/>
      <c r="S732" s="459"/>
      <c r="T732" s="459"/>
      <c r="U732" s="459"/>
      <c r="V732" s="459"/>
      <c r="W732" s="459"/>
      <c r="X732" s="459"/>
      <c r="Y732" s="666"/>
      <c r="Z732" s="664"/>
      <c r="AA732" s="665"/>
      <c r="AB732" s="665"/>
      <c r="AC732" s="665"/>
      <c r="AD732" s="665"/>
      <c r="AE732" s="665"/>
      <c r="AF732" s="649"/>
      <c r="AG732" s="650"/>
      <c r="AH732" s="650"/>
      <c r="AI732" s="667"/>
    </row>
    <row r="733" spans="12:35" ht="45" customHeight="1" thickBot="1" x14ac:dyDescent="0.25">
      <c r="L733" s="645"/>
      <c r="M733" s="616"/>
      <c r="N733" s="616"/>
      <c r="O733" s="616"/>
      <c r="P733" s="615"/>
      <c r="Q733" s="616"/>
      <c r="R733" s="663"/>
      <c r="S733" s="459"/>
      <c r="T733" s="459"/>
      <c r="U733" s="459"/>
      <c r="V733" s="459"/>
      <c r="W733" s="459"/>
      <c r="X733" s="459"/>
      <c r="Y733" s="666"/>
      <c r="Z733" s="664"/>
      <c r="AA733" s="665"/>
      <c r="AB733" s="665"/>
      <c r="AC733" s="665"/>
      <c r="AD733" s="665"/>
      <c r="AE733" s="665"/>
      <c r="AF733" s="649"/>
      <c r="AG733" s="650"/>
      <c r="AH733" s="650"/>
      <c r="AI733" s="667"/>
    </row>
    <row r="734" spans="12:35" ht="45" customHeight="1" thickBot="1" x14ac:dyDescent="0.25">
      <c r="L734" s="645"/>
      <c r="M734" s="616"/>
      <c r="N734" s="616"/>
      <c r="O734" s="616"/>
      <c r="P734" s="615"/>
      <c r="Q734" s="616"/>
      <c r="R734" s="663"/>
      <c r="S734" s="459"/>
      <c r="T734" s="459"/>
      <c r="U734" s="459"/>
      <c r="V734" s="459"/>
      <c r="W734" s="459"/>
      <c r="X734" s="459"/>
      <c r="Y734" s="666"/>
      <c r="Z734" s="664"/>
      <c r="AA734" s="665"/>
      <c r="AB734" s="665"/>
      <c r="AC734" s="665"/>
      <c r="AD734" s="665"/>
      <c r="AE734" s="665"/>
      <c r="AF734" s="649"/>
      <c r="AG734" s="650"/>
      <c r="AH734" s="650"/>
      <c r="AI734" s="667"/>
    </row>
    <row r="735" spans="12:35" ht="45" customHeight="1" thickBot="1" x14ac:dyDescent="0.25">
      <c r="L735" s="645"/>
      <c r="M735" s="616"/>
      <c r="N735" s="616"/>
      <c r="O735" s="616"/>
      <c r="P735" s="615"/>
      <c r="Q735" s="616"/>
      <c r="R735" s="663"/>
      <c r="S735" s="459"/>
      <c r="T735" s="459"/>
      <c r="U735" s="459"/>
      <c r="V735" s="459"/>
      <c r="W735" s="459"/>
      <c r="X735" s="459"/>
      <c r="Y735" s="666"/>
      <c r="Z735" s="664"/>
      <c r="AA735" s="665"/>
      <c r="AB735" s="665"/>
      <c r="AC735" s="665"/>
      <c r="AD735" s="665"/>
      <c r="AE735" s="665"/>
      <c r="AF735" s="649"/>
      <c r="AG735" s="650"/>
      <c r="AH735" s="650"/>
      <c r="AI735" s="667"/>
    </row>
    <row r="736" spans="12:35" ht="45" customHeight="1" thickBot="1" x14ac:dyDescent="0.25">
      <c r="L736" s="645"/>
      <c r="M736" s="616"/>
      <c r="N736" s="616"/>
      <c r="O736" s="616"/>
      <c r="P736" s="615"/>
      <c r="Q736" s="616"/>
      <c r="R736" s="663"/>
      <c r="S736" s="459"/>
      <c r="T736" s="459"/>
      <c r="U736" s="459"/>
      <c r="V736" s="459"/>
      <c r="W736" s="459"/>
      <c r="X736" s="459"/>
      <c r="Y736" s="666"/>
      <c r="Z736" s="664"/>
      <c r="AA736" s="665"/>
      <c r="AB736" s="665"/>
      <c r="AC736" s="665"/>
      <c r="AD736" s="665"/>
      <c r="AE736" s="665"/>
      <c r="AF736" s="649"/>
      <c r="AG736" s="650"/>
      <c r="AH736" s="650"/>
      <c r="AI736" s="667"/>
    </row>
    <row r="737" spans="12:35" ht="45" customHeight="1" thickBot="1" x14ac:dyDescent="0.25">
      <c r="L737" s="645"/>
      <c r="M737" s="616"/>
      <c r="N737" s="616"/>
      <c r="O737" s="616"/>
      <c r="P737" s="615"/>
      <c r="Q737" s="616"/>
      <c r="R737" s="663"/>
      <c r="S737" s="459"/>
      <c r="T737" s="459"/>
      <c r="U737" s="459"/>
      <c r="V737" s="459"/>
      <c r="W737" s="459"/>
      <c r="X737" s="459"/>
      <c r="Y737" s="666"/>
      <c r="Z737" s="664"/>
      <c r="AA737" s="665"/>
      <c r="AB737" s="665"/>
      <c r="AC737" s="665"/>
      <c r="AD737" s="665"/>
      <c r="AE737" s="665"/>
      <c r="AF737" s="649"/>
      <c r="AG737" s="650"/>
      <c r="AH737" s="650"/>
      <c r="AI737" s="667"/>
    </row>
    <row r="738" spans="12:35" ht="45" customHeight="1" thickBot="1" x14ac:dyDescent="0.25">
      <c r="L738" s="645"/>
      <c r="M738" s="616"/>
      <c r="N738" s="616"/>
      <c r="O738" s="616"/>
      <c r="P738" s="615"/>
      <c r="Q738" s="616"/>
      <c r="R738" s="663"/>
      <c r="S738" s="459"/>
      <c r="T738" s="459"/>
      <c r="U738" s="459"/>
      <c r="V738" s="459"/>
      <c r="W738" s="459"/>
      <c r="X738" s="459"/>
      <c r="Y738" s="666"/>
      <c r="Z738" s="664"/>
      <c r="AA738" s="665"/>
      <c r="AB738" s="665"/>
      <c r="AC738" s="665"/>
      <c r="AD738" s="665"/>
      <c r="AE738" s="665"/>
      <c r="AF738" s="649"/>
      <c r="AG738" s="650"/>
      <c r="AH738" s="650"/>
      <c r="AI738" s="667"/>
    </row>
    <row r="739" spans="12:35" ht="45" customHeight="1" thickBot="1" x14ac:dyDescent="0.25">
      <c r="L739" s="645"/>
      <c r="M739" s="616"/>
      <c r="N739" s="616"/>
      <c r="O739" s="616"/>
      <c r="P739" s="615"/>
      <c r="Q739" s="616"/>
      <c r="R739" s="663"/>
      <c r="S739" s="459"/>
      <c r="T739" s="459"/>
      <c r="U739" s="459"/>
      <c r="V739" s="459"/>
      <c r="W739" s="459"/>
      <c r="X739" s="459"/>
      <c r="Y739" s="666"/>
      <c r="Z739" s="664"/>
      <c r="AA739" s="665"/>
      <c r="AB739" s="665"/>
      <c r="AC739" s="665"/>
      <c r="AD739" s="665"/>
      <c r="AE739" s="665"/>
      <c r="AF739" s="649"/>
      <c r="AG739" s="650"/>
      <c r="AH739" s="650"/>
      <c r="AI739" s="667"/>
    </row>
    <row r="740" spans="12:35" ht="45" customHeight="1" thickBot="1" x14ac:dyDescent="0.25">
      <c r="L740" s="645"/>
      <c r="M740" s="616"/>
      <c r="N740" s="616"/>
      <c r="O740" s="616"/>
      <c r="P740" s="615"/>
      <c r="Q740" s="616"/>
      <c r="R740" s="663"/>
      <c r="S740" s="459"/>
      <c r="T740" s="459"/>
      <c r="U740" s="459"/>
      <c r="V740" s="459"/>
      <c r="W740" s="459"/>
      <c r="X740" s="459"/>
      <c r="Y740" s="666"/>
      <c r="Z740" s="664"/>
      <c r="AA740" s="665"/>
      <c r="AB740" s="665"/>
      <c r="AC740" s="665"/>
      <c r="AD740" s="665"/>
      <c r="AE740" s="665"/>
      <c r="AF740" s="649"/>
      <c r="AG740" s="650"/>
      <c r="AH740" s="650"/>
      <c r="AI740" s="667"/>
    </row>
    <row r="741" spans="12:35" ht="45" customHeight="1" thickBot="1" x14ac:dyDescent="0.25">
      <c r="L741" s="645"/>
      <c r="M741" s="616"/>
      <c r="N741" s="616"/>
      <c r="O741" s="616"/>
      <c r="P741" s="615"/>
      <c r="Q741" s="616"/>
      <c r="R741" s="663"/>
      <c r="S741" s="459"/>
      <c r="T741" s="459"/>
      <c r="U741" s="459"/>
      <c r="V741" s="459"/>
      <c r="W741" s="459"/>
      <c r="X741" s="459"/>
      <c r="Y741" s="666"/>
      <c r="Z741" s="664"/>
      <c r="AA741" s="665"/>
      <c r="AB741" s="665"/>
      <c r="AC741" s="665"/>
      <c r="AD741" s="665"/>
      <c r="AE741" s="665"/>
      <c r="AF741" s="649"/>
      <c r="AG741" s="650"/>
      <c r="AH741" s="650"/>
      <c r="AI741" s="667"/>
    </row>
    <row r="742" spans="12:35" ht="45" customHeight="1" thickBot="1" x14ac:dyDescent="0.25">
      <c r="L742" s="645"/>
      <c r="M742" s="616"/>
      <c r="N742" s="616"/>
      <c r="O742" s="616"/>
      <c r="P742" s="615"/>
      <c r="Q742" s="616"/>
      <c r="R742" s="663"/>
      <c r="S742" s="459"/>
      <c r="T742" s="459"/>
      <c r="U742" s="459"/>
      <c r="V742" s="459"/>
      <c r="W742" s="459"/>
      <c r="X742" s="459"/>
      <c r="Y742" s="666"/>
      <c r="Z742" s="664"/>
      <c r="AA742" s="665"/>
      <c r="AB742" s="665"/>
      <c r="AC742" s="665"/>
      <c r="AD742" s="665"/>
      <c r="AE742" s="665"/>
      <c r="AF742" s="649"/>
      <c r="AG742" s="650"/>
      <c r="AH742" s="650"/>
      <c r="AI742" s="667"/>
    </row>
    <row r="743" spans="12:35" ht="45" customHeight="1" thickBot="1" x14ac:dyDescent="0.25">
      <c r="L743" s="645"/>
      <c r="M743" s="616"/>
      <c r="N743" s="616"/>
      <c r="O743" s="616"/>
      <c r="P743" s="615"/>
      <c r="Q743" s="616"/>
      <c r="R743" s="663"/>
      <c r="S743" s="459"/>
      <c r="T743" s="459"/>
      <c r="U743" s="459"/>
      <c r="V743" s="459"/>
      <c r="W743" s="459"/>
      <c r="X743" s="459"/>
      <c r="Y743" s="666"/>
      <c r="Z743" s="664"/>
      <c r="AA743" s="665"/>
      <c r="AB743" s="665"/>
      <c r="AC743" s="665"/>
      <c r="AD743" s="665"/>
      <c r="AE743" s="665"/>
      <c r="AF743" s="649"/>
      <c r="AG743" s="650"/>
      <c r="AH743" s="650"/>
      <c r="AI743" s="667"/>
    </row>
    <row r="744" spans="12:35" ht="45" customHeight="1" thickBot="1" x14ac:dyDescent="0.25">
      <c r="L744" s="645"/>
      <c r="M744" s="616"/>
      <c r="N744" s="616"/>
      <c r="O744" s="616"/>
      <c r="P744" s="615"/>
      <c r="Q744" s="616"/>
      <c r="R744" s="663"/>
      <c r="S744" s="459"/>
      <c r="T744" s="459"/>
      <c r="U744" s="459"/>
      <c r="V744" s="459"/>
      <c r="W744" s="459"/>
      <c r="X744" s="459"/>
      <c r="Y744" s="666"/>
      <c r="Z744" s="664"/>
      <c r="AA744" s="665"/>
      <c r="AB744" s="665"/>
      <c r="AC744" s="665"/>
      <c r="AD744" s="665"/>
      <c r="AE744" s="665"/>
      <c r="AF744" s="649"/>
      <c r="AG744" s="650"/>
      <c r="AH744" s="650"/>
      <c r="AI744" s="667"/>
    </row>
    <row r="745" spans="12:35" ht="45" customHeight="1" thickBot="1" x14ac:dyDescent="0.25">
      <c r="L745" s="645"/>
      <c r="M745" s="616"/>
      <c r="N745" s="616"/>
      <c r="O745" s="616"/>
      <c r="P745" s="615"/>
      <c r="Q745" s="616"/>
      <c r="R745" s="663"/>
      <c r="S745" s="459"/>
      <c r="T745" s="459"/>
      <c r="U745" s="459"/>
      <c r="V745" s="459"/>
      <c r="W745" s="459"/>
      <c r="X745" s="459"/>
      <c r="Y745" s="666"/>
      <c r="Z745" s="664"/>
      <c r="AA745" s="665"/>
      <c r="AB745" s="665"/>
      <c r="AC745" s="665"/>
      <c r="AD745" s="665"/>
      <c r="AE745" s="665"/>
      <c r="AF745" s="649"/>
      <c r="AG745" s="650"/>
      <c r="AH745" s="650"/>
      <c r="AI745" s="667"/>
    </row>
    <row r="746" spans="12:35" ht="45" customHeight="1" thickBot="1" x14ac:dyDescent="0.25">
      <c r="L746" s="645"/>
      <c r="M746" s="616"/>
      <c r="N746" s="616"/>
      <c r="O746" s="616"/>
      <c r="P746" s="615"/>
      <c r="Q746" s="616"/>
      <c r="R746" s="663"/>
      <c r="S746" s="459"/>
      <c r="T746" s="459"/>
      <c r="U746" s="459"/>
      <c r="V746" s="459"/>
      <c r="W746" s="459"/>
      <c r="X746" s="459"/>
      <c r="Y746" s="666"/>
      <c r="Z746" s="664"/>
      <c r="AA746" s="665"/>
      <c r="AB746" s="665"/>
      <c r="AC746" s="665"/>
      <c r="AD746" s="665"/>
      <c r="AE746" s="665"/>
      <c r="AF746" s="649"/>
      <c r="AG746" s="650"/>
      <c r="AH746" s="650"/>
      <c r="AI746" s="667"/>
    </row>
    <row r="747" spans="12:35" ht="45" customHeight="1" thickBot="1" x14ac:dyDescent="0.25">
      <c r="L747" s="645"/>
      <c r="M747" s="616"/>
      <c r="N747" s="616"/>
      <c r="O747" s="616"/>
      <c r="P747" s="615"/>
      <c r="Q747" s="616"/>
      <c r="R747" s="663"/>
      <c r="S747" s="459"/>
      <c r="T747" s="459"/>
      <c r="U747" s="459"/>
      <c r="V747" s="459"/>
      <c r="W747" s="459"/>
      <c r="X747" s="459"/>
      <c r="Y747" s="666"/>
      <c r="Z747" s="664"/>
      <c r="AA747" s="665"/>
      <c r="AB747" s="665"/>
      <c r="AC747" s="665"/>
      <c r="AD747" s="665"/>
      <c r="AE747" s="665"/>
      <c r="AF747" s="649"/>
      <c r="AG747" s="650"/>
      <c r="AH747" s="650"/>
      <c r="AI747" s="667"/>
    </row>
    <row r="748" spans="12:35" ht="45" customHeight="1" thickBot="1" x14ac:dyDescent="0.25">
      <c r="L748" s="645"/>
      <c r="M748" s="616"/>
      <c r="N748" s="616"/>
      <c r="O748" s="616"/>
      <c r="P748" s="615"/>
      <c r="Q748" s="616"/>
      <c r="R748" s="663"/>
      <c r="S748" s="459"/>
      <c r="T748" s="459"/>
      <c r="U748" s="459"/>
      <c r="V748" s="459"/>
      <c r="W748" s="459"/>
      <c r="X748" s="459"/>
      <c r="Y748" s="666"/>
      <c r="Z748" s="664"/>
      <c r="AA748" s="665"/>
      <c r="AB748" s="665"/>
      <c r="AC748" s="665"/>
      <c r="AD748" s="665"/>
      <c r="AE748" s="665"/>
      <c r="AF748" s="649"/>
      <c r="AG748" s="650"/>
      <c r="AH748" s="650"/>
      <c r="AI748" s="667"/>
    </row>
    <row r="749" spans="12:35" ht="45" customHeight="1" thickBot="1" x14ac:dyDescent="0.25">
      <c r="L749" s="645"/>
      <c r="M749" s="616"/>
      <c r="N749" s="616"/>
      <c r="O749" s="616"/>
      <c r="P749" s="615"/>
      <c r="Q749" s="616"/>
      <c r="R749" s="663"/>
      <c r="S749" s="459"/>
      <c r="T749" s="459"/>
      <c r="U749" s="459"/>
      <c r="V749" s="459"/>
      <c r="W749" s="459"/>
      <c r="X749" s="459"/>
      <c r="Y749" s="666"/>
      <c r="Z749" s="664"/>
      <c r="AA749" s="665"/>
      <c r="AB749" s="665"/>
      <c r="AC749" s="665"/>
      <c r="AD749" s="665"/>
      <c r="AE749" s="665"/>
      <c r="AF749" s="649"/>
      <c r="AG749" s="650"/>
      <c r="AH749" s="650"/>
      <c r="AI749" s="667"/>
    </row>
    <row r="750" spans="12:35" ht="45" customHeight="1" thickBot="1" x14ac:dyDescent="0.25">
      <c r="L750" s="645"/>
      <c r="M750" s="616"/>
      <c r="N750" s="616"/>
      <c r="O750" s="616"/>
      <c r="P750" s="615"/>
      <c r="Q750" s="616"/>
      <c r="R750" s="663"/>
      <c r="S750" s="459"/>
      <c r="T750" s="459"/>
      <c r="U750" s="459"/>
      <c r="V750" s="459"/>
      <c r="W750" s="459"/>
      <c r="X750" s="459"/>
      <c r="Y750" s="666"/>
      <c r="Z750" s="664"/>
      <c r="AA750" s="665"/>
      <c r="AB750" s="665"/>
      <c r="AC750" s="665"/>
      <c r="AD750" s="665"/>
      <c r="AE750" s="665"/>
      <c r="AF750" s="649"/>
      <c r="AG750" s="650"/>
      <c r="AH750" s="650"/>
      <c r="AI750" s="667"/>
    </row>
    <row r="751" spans="12:35" ht="45" customHeight="1" thickBot="1" x14ac:dyDescent="0.25">
      <c r="L751" s="645"/>
      <c r="M751" s="616"/>
      <c r="N751" s="616"/>
      <c r="O751" s="616"/>
      <c r="P751" s="615"/>
      <c r="Q751" s="616"/>
      <c r="R751" s="663"/>
      <c r="S751" s="459"/>
      <c r="T751" s="459"/>
      <c r="U751" s="459"/>
      <c r="V751" s="459"/>
      <c r="W751" s="459"/>
      <c r="X751" s="459"/>
      <c r="Y751" s="666"/>
      <c r="Z751" s="664"/>
      <c r="AA751" s="665"/>
      <c r="AB751" s="665"/>
      <c r="AC751" s="665"/>
      <c r="AD751" s="665"/>
      <c r="AE751" s="665"/>
      <c r="AF751" s="649"/>
      <c r="AG751" s="650"/>
      <c r="AH751" s="650"/>
      <c r="AI751" s="667"/>
    </row>
    <row r="752" spans="12:35" ht="45" customHeight="1" thickBot="1" x14ac:dyDescent="0.25">
      <c r="L752" s="645"/>
      <c r="M752" s="616"/>
      <c r="N752" s="616"/>
      <c r="O752" s="616"/>
      <c r="P752" s="615"/>
      <c r="Q752" s="616"/>
      <c r="R752" s="663"/>
      <c r="S752" s="459"/>
      <c r="T752" s="459"/>
      <c r="U752" s="459"/>
      <c r="V752" s="459"/>
      <c r="W752" s="459"/>
      <c r="X752" s="459"/>
      <c r="Y752" s="666"/>
      <c r="Z752" s="664"/>
      <c r="AA752" s="665"/>
      <c r="AB752" s="665"/>
      <c r="AC752" s="665"/>
      <c r="AD752" s="665"/>
      <c r="AE752" s="665"/>
      <c r="AF752" s="649"/>
      <c r="AG752" s="650"/>
      <c r="AH752" s="650"/>
      <c r="AI752" s="667"/>
    </row>
    <row r="753" spans="12:35" ht="45" customHeight="1" thickBot="1" x14ac:dyDescent="0.25">
      <c r="L753" s="645"/>
      <c r="M753" s="616"/>
      <c r="N753" s="616"/>
      <c r="O753" s="616"/>
      <c r="P753" s="615"/>
      <c r="Q753" s="616"/>
      <c r="R753" s="663"/>
      <c r="S753" s="459"/>
      <c r="T753" s="459"/>
      <c r="U753" s="459"/>
      <c r="V753" s="459"/>
      <c r="W753" s="459"/>
      <c r="X753" s="459"/>
      <c r="Y753" s="666"/>
      <c r="Z753" s="664"/>
      <c r="AA753" s="665"/>
      <c r="AB753" s="665"/>
      <c r="AC753" s="665"/>
      <c r="AD753" s="665"/>
      <c r="AE753" s="665"/>
      <c r="AF753" s="649"/>
      <c r="AG753" s="650"/>
      <c r="AH753" s="650"/>
      <c r="AI753" s="667"/>
    </row>
    <row r="754" spans="12:35" ht="45" customHeight="1" thickBot="1" x14ac:dyDescent="0.25">
      <c r="L754" s="645"/>
      <c r="M754" s="616"/>
      <c r="N754" s="616"/>
      <c r="O754" s="616"/>
      <c r="P754" s="615"/>
      <c r="Q754" s="616"/>
      <c r="R754" s="663"/>
      <c r="S754" s="459"/>
      <c r="T754" s="459"/>
      <c r="U754" s="459"/>
      <c r="V754" s="459"/>
      <c r="W754" s="459"/>
      <c r="X754" s="459"/>
      <c r="Y754" s="666"/>
      <c r="Z754" s="664"/>
      <c r="AA754" s="665"/>
      <c r="AB754" s="665"/>
      <c r="AC754" s="665"/>
      <c r="AD754" s="665"/>
      <c r="AE754" s="665"/>
      <c r="AF754" s="649"/>
      <c r="AG754" s="650"/>
      <c r="AH754" s="650"/>
      <c r="AI754" s="667"/>
    </row>
    <row r="755" spans="12:35" ht="45" customHeight="1" thickBot="1" x14ac:dyDescent="0.25">
      <c r="L755" s="645"/>
      <c r="M755" s="616"/>
      <c r="N755" s="616"/>
      <c r="O755" s="616"/>
      <c r="P755" s="615"/>
      <c r="Q755" s="616"/>
      <c r="R755" s="663"/>
      <c r="S755" s="459"/>
      <c r="T755" s="459"/>
      <c r="U755" s="459"/>
      <c r="V755" s="459"/>
      <c r="W755" s="459"/>
      <c r="X755" s="459"/>
      <c r="Y755" s="666"/>
      <c r="Z755" s="664"/>
      <c r="AA755" s="665"/>
      <c r="AB755" s="665"/>
      <c r="AC755" s="665"/>
      <c r="AD755" s="665"/>
      <c r="AE755" s="665"/>
      <c r="AF755" s="649"/>
      <c r="AG755" s="650"/>
      <c r="AH755" s="650"/>
      <c r="AI755" s="667"/>
    </row>
    <row r="756" spans="12:35" ht="45" customHeight="1" thickBot="1" x14ac:dyDescent="0.25">
      <c r="L756" s="645"/>
      <c r="M756" s="616"/>
      <c r="N756" s="616"/>
      <c r="O756" s="616"/>
      <c r="P756" s="615"/>
      <c r="Q756" s="616"/>
      <c r="R756" s="663"/>
      <c r="S756" s="459"/>
      <c r="T756" s="459"/>
      <c r="U756" s="459"/>
      <c r="V756" s="459"/>
      <c r="W756" s="459"/>
      <c r="X756" s="459"/>
      <c r="Y756" s="666"/>
      <c r="Z756" s="664"/>
      <c r="AA756" s="665"/>
      <c r="AB756" s="665"/>
      <c r="AC756" s="665"/>
      <c r="AD756" s="665"/>
      <c r="AE756" s="665"/>
      <c r="AF756" s="649"/>
      <c r="AG756" s="650"/>
      <c r="AH756" s="650"/>
      <c r="AI756" s="667"/>
    </row>
    <row r="757" spans="12:35" ht="45" customHeight="1" thickBot="1" x14ac:dyDescent="0.25">
      <c r="L757" s="645"/>
      <c r="M757" s="616"/>
      <c r="N757" s="616"/>
      <c r="O757" s="616"/>
      <c r="P757" s="615"/>
      <c r="Q757" s="616"/>
      <c r="R757" s="663"/>
      <c r="S757" s="459"/>
      <c r="T757" s="459"/>
      <c r="U757" s="459"/>
      <c r="V757" s="459"/>
      <c r="W757" s="459"/>
      <c r="X757" s="459"/>
      <c r="Y757" s="666"/>
      <c r="Z757" s="664"/>
      <c r="AA757" s="665"/>
      <c r="AB757" s="665"/>
      <c r="AC757" s="665"/>
      <c r="AD757" s="665"/>
      <c r="AE757" s="665"/>
      <c r="AF757" s="649"/>
      <c r="AG757" s="650"/>
      <c r="AH757" s="650"/>
      <c r="AI757" s="667"/>
    </row>
    <row r="758" spans="12:35" ht="45" customHeight="1" thickBot="1" x14ac:dyDescent="0.25">
      <c r="L758" s="645"/>
      <c r="M758" s="616"/>
      <c r="N758" s="616"/>
      <c r="O758" s="616"/>
      <c r="P758" s="615"/>
      <c r="Q758" s="616"/>
      <c r="R758" s="663"/>
      <c r="S758" s="459"/>
      <c r="T758" s="459"/>
      <c r="U758" s="459"/>
      <c r="V758" s="459"/>
      <c r="W758" s="459"/>
      <c r="X758" s="459"/>
      <c r="Y758" s="666"/>
      <c r="Z758" s="664"/>
      <c r="AA758" s="665"/>
      <c r="AB758" s="665"/>
      <c r="AC758" s="665"/>
      <c r="AD758" s="665"/>
      <c r="AE758" s="665"/>
      <c r="AF758" s="649"/>
      <c r="AG758" s="650"/>
      <c r="AH758" s="650"/>
      <c r="AI758" s="667"/>
    </row>
    <row r="759" spans="12:35" ht="45" customHeight="1" thickBot="1" x14ac:dyDescent="0.25">
      <c r="L759" s="645"/>
      <c r="M759" s="616"/>
      <c r="N759" s="616"/>
      <c r="O759" s="616"/>
      <c r="P759" s="615"/>
      <c r="Q759" s="616"/>
      <c r="R759" s="663"/>
      <c r="S759" s="459"/>
      <c r="T759" s="459"/>
      <c r="U759" s="459"/>
      <c r="V759" s="459"/>
      <c r="W759" s="459"/>
      <c r="X759" s="459"/>
      <c r="Y759" s="666"/>
      <c r="Z759" s="664"/>
      <c r="AA759" s="665"/>
      <c r="AB759" s="665"/>
      <c r="AC759" s="665"/>
      <c r="AD759" s="665"/>
      <c r="AE759" s="665"/>
      <c r="AF759" s="649"/>
      <c r="AG759" s="650"/>
      <c r="AH759" s="650"/>
      <c r="AI759" s="667"/>
    </row>
    <row r="760" spans="12:35" ht="45" customHeight="1" thickBot="1" x14ac:dyDescent="0.25">
      <c r="L760" s="645"/>
      <c r="M760" s="616"/>
      <c r="N760" s="616"/>
      <c r="O760" s="616"/>
      <c r="P760" s="615"/>
      <c r="Q760" s="616"/>
      <c r="R760" s="663"/>
      <c r="S760" s="459"/>
      <c r="T760" s="459"/>
      <c r="U760" s="459"/>
      <c r="V760" s="459"/>
      <c r="W760" s="459"/>
      <c r="X760" s="459"/>
      <c r="Y760" s="666"/>
      <c r="Z760" s="664"/>
      <c r="AA760" s="665"/>
      <c r="AB760" s="665"/>
      <c r="AC760" s="665"/>
      <c r="AD760" s="665"/>
      <c r="AE760" s="665"/>
      <c r="AF760" s="649"/>
      <c r="AG760" s="650"/>
      <c r="AH760" s="650"/>
      <c r="AI760" s="667"/>
    </row>
    <row r="761" spans="12:35" ht="45" customHeight="1" thickBot="1" x14ac:dyDescent="0.25">
      <c r="L761" s="645"/>
      <c r="M761" s="616"/>
      <c r="N761" s="616"/>
      <c r="O761" s="616"/>
      <c r="P761" s="615"/>
      <c r="Q761" s="616"/>
      <c r="R761" s="663"/>
      <c r="S761" s="459"/>
      <c r="T761" s="459"/>
      <c r="U761" s="459"/>
      <c r="V761" s="459"/>
      <c r="W761" s="459"/>
      <c r="X761" s="459"/>
      <c r="Y761" s="666"/>
      <c r="Z761" s="664"/>
      <c r="AA761" s="665"/>
      <c r="AB761" s="665"/>
      <c r="AC761" s="665"/>
      <c r="AD761" s="665"/>
      <c r="AE761" s="665"/>
      <c r="AF761" s="649"/>
      <c r="AG761" s="650"/>
      <c r="AH761" s="650"/>
      <c r="AI761" s="667"/>
    </row>
    <row r="762" spans="12:35" ht="45" customHeight="1" thickBot="1" x14ac:dyDescent="0.25">
      <c r="L762" s="645"/>
      <c r="M762" s="616"/>
      <c r="N762" s="616"/>
      <c r="O762" s="616"/>
      <c r="P762" s="615"/>
      <c r="Q762" s="616"/>
      <c r="R762" s="663"/>
      <c r="S762" s="459"/>
      <c r="T762" s="459"/>
      <c r="U762" s="459"/>
      <c r="V762" s="459"/>
      <c r="W762" s="459"/>
      <c r="X762" s="459"/>
      <c r="Y762" s="666"/>
      <c r="Z762" s="664"/>
      <c r="AA762" s="665"/>
      <c r="AB762" s="665"/>
      <c r="AC762" s="665"/>
      <c r="AD762" s="665"/>
      <c r="AE762" s="665"/>
      <c r="AF762" s="649"/>
      <c r="AG762" s="650"/>
      <c r="AH762" s="650"/>
      <c r="AI762" s="667"/>
    </row>
    <row r="763" spans="12:35" ht="45" customHeight="1" thickBot="1" x14ac:dyDescent="0.25">
      <c r="L763" s="645"/>
      <c r="M763" s="616"/>
      <c r="N763" s="616"/>
      <c r="O763" s="616"/>
      <c r="P763" s="615"/>
      <c r="Q763" s="616"/>
      <c r="R763" s="663"/>
      <c r="S763" s="459"/>
      <c r="T763" s="459"/>
      <c r="U763" s="459"/>
      <c r="V763" s="459"/>
      <c r="W763" s="459"/>
      <c r="X763" s="459"/>
      <c r="Y763" s="666"/>
      <c r="Z763" s="664"/>
      <c r="AA763" s="665"/>
      <c r="AB763" s="665"/>
      <c r="AC763" s="665"/>
      <c r="AD763" s="665"/>
      <c r="AE763" s="665"/>
      <c r="AF763" s="649"/>
      <c r="AG763" s="650"/>
      <c r="AH763" s="650"/>
      <c r="AI763" s="667"/>
    </row>
    <row r="764" spans="12:35" ht="45" customHeight="1" thickBot="1" x14ac:dyDescent="0.25">
      <c r="L764" s="645"/>
      <c r="M764" s="616"/>
      <c r="N764" s="616"/>
      <c r="O764" s="616"/>
      <c r="P764" s="615"/>
      <c r="Q764" s="616"/>
      <c r="R764" s="663"/>
      <c r="S764" s="459"/>
      <c r="T764" s="459"/>
      <c r="U764" s="459"/>
      <c r="V764" s="459"/>
      <c r="W764" s="459"/>
      <c r="X764" s="459"/>
      <c r="Y764" s="666"/>
      <c r="Z764" s="664"/>
      <c r="AA764" s="665"/>
      <c r="AB764" s="665"/>
      <c r="AC764" s="665"/>
      <c r="AD764" s="665"/>
      <c r="AE764" s="665"/>
      <c r="AF764" s="649"/>
      <c r="AG764" s="650"/>
      <c r="AH764" s="650"/>
      <c r="AI764" s="667"/>
    </row>
    <row r="765" spans="12:35" ht="45" customHeight="1" thickBot="1" x14ac:dyDescent="0.25">
      <c r="L765" s="645"/>
      <c r="M765" s="616"/>
      <c r="N765" s="616"/>
      <c r="O765" s="616"/>
      <c r="P765" s="615"/>
      <c r="Q765" s="616"/>
      <c r="R765" s="663"/>
      <c r="S765" s="459"/>
      <c r="T765" s="459"/>
      <c r="U765" s="459"/>
      <c r="V765" s="459"/>
      <c r="W765" s="459"/>
      <c r="X765" s="459"/>
      <c r="Y765" s="666"/>
      <c r="Z765" s="664"/>
      <c r="AA765" s="665"/>
      <c r="AB765" s="665"/>
      <c r="AC765" s="665"/>
      <c r="AD765" s="665"/>
      <c r="AE765" s="665"/>
      <c r="AF765" s="649"/>
      <c r="AG765" s="650"/>
      <c r="AH765" s="650"/>
      <c r="AI765" s="667"/>
    </row>
    <row r="766" spans="12:35" ht="45" customHeight="1" thickBot="1" x14ac:dyDescent="0.25">
      <c r="L766" s="645"/>
      <c r="M766" s="616"/>
      <c r="N766" s="616"/>
      <c r="O766" s="616"/>
      <c r="P766" s="615"/>
      <c r="Q766" s="616"/>
      <c r="R766" s="663"/>
      <c r="S766" s="459"/>
      <c r="T766" s="459"/>
      <c r="U766" s="459"/>
      <c r="V766" s="459"/>
      <c r="W766" s="459"/>
      <c r="X766" s="459"/>
      <c r="Y766" s="666"/>
      <c r="Z766" s="664"/>
      <c r="AA766" s="665"/>
      <c r="AB766" s="665"/>
      <c r="AC766" s="665"/>
      <c r="AD766" s="665"/>
      <c r="AE766" s="665"/>
      <c r="AF766" s="649"/>
      <c r="AG766" s="650"/>
      <c r="AH766" s="650"/>
      <c r="AI766" s="667"/>
    </row>
    <row r="767" spans="12:35" ht="45" customHeight="1" thickBot="1" x14ac:dyDescent="0.25">
      <c r="L767" s="645"/>
      <c r="M767" s="616"/>
      <c r="N767" s="616"/>
      <c r="O767" s="616"/>
      <c r="P767" s="615"/>
      <c r="Q767" s="616"/>
      <c r="R767" s="663"/>
      <c r="S767" s="459"/>
      <c r="T767" s="459"/>
      <c r="U767" s="459"/>
      <c r="V767" s="459"/>
      <c r="W767" s="459"/>
      <c r="X767" s="459"/>
      <c r="Y767" s="666"/>
      <c r="Z767" s="664"/>
      <c r="AA767" s="665"/>
      <c r="AB767" s="665"/>
      <c r="AC767" s="665"/>
      <c r="AD767" s="665"/>
      <c r="AE767" s="665"/>
      <c r="AF767" s="649"/>
      <c r="AG767" s="650"/>
      <c r="AH767" s="650"/>
      <c r="AI767" s="667"/>
    </row>
    <row r="768" spans="12:35" ht="45" customHeight="1" thickBot="1" x14ac:dyDescent="0.25">
      <c r="L768" s="645"/>
      <c r="M768" s="616"/>
      <c r="N768" s="616"/>
      <c r="O768" s="616"/>
      <c r="P768" s="615"/>
      <c r="Q768" s="616"/>
      <c r="R768" s="663"/>
      <c r="S768" s="459"/>
      <c r="T768" s="459"/>
      <c r="U768" s="459"/>
      <c r="V768" s="459"/>
      <c r="W768" s="459"/>
      <c r="X768" s="459"/>
      <c r="Y768" s="666"/>
      <c r="Z768" s="664"/>
      <c r="AA768" s="665"/>
      <c r="AB768" s="665"/>
      <c r="AC768" s="665"/>
      <c r="AD768" s="665"/>
      <c r="AE768" s="665"/>
      <c r="AF768" s="649"/>
      <c r="AG768" s="650"/>
      <c r="AH768" s="650"/>
      <c r="AI768" s="667"/>
    </row>
    <row r="769" spans="12:35" ht="45" customHeight="1" thickBot="1" x14ac:dyDescent="0.25">
      <c r="L769" s="645"/>
      <c r="M769" s="616"/>
      <c r="N769" s="616"/>
      <c r="O769" s="616"/>
      <c r="P769" s="615"/>
      <c r="Q769" s="616"/>
      <c r="R769" s="663"/>
      <c r="S769" s="459"/>
      <c r="T769" s="459"/>
      <c r="U769" s="459"/>
      <c r="V769" s="459"/>
      <c r="W769" s="459"/>
      <c r="X769" s="459"/>
      <c r="Y769" s="666"/>
      <c r="Z769" s="664"/>
      <c r="AA769" s="665"/>
      <c r="AB769" s="665"/>
      <c r="AC769" s="665"/>
      <c r="AD769" s="665"/>
      <c r="AE769" s="665"/>
      <c r="AF769" s="649"/>
      <c r="AG769" s="650"/>
      <c r="AH769" s="650"/>
      <c r="AI769" s="667"/>
    </row>
    <row r="770" spans="12:35" ht="45" customHeight="1" thickBot="1" x14ac:dyDescent="0.25">
      <c r="L770" s="645"/>
      <c r="M770" s="616"/>
      <c r="N770" s="616"/>
      <c r="O770" s="616"/>
      <c r="P770" s="615"/>
      <c r="Q770" s="616"/>
      <c r="R770" s="663"/>
      <c r="S770" s="459"/>
      <c r="T770" s="459"/>
      <c r="U770" s="459"/>
      <c r="V770" s="459"/>
      <c r="W770" s="459"/>
      <c r="X770" s="459"/>
      <c r="Y770" s="666"/>
      <c r="Z770" s="664"/>
      <c r="AA770" s="665"/>
      <c r="AB770" s="665"/>
      <c r="AC770" s="665"/>
      <c r="AD770" s="665"/>
      <c r="AE770" s="665"/>
      <c r="AF770" s="649"/>
      <c r="AG770" s="650"/>
      <c r="AH770" s="650"/>
      <c r="AI770" s="667"/>
    </row>
    <row r="771" spans="12:35" ht="45" customHeight="1" thickBot="1" x14ac:dyDescent="0.25">
      <c r="L771" s="645"/>
      <c r="M771" s="616"/>
      <c r="N771" s="616"/>
      <c r="O771" s="616"/>
      <c r="P771" s="615"/>
      <c r="Q771" s="616"/>
      <c r="R771" s="663"/>
      <c r="S771" s="459"/>
      <c r="T771" s="459"/>
      <c r="U771" s="459"/>
      <c r="V771" s="459"/>
      <c r="W771" s="459"/>
      <c r="X771" s="459"/>
      <c r="Y771" s="666"/>
      <c r="Z771" s="664"/>
      <c r="AA771" s="665"/>
      <c r="AB771" s="665"/>
      <c r="AC771" s="665"/>
      <c r="AD771" s="665"/>
      <c r="AE771" s="665"/>
      <c r="AF771" s="649"/>
      <c r="AG771" s="650"/>
      <c r="AH771" s="650"/>
      <c r="AI771" s="667"/>
    </row>
    <row r="772" spans="12:35" ht="45" customHeight="1" thickBot="1" x14ac:dyDescent="0.25">
      <c r="L772" s="645"/>
      <c r="M772" s="616"/>
      <c r="N772" s="616"/>
      <c r="O772" s="616"/>
      <c r="P772" s="615"/>
      <c r="Q772" s="616"/>
      <c r="R772" s="663"/>
      <c r="S772" s="459"/>
      <c r="T772" s="459"/>
      <c r="U772" s="459"/>
      <c r="V772" s="459"/>
      <c r="W772" s="459"/>
      <c r="X772" s="459"/>
      <c r="Y772" s="666"/>
      <c r="Z772" s="664"/>
      <c r="AA772" s="665"/>
      <c r="AB772" s="665"/>
      <c r="AC772" s="665"/>
      <c r="AD772" s="665"/>
      <c r="AE772" s="665"/>
      <c r="AF772" s="649"/>
      <c r="AG772" s="650"/>
      <c r="AH772" s="650"/>
      <c r="AI772" s="667"/>
    </row>
    <row r="773" spans="12:35" ht="45" customHeight="1" thickBot="1" x14ac:dyDescent="0.25">
      <c r="L773" s="645"/>
      <c r="M773" s="616"/>
      <c r="N773" s="616"/>
      <c r="O773" s="616"/>
      <c r="P773" s="615"/>
      <c r="Q773" s="616"/>
      <c r="R773" s="663"/>
      <c r="S773" s="459"/>
      <c r="T773" s="459"/>
      <c r="U773" s="459"/>
      <c r="V773" s="459"/>
      <c r="W773" s="459"/>
      <c r="X773" s="459"/>
      <c r="Y773" s="666"/>
      <c r="Z773" s="664"/>
      <c r="AA773" s="665"/>
      <c r="AB773" s="665"/>
      <c r="AC773" s="665"/>
      <c r="AD773" s="665"/>
      <c r="AE773" s="665"/>
      <c r="AF773" s="649"/>
      <c r="AG773" s="650"/>
      <c r="AH773" s="650"/>
      <c r="AI773" s="667"/>
    </row>
    <row r="774" spans="12:35" ht="45" customHeight="1" thickBot="1" x14ac:dyDescent="0.25">
      <c r="L774" s="645"/>
      <c r="M774" s="616"/>
      <c r="N774" s="616"/>
      <c r="O774" s="616"/>
      <c r="P774" s="615"/>
      <c r="Q774" s="616"/>
      <c r="R774" s="663"/>
      <c r="S774" s="459"/>
      <c r="T774" s="459"/>
      <c r="U774" s="459"/>
      <c r="V774" s="459"/>
      <c r="W774" s="459"/>
      <c r="X774" s="459"/>
      <c r="Y774" s="666"/>
      <c r="Z774" s="664"/>
      <c r="AA774" s="665"/>
      <c r="AB774" s="665"/>
      <c r="AC774" s="665"/>
      <c r="AD774" s="665"/>
      <c r="AE774" s="665"/>
      <c r="AF774" s="649"/>
      <c r="AG774" s="650"/>
      <c r="AH774" s="650"/>
      <c r="AI774" s="667"/>
    </row>
    <row r="775" spans="12:35" ht="45" customHeight="1" thickBot="1" x14ac:dyDescent="0.25">
      <c r="L775" s="645"/>
      <c r="M775" s="616"/>
      <c r="N775" s="616"/>
      <c r="O775" s="616"/>
      <c r="P775" s="615"/>
      <c r="Q775" s="616"/>
      <c r="R775" s="663"/>
      <c r="S775" s="459"/>
      <c r="T775" s="459"/>
      <c r="U775" s="459"/>
      <c r="V775" s="459"/>
      <c r="W775" s="459"/>
      <c r="X775" s="459"/>
      <c r="Y775" s="666"/>
      <c r="Z775" s="664"/>
      <c r="AA775" s="665"/>
      <c r="AB775" s="665"/>
      <c r="AC775" s="665"/>
      <c r="AD775" s="665"/>
      <c r="AE775" s="665"/>
      <c r="AF775" s="649"/>
      <c r="AG775" s="650"/>
      <c r="AH775" s="650"/>
      <c r="AI775" s="667"/>
    </row>
    <row r="776" spans="12:35" ht="45" customHeight="1" thickBot="1" x14ac:dyDescent="0.25">
      <c r="L776" s="645"/>
      <c r="M776" s="616"/>
      <c r="N776" s="616"/>
      <c r="O776" s="616"/>
      <c r="P776" s="615"/>
      <c r="Q776" s="616"/>
      <c r="R776" s="663"/>
      <c r="S776" s="459"/>
      <c r="T776" s="459"/>
      <c r="U776" s="459"/>
      <c r="V776" s="459"/>
      <c r="W776" s="459"/>
      <c r="X776" s="459"/>
      <c r="Y776" s="666"/>
      <c r="Z776" s="664"/>
      <c r="AA776" s="665"/>
      <c r="AB776" s="665"/>
      <c r="AC776" s="665"/>
      <c r="AD776" s="665"/>
      <c r="AE776" s="665"/>
      <c r="AF776" s="649"/>
      <c r="AG776" s="650"/>
      <c r="AH776" s="650"/>
      <c r="AI776" s="667"/>
    </row>
    <row r="777" spans="12:35" ht="45" customHeight="1" thickBot="1" x14ac:dyDescent="0.25">
      <c r="L777" s="645"/>
      <c r="M777" s="616"/>
      <c r="N777" s="616"/>
      <c r="O777" s="616"/>
      <c r="P777" s="615"/>
      <c r="Q777" s="616"/>
      <c r="R777" s="663"/>
      <c r="S777" s="459"/>
      <c r="T777" s="459"/>
      <c r="U777" s="459"/>
      <c r="V777" s="459"/>
      <c r="W777" s="459"/>
      <c r="X777" s="459"/>
      <c r="Y777" s="666"/>
      <c r="Z777" s="664"/>
      <c r="AA777" s="665"/>
      <c r="AB777" s="665"/>
      <c r="AC777" s="665"/>
      <c r="AD777" s="665"/>
      <c r="AE777" s="665"/>
      <c r="AF777" s="649"/>
      <c r="AG777" s="650"/>
      <c r="AH777" s="650"/>
      <c r="AI777" s="667"/>
    </row>
    <row r="778" spans="12:35" ht="45" customHeight="1" thickBot="1" x14ac:dyDescent="0.25">
      <c r="L778" s="645"/>
      <c r="M778" s="616"/>
      <c r="N778" s="616"/>
      <c r="O778" s="616"/>
      <c r="P778" s="615"/>
      <c r="Q778" s="616"/>
      <c r="R778" s="663"/>
      <c r="S778" s="459"/>
      <c r="T778" s="459"/>
      <c r="U778" s="459"/>
      <c r="V778" s="459"/>
      <c r="W778" s="459"/>
      <c r="X778" s="459"/>
      <c r="Y778" s="666"/>
      <c r="Z778" s="664"/>
      <c r="AA778" s="665"/>
      <c r="AB778" s="665"/>
      <c r="AC778" s="665"/>
      <c r="AD778" s="665"/>
      <c r="AE778" s="665"/>
      <c r="AF778" s="649"/>
      <c r="AG778" s="650"/>
      <c r="AH778" s="650"/>
      <c r="AI778" s="667"/>
    </row>
    <row r="779" spans="12:35" ht="45" customHeight="1" thickBot="1" x14ac:dyDescent="0.25">
      <c r="L779" s="645"/>
      <c r="M779" s="616"/>
      <c r="N779" s="616"/>
      <c r="O779" s="616"/>
      <c r="P779" s="615"/>
      <c r="Q779" s="616"/>
      <c r="R779" s="663"/>
      <c r="S779" s="459"/>
      <c r="T779" s="459"/>
      <c r="U779" s="459"/>
      <c r="V779" s="459"/>
      <c r="W779" s="459"/>
      <c r="X779" s="459"/>
      <c r="Y779" s="666"/>
      <c r="Z779" s="664"/>
      <c r="AA779" s="665"/>
      <c r="AB779" s="665"/>
      <c r="AC779" s="665"/>
      <c r="AD779" s="665"/>
      <c r="AE779" s="665"/>
      <c r="AF779" s="649"/>
      <c r="AG779" s="650"/>
      <c r="AH779" s="650"/>
      <c r="AI779" s="667"/>
    </row>
    <row r="780" spans="12:35" ht="45" customHeight="1" thickBot="1" x14ac:dyDescent="0.25">
      <c r="L780" s="645"/>
      <c r="M780" s="616"/>
      <c r="N780" s="616"/>
      <c r="O780" s="616"/>
      <c r="P780" s="615"/>
      <c r="Q780" s="616"/>
      <c r="R780" s="663"/>
      <c r="S780" s="459"/>
      <c r="T780" s="459"/>
      <c r="U780" s="459"/>
      <c r="V780" s="459"/>
      <c r="W780" s="459"/>
      <c r="X780" s="459"/>
      <c r="Y780" s="666"/>
      <c r="Z780" s="664"/>
      <c r="AA780" s="665"/>
      <c r="AB780" s="665"/>
      <c r="AC780" s="665"/>
      <c r="AD780" s="665"/>
      <c r="AE780" s="665"/>
      <c r="AF780" s="649"/>
      <c r="AG780" s="650"/>
      <c r="AH780" s="650"/>
      <c r="AI780" s="667"/>
    </row>
    <row r="781" spans="12:35" ht="45" customHeight="1" thickBot="1" x14ac:dyDescent="0.25">
      <c r="L781" s="645"/>
      <c r="M781" s="616"/>
      <c r="N781" s="616"/>
      <c r="O781" s="616"/>
      <c r="P781" s="615"/>
      <c r="Q781" s="616"/>
      <c r="R781" s="663"/>
      <c r="S781" s="459"/>
      <c r="T781" s="459"/>
      <c r="U781" s="459"/>
      <c r="V781" s="459"/>
      <c r="W781" s="459"/>
      <c r="X781" s="459"/>
      <c r="Y781" s="666"/>
      <c r="Z781" s="664"/>
      <c r="AA781" s="665"/>
      <c r="AB781" s="665"/>
      <c r="AC781" s="665"/>
      <c r="AD781" s="665"/>
      <c r="AE781" s="665"/>
      <c r="AF781" s="649"/>
      <c r="AG781" s="650"/>
      <c r="AH781" s="650"/>
      <c r="AI781" s="667"/>
    </row>
    <row r="782" spans="12:35" ht="45" customHeight="1" thickBot="1" x14ac:dyDescent="0.25">
      <c r="L782" s="645"/>
      <c r="M782" s="616"/>
      <c r="N782" s="616"/>
      <c r="O782" s="616"/>
      <c r="P782" s="615"/>
      <c r="Q782" s="616"/>
      <c r="R782" s="663"/>
      <c r="S782" s="459"/>
      <c r="T782" s="459"/>
      <c r="U782" s="459"/>
      <c r="V782" s="459"/>
      <c r="W782" s="459"/>
      <c r="X782" s="459"/>
      <c r="Y782" s="666"/>
      <c r="Z782" s="664"/>
      <c r="AA782" s="665"/>
      <c r="AB782" s="665"/>
      <c r="AC782" s="665"/>
      <c r="AD782" s="665"/>
      <c r="AE782" s="665"/>
      <c r="AF782" s="649"/>
      <c r="AG782" s="650"/>
      <c r="AH782" s="650"/>
      <c r="AI782" s="667"/>
    </row>
    <row r="783" spans="12:35" ht="45" customHeight="1" thickBot="1" x14ac:dyDescent="0.25">
      <c r="L783" s="645"/>
      <c r="M783" s="616"/>
      <c r="N783" s="616"/>
      <c r="O783" s="616"/>
      <c r="P783" s="615"/>
      <c r="Q783" s="616"/>
      <c r="R783" s="663"/>
      <c r="S783" s="459"/>
      <c r="T783" s="459"/>
      <c r="U783" s="459"/>
      <c r="V783" s="459"/>
      <c r="W783" s="459"/>
      <c r="X783" s="459"/>
      <c r="Y783" s="666"/>
      <c r="Z783" s="664"/>
      <c r="AA783" s="665"/>
      <c r="AB783" s="665"/>
      <c r="AC783" s="665"/>
      <c r="AD783" s="665"/>
      <c r="AE783" s="665"/>
      <c r="AF783" s="649"/>
      <c r="AG783" s="650"/>
      <c r="AH783" s="650"/>
      <c r="AI783" s="667"/>
    </row>
    <row r="784" spans="12:35" ht="45" customHeight="1" thickBot="1" x14ac:dyDescent="0.25">
      <c r="L784" s="645"/>
      <c r="M784" s="616"/>
      <c r="N784" s="616"/>
      <c r="O784" s="616"/>
      <c r="P784" s="615"/>
      <c r="Q784" s="616"/>
      <c r="R784" s="663"/>
      <c r="S784" s="459"/>
      <c r="T784" s="459"/>
      <c r="U784" s="459"/>
      <c r="V784" s="459"/>
      <c r="W784" s="459"/>
      <c r="X784" s="459"/>
      <c r="Y784" s="666"/>
      <c r="Z784" s="664"/>
      <c r="AA784" s="665"/>
      <c r="AB784" s="665"/>
      <c r="AC784" s="665"/>
      <c r="AD784" s="665"/>
      <c r="AE784" s="665"/>
      <c r="AF784" s="649"/>
      <c r="AG784" s="650"/>
      <c r="AH784" s="650"/>
      <c r="AI784" s="667"/>
    </row>
    <row r="785" spans="12:35" ht="45" customHeight="1" thickBot="1" x14ac:dyDescent="0.25">
      <c r="L785" s="645"/>
      <c r="M785" s="616"/>
      <c r="N785" s="616"/>
      <c r="O785" s="616"/>
      <c r="P785" s="615"/>
      <c r="Q785" s="616"/>
      <c r="R785" s="663"/>
      <c r="S785" s="459"/>
      <c r="T785" s="459"/>
      <c r="U785" s="459"/>
      <c r="V785" s="459"/>
      <c r="W785" s="459"/>
      <c r="X785" s="459"/>
      <c r="Y785" s="666"/>
      <c r="Z785" s="664"/>
      <c r="AA785" s="665"/>
      <c r="AB785" s="665"/>
      <c r="AC785" s="665"/>
      <c r="AD785" s="665"/>
      <c r="AE785" s="665"/>
      <c r="AF785" s="649"/>
      <c r="AG785" s="650"/>
      <c r="AH785" s="650"/>
      <c r="AI785" s="667"/>
    </row>
    <row r="786" spans="12:35" ht="45" customHeight="1" thickBot="1" x14ac:dyDescent="0.25">
      <c r="L786" s="645"/>
      <c r="M786" s="616"/>
      <c r="N786" s="616"/>
      <c r="O786" s="616"/>
      <c r="P786" s="615"/>
      <c r="Q786" s="616"/>
      <c r="R786" s="663"/>
      <c r="S786" s="459"/>
      <c r="T786" s="459"/>
      <c r="U786" s="459"/>
      <c r="V786" s="459"/>
      <c r="W786" s="459"/>
      <c r="X786" s="459"/>
      <c r="Y786" s="666"/>
      <c r="Z786" s="664"/>
      <c r="AA786" s="665"/>
      <c r="AB786" s="665"/>
      <c r="AC786" s="665"/>
      <c r="AD786" s="665"/>
      <c r="AE786" s="665"/>
      <c r="AF786" s="649"/>
      <c r="AG786" s="650"/>
      <c r="AH786" s="650"/>
      <c r="AI786" s="667"/>
    </row>
    <row r="787" spans="12:35" ht="45" customHeight="1" thickBot="1" x14ac:dyDescent="0.25">
      <c r="L787" s="645"/>
      <c r="M787" s="616"/>
      <c r="N787" s="616"/>
      <c r="O787" s="616"/>
      <c r="P787" s="615"/>
      <c r="Q787" s="616"/>
      <c r="R787" s="663"/>
      <c r="S787" s="459"/>
      <c r="T787" s="459"/>
      <c r="U787" s="459"/>
      <c r="V787" s="459"/>
      <c r="W787" s="459"/>
      <c r="X787" s="459"/>
      <c r="Y787" s="666"/>
      <c r="Z787" s="664"/>
      <c r="AA787" s="665"/>
      <c r="AB787" s="665"/>
      <c r="AC787" s="665"/>
      <c r="AD787" s="665"/>
      <c r="AE787" s="665"/>
      <c r="AF787" s="649"/>
      <c r="AG787" s="650"/>
      <c r="AH787" s="650"/>
      <c r="AI787" s="667"/>
    </row>
    <row r="788" spans="12:35" ht="45" customHeight="1" thickBot="1" x14ac:dyDescent="0.25">
      <c r="L788" s="645"/>
      <c r="M788" s="616"/>
      <c r="N788" s="616"/>
      <c r="O788" s="616"/>
      <c r="P788" s="615"/>
      <c r="Q788" s="616"/>
      <c r="R788" s="663"/>
      <c r="S788" s="459"/>
      <c r="T788" s="459"/>
      <c r="U788" s="459"/>
      <c r="V788" s="459"/>
      <c r="W788" s="459"/>
      <c r="X788" s="459"/>
      <c r="Y788" s="666"/>
      <c r="Z788" s="664"/>
      <c r="AA788" s="665"/>
      <c r="AB788" s="665"/>
      <c r="AC788" s="665"/>
      <c r="AD788" s="665"/>
      <c r="AE788" s="665"/>
      <c r="AF788" s="649"/>
      <c r="AG788" s="650"/>
      <c r="AH788" s="650"/>
      <c r="AI788" s="667"/>
    </row>
    <row r="789" spans="12:35" ht="45" customHeight="1" thickBot="1" x14ac:dyDescent="0.25">
      <c r="L789" s="645"/>
      <c r="M789" s="616"/>
      <c r="N789" s="616"/>
      <c r="O789" s="616"/>
      <c r="P789" s="615"/>
      <c r="Q789" s="616"/>
      <c r="R789" s="663"/>
      <c r="S789" s="459"/>
      <c r="T789" s="459"/>
      <c r="U789" s="459"/>
      <c r="V789" s="459"/>
      <c r="W789" s="459"/>
      <c r="X789" s="459"/>
      <c r="Y789" s="666"/>
      <c r="Z789" s="664"/>
      <c r="AA789" s="665"/>
      <c r="AB789" s="665"/>
      <c r="AC789" s="665"/>
      <c r="AD789" s="665"/>
      <c r="AE789" s="665"/>
      <c r="AF789" s="649"/>
      <c r="AG789" s="650"/>
      <c r="AH789" s="650"/>
      <c r="AI789" s="667"/>
    </row>
    <row r="790" spans="12:35" ht="45" customHeight="1" thickBot="1" x14ac:dyDescent="0.25">
      <c r="L790" s="645"/>
      <c r="M790" s="616"/>
      <c r="N790" s="616"/>
      <c r="O790" s="616"/>
      <c r="P790" s="615"/>
      <c r="Q790" s="616"/>
      <c r="R790" s="663"/>
      <c r="S790" s="459"/>
      <c r="T790" s="459"/>
      <c r="U790" s="459"/>
      <c r="V790" s="459"/>
      <c r="W790" s="459"/>
      <c r="X790" s="459"/>
      <c r="Y790" s="666"/>
      <c r="Z790" s="664"/>
      <c r="AA790" s="665"/>
      <c r="AB790" s="665"/>
      <c r="AC790" s="665"/>
      <c r="AD790" s="665"/>
      <c r="AE790" s="665"/>
      <c r="AF790" s="649"/>
      <c r="AG790" s="650"/>
      <c r="AH790" s="650"/>
      <c r="AI790" s="667"/>
    </row>
    <row r="791" spans="12:35" ht="45" customHeight="1" thickBot="1" x14ac:dyDescent="0.25">
      <c r="L791" s="645"/>
      <c r="M791" s="616"/>
      <c r="N791" s="616"/>
      <c r="O791" s="616"/>
      <c r="P791" s="615"/>
      <c r="Q791" s="616"/>
      <c r="R791" s="663"/>
      <c r="S791" s="459"/>
      <c r="T791" s="459"/>
      <c r="U791" s="459"/>
      <c r="V791" s="459"/>
      <c r="W791" s="459"/>
      <c r="X791" s="459"/>
      <c r="Y791" s="666"/>
      <c r="Z791" s="664"/>
      <c r="AA791" s="665"/>
      <c r="AB791" s="665"/>
      <c r="AC791" s="665"/>
      <c r="AD791" s="665"/>
      <c r="AE791" s="665"/>
      <c r="AF791" s="649"/>
      <c r="AG791" s="650"/>
      <c r="AH791" s="650"/>
      <c r="AI791" s="667"/>
    </row>
    <row r="792" spans="12:35" ht="45" customHeight="1" thickBot="1" x14ac:dyDescent="0.25">
      <c r="L792" s="645"/>
      <c r="M792" s="616"/>
      <c r="N792" s="616"/>
      <c r="O792" s="616"/>
      <c r="P792" s="615"/>
      <c r="Q792" s="616"/>
      <c r="R792" s="663"/>
      <c r="S792" s="459"/>
      <c r="T792" s="459"/>
      <c r="U792" s="459"/>
      <c r="V792" s="459"/>
      <c r="W792" s="459"/>
      <c r="X792" s="459"/>
      <c r="Y792" s="666"/>
      <c r="Z792" s="664"/>
      <c r="AA792" s="665"/>
      <c r="AB792" s="665"/>
      <c r="AC792" s="665"/>
      <c r="AD792" s="665"/>
      <c r="AE792" s="665"/>
      <c r="AF792" s="649"/>
      <c r="AG792" s="650"/>
      <c r="AH792" s="650"/>
      <c r="AI792" s="667"/>
    </row>
    <row r="793" spans="12:35" ht="45" customHeight="1" thickBot="1" x14ac:dyDescent="0.25">
      <c r="L793" s="645"/>
      <c r="M793" s="616"/>
      <c r="N793" s="616"/>
      <c r="O793" s="616"/>
      <c r="P793" s="615"/>
      <c r="Q793" s="616"/>
      <c r="R793" s="663"/>
      <c r="S793" s="459"/>
      <c r="T793" s="459"/>
      <c r="U793" s="459"/>
      <c r="V793" s="459"/>
      <c r="W793" s="459"/>
      <c r="X793" s="459"/>
      <c r="Y793" s="666"/>
      <c r="Z793" s="664"/>
      <c r="AA793" s="665"/>
      <c r="AB793" s="665"/>
      <c r="AC793" s="665"/>
      <c r="AD793" s="665"/>
      <c r="AE793" s="665"/>
      <c r="AF793" s="649"/>
      <c r="AG793" s="650"/>
      <c r="AH793" s="650"/>
      <c r="AI793" s="667"/>
    </row>
    <row r="794" spans="12:35" ht="45" customHeight="1" thickBot="1" x14ac:dyDescent="0.25">
      <c r="L794" s="645"/>
      <c r="M794" s="616"/>
      <c r="N794" s="616"/>
      <c r="O794" s="616"/>
      <c r="P794" s="615"/>
      <c r="Q794" s="616"/>
      <c r="R794" s="663"/>
      <c r="S794" s="459"/>
      <c r="T794" s="459"/>
      <c r="U794" s="459"/>
      <c r="V794" s="459"/>
      <c r="W794" s="459"/>
      <c r="X794" s="459"/>
      <c r="Y794" s="666"/>
      <c r="Z794" s="664"/>
      <c r="AA794" s="665"/>
      <c r="AB794" s="665"/>
      <c r="AC794" s="665"/>
      <c r="AD794" s="665"/>
      <c r="AE794" s="665"/>
      <c r="AF794" s="649"/>
      <c r="AG794" s="650"/>
      <c r="AH794" s="650"/>
      <c r="AI794" s="667"/>
    </row>
    <row r="795" spans="12:35" ht="45" customHeight="1" thickBot="1" x14ac:dyDescent="0.25">
      <c r="L795" s="645"/>
      <c r="M795" s="616"/>
      <c r="N795" s="616"/>
      <c r="O795" s="616"/>
      <c r="P795" s="615"/>
      <c r="Q795" s="616"/>
      <c r="R795" s="663"/>
      <c r="S795" s="459"/>
      <c r="T795" s="459"/>
      <c r="U795" s="459"/>
      <c r="V795" s="459"/>
      <c r="W795" s="459"/>
      <c r="X795" s="459"/>
      <c r="Y795" s="666"/>
      <c r="Z795" s="664"/>
      <c r="AA795" s="665"/>
      <c r="AB795" s="665"/>
      <c r="AC795" s="665"/>
      <c r="AD795" s="665"/>
      <c r="AE795" s="665"/>
      <c r="AF795" s="649"/>
      <c r="AG795" s="650"/>
      <c r="AH795" s="650"/>
      <c r="AI795" s="667"/>
    </row>
    <row r="796" spans="12:35" ht="45" customHeight="1" thickBot="1" x14ac:dyDescent="0.25">
      <c r="L796" s="645"/>
      <c r="M796" s="616"/>
      <c r="N796" s="616"/>
      <c r="O796" s="616"/>
      <c r="P796" s="615"/>
      <c r="Q796" s="616"/>
      <c r="R796" s="663"/>
      <c r="S796" s="459"/>
      <c r="T796" s="459"/>
      <c r="U796" s="459"/>
      <c r="V796" s="459"/>
      <c r="W796" s="459"/>
      <c r="X796" s="459"/>
      <c r="Y796" s="666"/>
      <c r="Z796" s="664"/>
      <c r="AA796" s="665"/>
      <c r="AB796" s="665"/>
      <c r="AC796" s="665"/>
      <c r="AD796" s="665"/>
      <c r="AE796" s="665"/>
      <c r="AF796" s="649"/>
      <c r="AG796" s="650"/>
      <c r="AH796" s="650"/>
      <c r="AI796" s="667"/>
    </row>
    <row r="797" spans="12:35" ht="45" customHeight="1" thickBot="1" x14ac:dyDescent="0.25">
      <c r="L797" s="645"/>
      <c r="M797" s="616"/>
      <c r="N797" s="616"/>
      <c r="O797" s="616"/>
      <c r="P797" s="615"/>
      <c r="Q797" s="616"/>
      <c r="R797" s="663"/>
      <c r="S797" s="459"/>
      <c r="T797" s="459"/>
      <c r="U797" s="459"/>
      <c r="V797" s="459"/>
      <c r="W797" s="459"/>
      <c r="X797" s="459"/>
      <c r="Y797" s="666"/>
      <c r="Z797" s="664"/>
      <c r="AA797" s="665"/>
      <c r="AB797" s="665"/>
      <c r="AC797" s="665"/>
      <c r="AD797" s="665"/>
      <c r="AE797" s="665"/>
      <c r="AF797" s="649"/>
      <c r="AG797" s="650"/>
      <c r="AH797" s="650"/>
      <c r="AI797" s="667"/>
    </row>
    <row r="798" spans="12:35" ht="45" customHeight="1" thickBot="1" x14ac:dyDescent="0.25">
      <c r="L798" s="645"/>
      <c r="M798" s="616"/>
      <c r="N798" s="616"/>
      <c r="O798" s="616"/>
      <c r="P798" s="615"/>
      <c r="Q798" s="616"/>
      <c r="R798" s="663"/>
      <c r="S798" s="459"/>
      <c r="T798" s="459"/>
      <c r="U798" s="459"/>
      <c r="V798" s="459"/>
      <c r="W798" s="459"/>
      <c r="X798" s="459"/>
      <c r="Y798" s="666"/>
      <c r="Z798" s="664"/>
      <c r="AA798" s="665"/>
      <c r="AB798" s="665"/>
      <c r="AC798" s="665"/>
      <c r="AD798" s="665"/>
      <c r="AE798" s="665"/>
      <c r="AF798" s="649"/>
      <c r="AG798" s="650"/>
      <c r="AH798" s="650"/>
      <c r="AI798" s="667"/>
    </row>
    <row r="799" spans="12:35" ht="45" customHeight="1" thickBot="1" x14ac:dyDescent="0.25">
      <c r="L799" s="645"/>
      <c r="M799" s="616"/>
      <c r="N799" s="616"/>
      <c r="O799" s="616"/>
      <c r="P799" s="615"/>
      <c r="Q799" s="616"/>
      <c r="R799" s="663"/>
      <c r="S799" s="459"/>
      <c r="T799" s="459"/>
      <c r="U799" s="459"/>
      <c r="V799" s="459"/>
      <c r="W799" s="459"/>
      <c r="X799" s="459"/>
      <c r="Y799" s="666"/>
      <c r="Z799" s="664"/>
      <c r="AA799" s="665"/>
      <c r="AB799" s="665"/>
      <c r="AC799" s="665"/>
      <c r="AD799" s="665"/>
      <c r="AE799" s="665"/>
      <c r="AF799" s="649"/>
      <c r="AG799" s="650"/>
      <c r="AH799" s="650"/>
      <c r="AI799" s="667"/>
    </row>
    <row r="800" spans="12:35" ht="45" customHeight="1" thickBot="1" x14ac:dyDescent="0.25">
      <c r="L800" s="645"/>
      <c r="M800" s="616"/>
      <c r="N800" s="616"/>
      <c r="O800" s="616"/>
      <c r="P800" s="615"/>
      <c r="Q800" s="616"/>
      <c r="R800" s="663"/>
      <c r="S800" s="459"/>
      <c r="T800" s="459"/>
      <c r="U800" s="459"/>
      <c r="V800" s="459"/>
      <c r="W800" s="459"/>
      <c r="X800" s="459"/>
      <c r="Y800" s="666"/>
      <c r="Z800" s="664"/>
      <c r="AA800" s="665"/>
      <c r="AB800" s="665"/>
      <c r="AC800" s="665"/>
      <c r="AD800" s="665"/>
      <c r="AE800" s="665"/>
      <c r="AF800" s="649"/>
      <c r="AG800" s="650"/>
      <c r="AH800" s="650"/>
      <c r="AI800" s="667"/>
    </row>
    <row r="801" spans="12:35" ht="45" customHeight="1" thickBot="1" x14ac:dyDescent="0.25">
      <c r="L801" s="645"/>
      <c r="M801" s="616"/>
      <c r="N801" s="616"/>
      <c r="O801" s="616"/>
      <c r="P801" s="615"/>
      <c r="Q801" s="616"/>
      <c r="R801" s="663"/>
      <c r="S801" s="459"/>
      <c r="T801" s="459"/>
      <c r="U801" s="459"/>
      <c r="V801" s="459"/>
      <c r="W801" s="459"/>
      <c r="X801" s="459"/>
      <c r="Y801" s="666"/>
      <c r="Z801" s="664"/>
      <c r="AA801" s="665"/>
      <c r="AB801" s="665"/>
      <c r="AC801" s="665"/>
      <c r="AD801" s="665"/>
      <c r="AE801" s="665"/>
      <c r="AF801" s="649"/>
      <c r="AG801" s="650"/>
      <c r="AH801" s="650"/>
      <c r="AI801" s="667"/>
    </row>
    <row r="802" spans="12:35" ht="45" customHeight="1" thickBot="1" x14ac:dyDescent="0.25">
      <c r="L802" s="645"/>
      <c r="M802" s="616"/>
      <c r="N802" s="616"/>
      <c r="O802" s="616"/>
      <c r="P802" s="615"/>
      <c r="Q802" s="616"/>
      <c r="R802" s="663"/>
      <c r="S802" s="459"/>
      <c r="T802" s="459"/>
      <c r="U802" s="459"/>
      <c r="V802" s="459"/>
      <c r="W802" s="459"/>
      <c r="X802" s="459"/>
      <c r="Y802" s="666"/>
      <c r="Z802" s="664"/>
      <c r="AA802" s="665"/>
      <c r="AB802" s="665"/>
      <c r="AC802" s="665"/>
      <c r="AD802" s="665"/>
      <c r="AE802" s="665"/>
      <c r="AF802" s="649"/>
      <c r="AG802" s="650"/>
      <c r="AH802" s="650"/>
      <c r="AI802" s="667"/>
    </row>
    <row r="803" spans="12:35" ht="45" customHeight="1" thickBot="1" x14ac:dyDescent="0.25">
      <c r="L803" s="645"/>
      <c r="M803" s="616"/>
      <c r="N803" s="616"/>
      <c r="O803" s="616"/>
      <c r="P803" s="615"/>
      <c r="Q803" s="616"/>
      <c r="R803" s="663"/>
      <c r="S803" s="459"/>
      <c r="T803" s="459"/>
      <c r="U803" s="459"/>
      <c r="V803" s="459"/>
      <c r="W803" s="459"/>
      <c r="X803" s="459"/>
      <c r="Y803" s="666"/>
      <c r="Z803" s="664"/>
      <c r="AA803" s="665"/>
      <c r="AB803" s="665"/>
      <c r="AC803" s="665"/>
      <c r="AD803" s="665"/>
      <c r="AE803" s="665"/>
      <c r="AF803" s="649"/>
      <c r="AG803" s="650"/>
      <c r="AH803" s="650"/>
      <c r="AI803" s="667"/>
    </row>
    <row r="804" spans="12:35" ht="45" customHeight="1" thickBot="1" x14ac:dyDescent="0.25">
      <c r="L804" s="645"/>
      <c r="M804" s="616"/>
      <c r="N804" s="616"/>
      <c r="O804" s="616"/>
      <c r="P804" s="615"/>
      <c r="Q804" s="616"/>
      <c r="R804" s="663"/>
      <c r="S804" s="459"/>
      <c r="T804" s="459"/>
      <c r="U804" s="459"/>
      <c r="V804" s="459"/>
      <c r="W804" s="459"/>
      <c r="X804" s="459"/>
      <c r="Y804" s="666"/>
      <c r="Z804" s="664"/>
      <c r="AA804" s="665"/>
      <c r="AB804" s="665"/>
      <c r="AC804" s="665"/>
      <c r="AD804" s="665"/>
      <c r="AE804" s="665"/>
      <c r="AF804" s="649"/>
      <c r="AG804" s="650"/>
      <c r="AH804" s="650"/>
      <c r="AI804" s="667"/>
    </row>
    <row r="805" spans="12:35" ht="45" customHeight="1" thickBot="1" x14ac:dyDescent="0.25">
      <c r="L805" s="645"/>
      <c r="M805" s="616"/>
      <c r="N805" s="616"/>
      <c r="O805" s="616"/>
      <c r="P805" s="615"/>
      <c r="Q805" s="616"/>
      <c r="R805" s="663"/>
      <c r="S805" s="459"/>
      <c r="T805" s="459"/>
      <c r="U805" s="459"/>
      <c r="V805" s="459"/>
      <c r="W805" s="459"/>
      <c r="X805" s="459"/>
      <c r="Y805" s="666"/>
      <c r="Z805" s="664"/>
      <c r="AA805" s="665"/>
      <c r="AB805" s="665"/>
      <c r="AC805" s="665"/>
      <c r="AD805" s="665"/>
      <c r="AE805" s="665"/>
      <c r="AF805" s="649"/>
      <c r="AG805" s="650"/>
      <c r="AH805" s="650"/>
      <c r="AI805" s="667"/>
    </row>
    <row r="806" spans="12:35" ht="45" customHeight="1" thickBot="1" x14ac:dyDescent="0.25">
      <c r="L806" s="645"/>
      <c r="M806" s="616"/>
      <c r="N806" s="616"/>
      <c r="O806" s="616"/>
      <c r="P806" s="615"/>
      <c r="Q806" s="616"/>
      <c r="R806" s="663"/>
      <c r="S806" s="459"/>
      <c r="T806" s="459"/>
      <c r="U806" s="459"/>
      <c r="V806" s="459"/>
      <c r="W806" s="459"/>
      <c r="X806" s="459"/>
      <c r="Y806" s="666"/>
      <c r="Z806" s="664"/>
      <c r="AA806" s="665"/>
      <c r="AB806" s="665"/>
      <c r="AC806" s="665"/>
      <c r="AD806" s="665"/>
      <c r="AE806" s="665"/>
      <c r="AF806" s="649"/>
      <c r="AG806" s="650"/>
      <c r="AH806" s="650"/>
      <c r="AI806" s="667"/>
    </row>
    <row r="807" spans="12:35" ht="45" customHeight="1" thickBot="1" x14ac:dyDescent="0.25">
      <c r="L807" s="645"/>
      <c r="M807" s="616"/>
      <c r="N807" s="616"/>
      <c r="O807" s="616"/>
      <c r="P807" s="615"/>
      <c r="Q807" s="616"/>
      <c r="R807" s="663"/>
      <c r="S807" s="459"/>
      <c r="T807" s="459"/>
      <c r="U807" s="459"/>
      <c r="V807" s="459"/>
      <c r="W807" s="459"/>
      <c r="X807" s="459"/>
      <c r="Y807" s="666"/>
      <c r="Z807" s="664"/>
      <c r="AA807" s="665"/>
      <c r="AB807" s="665"/>
      <c r="AC807" s="665"/>
      <c r="AD807" s="665"/>
      <c r="AE807" s="665"/>
      <c r="AF807" s="649"/>
      <c r="AG807" s="650"/>
      <c r="AH807" s="650"/>
      <c r="AI807" s="667"/>
    </row>
    <row r="808" spans="12:35" ht="45" customHeight="1" thickBot="1" x14ac:dyDescent="0.25">
      <c r="L808" s="645"/>
      <c r="M808" s="616"/>
      <c r="N808" s="616"/>
      <c r="O808" s="616"/>
      <c r="P808" s="615"/>
      <c r="Q808" s="616"/>
      <c r="R808" s="663"/>
      <c r="S808" s="459"/>
      <c r="T808" s="459"/>
      <c r="U808" s="459"/>
      <c r="V808" s="459"/>
      <c r="W808" s="459"/>
      <c r="X808" s="459"/>
      <c r="Y808" s="666"/>
      <c r="Z808" s="664"/>
      <c r="AA808" s="665"/>
      <c r="AB808" s="665"/>
      <c r="AC808" s="665"/>
      <c r="AD808" s="665"/>
      <c r="AE808" s="665"/>
      <c r="AF808" s="649"/>
      <c r="AG808" s="650"/>
      <c r="AH808" s="650"/>
      <c r="AI808" s="667"/>
    </row>
    <row r="809" spans="12:35" ht="45" customHeight="1" thickBot="1" x14ac:dyDescent="0.25">
      <c r="L809" s="645"/>
      <c r="M809" s="616"/>
      <c r="N809" s="616"/>
      <c r="O809" s="616"/>
      <c r="P809" s="615"/>
      <c r="Q809" s="616"/>
      <c r="R809" s="663"/>
      <c r="S809" s="459"/>
      <c r="T809" s="459"/>
      <c r="U809" s="459"/>
      <c r="V809" s="459"/>
      <c r="W809" s="459"/>
      <c r="X809" s="459"/>
      <c r="Y809" s="666"/>
      <c r="Z809" s="664"/>
      <c r="AA809" s="665"/>
      <c r="AB809" s="665"/>
      <c r="AC809" s="665"/>
      <c r="AD809" s="665"/>
      <c r="AE809" s="665"/>
      <c r="AF809" s="649"/>
      <c r="AG809" s="650"/>
      <c r="AH809" s="650"/>
      <c r="AI809" s="667"/>
    </row>
    <row r="810" spans="12:35" ht="45" customHeight="1" thickBot="1" x14ac:dyDescent="0.25">
      <c r="L810" s="645"/>
      <c r="M810" s="616"/>
      <c r="N810" s="616"/>
      <c r="O810" s="616"/>
      <c r="P810" s="615"/>
      <c r="Q810" s="616"/>
      <c r="R810" s="663"/>
      <c r="S810" s="459"/>
      <c r="T810" s="459"/>
      <c r="U810" s="459"/>
      <c r="V810" s="459"/>
      <c r="W810" s="459"/>
      <c r="X810" s="459"/>
      <c r="Y810" s="666"/>
      <c r="Z810" s="664"/>
      <c r="AA810" s="665"/>
      <c r="AB810" s="665"/>
      <c r="AC810" s="665"/>
      <c r="AD810" s="665"/>
      <c r="AE810" s="665"/>
      <c r="AF810" s="649"/>
      <c r="AG810" s="650"/>
      <c r="AH810" s="650"/>
      <c r="AI810" s="667"/>
    </row>
    <row r="811" spans="12:35" ht="45" customHeight="1" thickBot="1" x14ac:dyDescent="0.25">
      <c r="L811" s="645"/>
      <c r="M811" s="616"/>
      <c r="N811" s="616"/>
      <c r="O811" s="616"/>
      <c r="P811" s="615"/>
      <c r="Q811" s="616"/>
      <c r="R811" s="663"/>
      <c r="S811" s="459"/>
      <c r="T811" s="459"/>
      <c r="U811" s="459"/>
      <c r="V811" s="459"/>
      <c r="W811" s="459"/>
      <c r="X811" s="459"/>
      <c r="Y811" s="666"/>
      <c r="Z811" s="664"/>
      <c r="AA811" s="665"/>
      <c r="AB811" s="665"/>
      <c r="AC811" s="665"/>
      <c r="AD811" s="665"/>
      <c r="AE811" s="665"/>
      <c r="AF811" s="649"/>
      <c r="AG811" s="650"/>
      <c r="AH811" s="650"/>
      <c r="AI811" s="667"/>
    </row>
    <row r="812" spans="12:35" ht="45" customHeight="1" thickBot="1" x14ac:dyDescent="0.25">
      <c r="L812" s="645"/>
      <c r="M812" s="616"/>
      <c r="N812" s="616"/>
      <c r="O812" s="616"/>
      <c r="P812" s="615"/>
      <c r="Q812" s="616"/>
      <c r="R812" s="663"/>
      <c r="S812" s="459"/>
      <c r="T812" s="459"/>
      <c r="U812" s="459"/>
      <c r="V812" s="459"/>
      <c r="W812" s="459"/>
      <c r="X812" s="459"/>
      <c r="Y812" s="666"/>
      <c r="Z812" s="664"/>
      <c r="AA812" s="665"/>
      <c r="AB812" s="665"/>
      <c r="AC812" s="665"/>
      <c r="AD812" s="665"/>
      <c r="AE812" s="665"/>
      <c r="AF812" s="649"/>
      <c r="AG812" s="650"/>
      <c r="AH812" s="650"/>
      <c r="AI812" s="667"/>
    </row>
    <row r="813" spans="12:35" ht="45" customHeight="1" thickBot="1" x14ac:dyDescent="0.25">
      <c r="L813" s="645"/>
      <c r="M813" s="616"/>
      <c r="N813" s="616"/>
      <c r="O813" s="616"/>
      <c r="P813" s="615"/>
      <c r="Q813" s="616"/>
      <c r="R813" s="663"/>
      <c r="S813" s="459"/>
      <c r="T813" s="459"/>
      <c r="U813" s="459"/>
      <c r="V813" s="459"/>
      <c r="W813" s="459"/>
      <c r="X813" s="459"/>
      <c r="Y813" s="666"/>
      <c r="Z813" s="664"/>
      <c r="AA813" s="665"/>
      <c r="AB813" s="665"/>
      <c r="AC813" s="665"/>
      <c r="AD813" s="665"/>
      <c r="AE813" s="665"/>
      <c r="AF813" s="649"/>
      <c r="AG813" s="650"/>
      <c r="AH813" s="650"/>
      <c r="AI813" s="667"/>
    </row>
    <row r="814" spans="12:35" ht="45" customHeight="1" thickBot="1" x14ac:dyDescent="0.25">
      <c r="L814" s="645"/>
      <c r="M814" s="616"/>
      <c r="N814" s="616"/>
      <c r="O814" s="616"/>
      <c r="P814" s="615"/>
      <c r="Q814" s="616"/>
      <c r="R814" s="663"/>
      <c r="S814" s="459"/>
      <c r="T814" s="459"/>
      <c r="U814" s="459"/>
      <c r="V814" s="459"/>
      <c r="W814" s="459"/>
      <c r="X814" s="459"/>
      <c r="Y814" s="666"/>
      <c r="Z814" s="664"/>
      <c r="AA814" s="665"/>
      <c r="AB814" s="665"/>
      <c r="AC814" s="665"/>
      <c r="AD814" s="665"/>
      <c r="AE814" s="665"/>
      <c r="AF814" s="649"/>
      <c r="AG814" s="650"/>
      <c r="AH814" s="650"/>
      <c r="AI814" s="667"/>
    </row>
    <row r="815" spans="12:35" ht="45" customHeight="1" thickBot="1" x14ac:dyDescent="0.25">
      <c r="L815" s="645"/>
      <c r="M815" s="616"/>
      <c r="N815" s="616"/>
      <c r="O815" s="616"/>
      <c r="P815" s="615"/>
      <c r="Q815" s="616"/>
      <c r="R815" s="663"/>
      <c r="S815" s="459"/>
      <c r="T815" s="459"/>
      <c r="U815" s="459"/>
      <c r="V815" s="459"/>
      <c r="W815" s="459"/>
      <c r="X815" s="459"/>
      <c r="Y815" s="666"/>
      <c r="Z815" s="664"/>
      <c r="AA815" s="665"/>
      <c r="AB815" s="665"/>
      <c r="AC815" s="665"/>
      <c r="AD815" s="665"/>
      <c r="AE815" s="665"/>
      <c r="AF815" s="649"/>
      <c r="AG815" s="650"/>
      <c r="AH815" s="650"/>
      <c r="AI815" s="667"/>
    </row>
    <row r="816" spans="12:35" ht="45" customHeight="1" thickBot="1" x14ac:dyDescent="0.25">
      <c r="L816" s="645"/>
      <c r="M816" s="616"/>
      <c r="N816" s="616"/>
      <c r="O816" s="616"/>
      <c r="P816" s="615"/>
      <c r="Q816" s="616"/>
      <c r="R816" s="663"/>
      <c r="S816" s="459"/>
      <c r="T816" s="459"/>
      <c r="U816" s="459"/>
      <c r="V816" s="459"/>
      <c r="W816" s="459"/>
      <c r="X816" s="459"/>
      <c r="Y816" s="666"/>
      <c r="Z816" s="664"/>
      <c r="AA816" s="665"/>
      <c r="AB816" s="665"/>
      <c r="AC816" s="665"/>
      <c r="AD816" s="665"/>
      <c r="AE816" s="665"/>
      <c r="AF816" s="649"/>
      <c r="AG816" s="650"/>
      <c r="AH816" s="650"/>
      <c r="AI816" s="667"/>
    </row>
    <row r="817" spans="12:35" ht="45" customHeight="1" thickBot="1" x14ac:dyDescent="0.25">
      <c r="L817" s="645"/>
      <c r="M817" s="616"/>
      <c r="N817" s="616"/>
      <c r="O817" s="616"/>
      <c r="P817" s="615"/>
      <c r="Q817" s="616"/>
      <c r="R817" s="663"/>
      <c r="S817" s="459"/>
      <c r="T817" s="459"/>
      <c r="U817" s="459"/>
      <c r="V817" s="459"/>
      <c r="W817" s="459"/>
      <c r="X817" s="459"/>
      <c r="Y817" s="666"/>
      <c r="Z817" s="664"/>
      <c r="AA817" s="665"/>
      <c r="AB817" s="665"/>
      <c r="AC817" s="665"/>
      <c r="AD817" s="665"/>
      <c r="AE817" s="665"/>
      <c r="AF817" s="649"/>
      <c r="AG817" s="650"/>
      <c r="AH817" s="650"/>
      <c r="AI817" s="667"/>
    </row>
    <row r="818" spans="12:35" ht="45" customHeight="1" thickBot="1" x14ac:dyDescent="0.25">
      <c r="L818" s="645"/>
      <c r="M818" s="616"/>
      <c r="N818" s="616"/>
      <c r="O818" s="616"/>
      <c r="P818" s="615"/>
      <c r="Q818" s="616"/>
      <c r="R818" s="663"/>
      <c r="S818" s="459"/>
      <c r="T818" s="459"/>
      <c r="U818" s="459"/>
      <c r="V818" s="459"/>
      <c r="W818" s="459"/>
      <c r="X818" s="459"/>
      <c r="Y818" s="666"/>
      <c r="Z818" s="664"/>
      <c r="AA818" s="665"/>
      <c r="AB818" s="665"/>
      <c r="AC818" s="665"/>
      <c r="AD818" s="665"/>
      <c r="AE818" s="665"/>
      <c r="AF818" s="649"/>
      <c r="AG818" s="650"/>
      <c r="AH818" s="650"/>
      <c r="AI818" s="667"/>
    </row>
    <row r="819" spans="12:35" ht="45" customHeight="1" thickBot="1" x14ac:dyDescent="0.25">
      <c r="L819" s="645"/>
      <c r="M819" s="616"/>
      <c r="N819" s="616"/>
      <c r="O819" s="616"/>
      <c r="P819" s="615"/>
      <c r="Q819" s="616"/>
      <c r="R819" s="663"/>
      <c r="S819" s="459"/>
      <c r="T819" s="459"/>
      <c r="U819" s="459"/>
      <c r="V819" s="459"/>
      <c r="W819" s="459"/>
      <c r="X819" s="459"/>
      <c r="Y819" s="666"/>
      <c r="Z819" s="664"/>
      <c r="AA819" s="665"/>
      <c r="AB819" s="665"/>
      <c r="AC819" s="665"/>
      <c r="AD819" s="665"/>
      <c r="AE819" s="665"/>
      <c r="AF819" s="649"/>
      <c r="AG819" s="650"/>
      <c r="AH819" s="650"/>
      <c r="AI819" s="667"/>
    </row>
    <row r="820" spans="12:35" ht="45" customHeight="1" thickBot="1" x14ac:dyDescent="0.25">
      <c r="L820" s="645"/>
      <c r="M820" s="616"/>
      <c r="N820" s="616"/>
      <c r="O820" s="616"/>
      <c r="P820" s="615"/>
      <c r="Q820" s="616"/>
      <c r="R820" s="663"/>
      <c r="S820" s="459"/>
      <c r="T820" s="459"/>
      <c r="U820" s="459"/>
      <c r="V820" s="459"/>
      <c r="W820" s="459"/>
      <c r="X820" s="459"/>
      <c r="Y820" s="666"/>
      <c r="Z820" s="664"/>
      <c r="AA820" s="665"/>
      <c r="AB820" s="665"/>
      <c r="AC820" s="665"/>
      <c r="AD820" s="665"/>
      <c r="AE820" s="665"/>
      <c r="AF820" s="649"/>
      <c r="AG820" s="650"/>
      <c r="AH820" s="650"/>
      <c r="AI820" s="667"/>
    </row>
    <row r="821" spans="12:35" ht="45" customHeight="1" thickBot="1" x14ac:dyDescent="0.25">
      <c r="L821" s="645"/>
      <c r="M821" s="616"/>
      <c r="N821" s="616"/>
      <c r="O821" s="616"/>
      <c r="P821" s="615"/>
      <c r="Q821" s="616"/>
      <c r="R821" s="663"/>
      <c r="S821" s="459"/>
      <c r="T821" s="459"/>
      <c r="U821" s="459"/>
      <c r="V821" s="459"/>
      <c r="W821" s="459"/>
      <c r="X821" s="459"/>
      <c r="Y821" s="666"/>
      <c r="Z821" s="664"/>
      <c r="AA821" s="665"/>
      <c r="AB821" s="665"/>
      <c r="AC821" s="665"/>
      <c r="AD821" s="665"/>
      <c r="AE821" s="665"/>
      <c r="AF821" s="649"/>
      <c r="AG821" s="650"/>
      <c r="AH821" s="650"/>
      <c r="AI821" s="667"/>
    </row>
    <row r="822" spans="12:35" ht="45" customHeight="1" thickBot="1" x14ac:dyDescent="0.25">
      <c r="L822" s="645"/>
      <c r="M822" s="616"/>
      <c r="N822" s="616"/>
      <c r="O822" s="616"/>
      <c r="P822" s="615"/>
      <c r="Q822" s="616"/>
      <c r="R822" s="663"/>
      <c r="S822" s="459"/>
      <c r="T822" s="459"/>
      <c r="U822" s="459"/>
      <c r="V822" s="459"/>
      <c r="W822" s="459"/>
      <c r="X822" s="459"/>
      <c r="Y822" s="666"/>
      <c r="Z822" s="664"/>
      <c r="AA822" s="665"/>
      <c r="AB822" s="665"/>
      <c r="AC822" s="665"/>
      <c r="AD822" s="665"/>
      <c r="AE822" s="665"/>
      <c r="AF822" s="649"/>
      <c r="AG822" s="650"/>
      <c r="AH822" s="650"/>
      <c r="AI822" s="667"/>
    </row>
    <row r="823" spans="12:35" ht="45" customHeight="1" thickBot="1" x14ac:dyDescent="0.25">
      <c r="L823" s="645"/>
      <c r="M823" s="616"/>
      <c r="N823" s="616"/>
      <c r="O823" s="616"/>
      <c r="P823" s="615"/>
      <c r="Q823" s="616"/>
      <c r="R823" s="663"/>
      <c r="S823" s="459"/>
      <c r="T823" s="459"/>
      <c r="U823" s="459"/>
      <c r="V823" s="459"/>
      <c r="W823" s="459"/>
      <c r="X823" s="459"/>
      <c r="Y823" s="666"/>
      <c r="Z823" s="664"/>
      <c r="AA823" s="665"/>
      <c r="AB823" s="665"/>
      <c r="AC823" s="665"/>
      <c r="AD823" s="665"/>
      <c r="AE823" s="665"/>
      <c r="AF823" s="649"/>
      <c r="AG823" s="650"/>
      <c r="AH823" s="650"/>
      <c r="AI823" s="667"/>
    </row>
    <row r="824" spans="12:35" ht="45" customHeight="1" thickBot="1" x14ac:dyDescent="0.25">
      <c r="L824" s="645"/>
      <c r="M824" s="616"/>
      <c r="N824" s="616"/>
      <c r="O824" s="616"/>
      <c r="P824" s="615"/>
      <c r="Q824" s="616"/>
      <c r="R824" s="663"/>
      <c r="S824" s="459"/>
      <c r="T824" s="459"/>
      <c r="U824" s="459"/>
      <c r="V824" s="459"/>
      <c r="W824" s="459"/>
      <c r="X824" s="459"/>
      <c r="Y824" s="666"/>
      <c r="Z824" s="664"/>
      <c r="AA824" s="665"/>
      <c r="AB824" s="665"/>
      <c r="AC824" s="665"/>
      <c r="AD824" s="665"/>
      <c r="AE824" s="665"/>
      <c r="AF824" s="649"/>
      <c r="AG824" s="650"/>
      <c r="AH824" s="650"/>
      <c r="AI824" s="667"/>
    </row>
    <row r="825" spans="12:35" ht="45" customHeight="1" thickBot="1" x14ac:dyDescent="0.25">
      <c r="L825" s="645"/>
      <c r="M825" s="616"/>
      <c r="N825" s="616"/>
      <c r="O825" s="616"/>
      <c r="P825" s="615"/>
      <c r="Q825" s="616"/>
      <c r="R825" s="663"/>
      <c r="S825" s="459"/>
      <c r="T825" s="459"/>
      <c r="U825" s="459"/>
      <c r="V825" s="459"/>
      <c r="W825" s="459"/>
      <c r="X825" s="459"/>
      <c r="Y825" s="666"/>
      <c r="Z825" s="664"/>
      <c r="AA825" s="665"/>
      <c r="AB825" s="665"/>
      <c r="AC825" s="665"/>
      <c r="AD825" s="665"/>
      <c r="AE825" s="665"/>
      <c r="AF825" s="649"/>
      <c r="AG825" s="650"/>
      <c r="AH825" s="650"/>
      <c r="AI825" s="667"/>
    </row>
    <row r="826" spans="12:35" ht="45" customHeight="1" thickBot="1" x14ac:dyDescent="0.25">
      <c r="L826" s="645"/>
      <c r="M826" s="616"/>
      <c r="N826" s="616"/>
      <c r="O826" s="616"/>
      <c r="P826" s="615"/>
      <c r="Q826" s="616"/>
      <c r="R826" s="663"/>
      <c r="S826" s="459"/>
      <c r="T826" s="459"/>
      <c r="U826" s="459"/>
      <c r="V826" s="459"/>
      <c r="W826" s="459"/>
      <c r="X826" s="459"/>
      <c r="Y826" s="666"/>
      <c r="Z826" s="664"/>
      <c r="AA826" s="665"/>
      <c r="AB826" s="665"/>
      <c r="AC826" s="665"/>
      <c r="AD826" s="665"/>
      <c r="AE826" s="665"/>
      <c r="AF826" s="649"/>
      <c r="AG826" s="650"/>
      <c r="AH826" s="650"/>
      <c r="AI826" s="667"/>
    </row>
    <row r="827" spans="12:35" ht="45" customHeight="1" thickBot="1" x14ac:dyDescent="0.25">
      <c r="L827" s="645"/>
      <c r="M827" s="616"/>
      <c r="N827" s="616"/>
      <c r="O827" s="616"/>
      <c r="P827" s="615"/>
      <c r="Q827" s="616"/>
      <c r="R827" s="663"/>
      <c r="S827" s="459"/>
      <c r="T827" s="459"/>
      <c r="U827" s="459"/>
      <c r="V827" s="459"/>
      <c r="W827" s="459"/>
      <c r="X827" s="459"/>
      <c r="Y827" s="666"/>
      <c r="Z827" s="664"/>
      <c r="AA827" s="665"/>
      <c r="AB827" s="665"/>
      <c r="AC827" s="665"/>
      <c r="AD827" s="665"/>
      <c r="AE827" s="665"/>
      <c r="AF827" s="649"/>
      <c r="AG827" s="650"/>
      <c r="AH827" s="650"/>
      <c r="AI827" s="667"/>
    </row>
    <row r="828" spans="12:35" ht="45" customHeight="1" thickBot="1" x14ac:dyDescent="0.25">
      <c r="L828" s="645"/>
      <c r="M828" s="616"/>
      <c r="N828" s="616"/>
      <c r="O828" s="616"/>
      <c r="P828" s="615"/>
      <c r="Q828" s="616"/>
      <c r="R828" s="663"/>
      <c r="S828" s="459"/>
      <c r="T828" s="459"/>
      <c r="U828" s="459"/>
      <c r="V828" s="459"/>
      <c r="W828" s="459"/>
      <c r="X828" s="459"/>
      <c r="Y828" s="666"/>
      <c r="Z828" s="664"/>
      <c r="AA828" s="665"/>
      <c r="AB828" s="665"/>
      <c r="AC828" s="665"/>
      <c r="AD828" s="665"/>
      <c r="AE828" s="665"/>
      <c r="AF828" s="649"/>
      <c r="AG828" s="650"/>
      <c r="AH828" s="650"/>
      <c r="AI828" s="667"/>
    </row>
    <row r="829" spans="12:35" ht="45" customHeight="1" thickBot="1" x14ac:dyDescent="0.25">
      <c r="L829" s="645"/>
      <c r="M829" s="616"/>
      <c r="N829" s="616"/>
      <c r="O829" s="616"/>
      <c r="P829" s="615"/>
      <c r="Q829" s="616"/>
      <c r="R829" s="663"/>
      <c r="S829" s="459"/>
      <c r="T829" s="459"/>
      <c r="U829" s="459"/>
      <c r="V829" s="459"/>
      <c r="W829" s="459"/>
      <c r="X829" s="459"/>
      <c r="Y829" s="666"/>
      <c r="Z829" s="664"/>
      <c r="AA829" s="665"/>
      <c r="AB829" s="665"/>
      <c r="AC829" s="665"/>
      <c r="AD829" s="665"/>
      <c r="AE829" s="665"/>
      <c r="AF829" s="649"/>
      <c r="AG829" s="650"/>
      <c r="AH829" s="650"/>
      <c r="AI829" s="667"/>
    </row>
    <row r="830" spans="12:35" ht="45" customHeight="1" thickBot="1" x14ac:dyDescent="0.25">
      <c r="L830" s="645"/>
      <c r="M830" s="616"/>
      <c r="N830" s="616"/>
      <c r="O830" s="616"/>
      <c r="P830" s="615"/>
      <c r="Q830" s="616"/>
      <c r="R830" s="663"/>
      <c r="S830" s="459"/>
      <c r="T830" s="459"/>
      <c r="U830" s="459"/>
      <c r="V830" s="459"/>
      <c r="W830" s="459"/>
      <c r="X830" s="459"/>
      <c r="Y830" s="666"/>
      <c r="Z830" s="664"/>
      <c r="AA830" s="665"/>
      <c r="AB830" s="665"/>
      <c r="AC830" s="665"/>
      <c r="AD830" s="665"/>
      <c r="AE830" s="665"/>
      <c r="AF830" s="649"/>
      <c r="AG830" s="650"/>
      <c r="AH830" s="650"/>
      <c r="AI830" s="667"/>
    </row>
    <row r="831" spans="12:35" ht="45" customHeight="1" thickBot="1" x14ac:dyDescent="0.25">
      <c r="L831" s="645"/>
      <c r="M831" s="616"/>
      <c r="N831" s="616"/>
      <c r="O831" s="616"/>
      <c r="P831" s="615"/>
      <c r="Q831" s="616"/>
      <c r="R831" s="663"/>
      <c r="S831" s="459"/>
      <c r="T831" s="459"/>
      <c r="U831" s="459"/>
      <c r="V831" s="459"/>
      <c r="W831" s="459"/>
      <c r="X831" s="459"/>
      <c r="Y831" s="666"/>
      <c r="Z831" s="664"/>
      <c r="AA831" s="665"/>
      <c r="AB831" s="665"/>
      <c r="AC831" s="665"/>
      <c r="AD831" s="665"/>
      <c r="AE831" s="665"/>
      <c r="AF831" s="649"/>
      <c r="AG831" s="650"/>
      <c r="AH831" s="650"/>
      <c r="AI831" s="667"/>
    </row>
    <row r="832" spans="12:35" ht="45" customHeight="1" thickBot="1" x14ac:dyDescent="0.25">
      <c r="L832" s="645"/>
      <c r="M832" s="616"/>
      <c r="N832" s="616"/>
      <c r="O832" s="616"/>
      <c r="P832" s="615"/>
      <c r="Q832" s="616"/>
      <c r="R832" s="663"/>
      <c r="S832" s="459"/>
      <c r="T832" s="459"/>
      <c r="U832" s="459"/>
      <c r="V832" s="459"/>
      <c r="W832" s="459"/>
      <c r="X832" s="459"/>
      <c r="Y832" s="666"/>
      <c r="Z832" s="664"/>
      <c r="AA832" s="665"/>
      <c r="AB832" s="665"/>
      <c r="AC832" s="665"/>
      <c r="AD832" s="665"/>
      <c r="AE832" s="665"/>
      <c r="AF832" s="649"/>
      <c r="AG832" s="650"/>
      <c r="AH832" s="650"/>
      <c r="AI832" s="667"/>
    </row>
    <row r="833" spans="12:35" ht="45" customHeight="1" thickBot="1" x14ac:dyDescent="0.25">
      <c r="L833" s="645"/>
      <c r="M833" s="616"/>
      <c r="N833" s="616"/>
      <c r="O833" s="616"/>
      <c r="P833" s="615"/>
      <c r="Q833" s="616"/>
      <c r="R833" s="663"/>
      <c r="S833" s="459"/>
      <c r="T833" s="459"/>
      <c r="U833" s="459"/>
      <c r="V833" s="459"/>
      <c r="W833" s="459"/>
      <c r="X833" s="459"/>
      <c r="Y833" s="666"/>
      <c r="Z833" s="664"/>
      <c r="AA833" s="665"/>
      <c r="AB833" s="665"/>
      <c r="AC833" s="665"/>
      <c r="AD833" s="665"/>
      <c r="AE833" s="665"/>
      <c r="AF833" s="649"/>
      <c r="AG833" s="650"/>
      <c r="AH833" s="650"/>
      <c r="AI833" s="667"/>
    </row>
    <row r="834" spans="12:35" ht="45" customHeight="1" thickBot="1" x14ac:dyDescent="0.25">
      <c r="L834" s="645"/>
      <c r="M834" s="616"/>
      <c r="N834" s="616"/>
      <c r="O834" s="616"/>
      <c r="P834" s="615"/>
      <c r="Q834" s="616"/>
      <c r="R834" s="663"/>
      <c r="S834" s="459"/>
      <c r="T834" s="459"/>
      <c r="U834" s="459"/>
      <c r="V834" s="459"/>
      <c r="W834" s="459"/>
      <c r="X834" s="459"/>
      <c r="Y834" s="666"/>
      <c r="Z834" s="664"/>
      <c r="AA834" s="665"/>
      <c r="AB834" s="665"/>
      <c r="AC834" s="665"/>
      <c r="AD834" s="665"/>
      <c r="AE834" s="665"/>
      <c r="AF834" s="649"/>
      <c r="AG834" s="650"/>
      <c r="AH834" s="650"/>
      <c r="AI834" s="667"/>
    </row>
    <row r="835" spans="12:35" ht="45" customHeight="1" thickBot="1" x14ac:dyDescent="0.25">
      <c r="L835" s="645"/>
      <c r="M835" s="616"/>
      <c r="N835" s="616"/>
      <c r="O835" s="616"/>
      <c r="P835" s="615"/>
      <c r="Q835" s="616"/>
      <c r="R835" s="663"/>
      <c r="S835" s="459"/>
      <c r="T835" s="459"/>
      <c r="U835" s="459"/>
      <c r="V835" s="459"/>
      <c r="W835" s="459"/>
      <c r="X835" s="459"/>
      <c r="Y835" s="666"/>
      <c r="Z835" s="664"/>
      <c r="AA835" s="665"/>
      <c r="AB835" s="665"/>
      <c r="AC835" s="665"/>
      <c r="AD835" s="665"/>
      <c r="AE835" s="665"/>
      <c r="AF835" s="649"/>
      <c r="AG835" s="650"/>
      <c r="AH835" s="650"/>
      <c r="AI835" s="667"/>
    </row>
    <row r="836" spans="12:35" ht="45" customHeight="1" thickBot="1" x14ac:dyDescent="0.25">
      <c r="L836" s="645"/>
      <c r="M836" s="616"/>
      <c r="N836" s="616"/>
      <c r="O836" s="616"/>
      <c r="P836" s="615"/>
      <c r="Q836" s="616"/>
      <c r="R836" s="663"/>
      <c r="S836" s="459"/>
      <c r="T836" s="459"/>
      <c r="U836" s="459"/>
      <c r="V836" s="459"/>
      <c r="W836" s="459"/>
      <c r="X836" s="459"/>
      <c r="Y836" s="666"/>
      <c r="Z836" s="664"/>
      <c r="AA836" s="665"/>
      <c r="AB836" s="665"/>
      <c r="AC836" s="665"/>
      <c r="AD836" s="665"/>
      <c r="AE836" s="665"/>
      <c r="AF836" s="649"/>
      <c r="AG836" s="650"/>
      <c r="AH836" s="650"/>
      <c r="AI836" s="667"/>
    </row>
    <row r="837" spans="12:35" ht="45" customHeight="1" thickBot="1" x14ac:dyDescent="0.25">
      <c r="L837" s="645"/>
      <c r="M837" s="616"/>
      <c r="N837" s="616"/>
      <c r="O837" s="616"/>
      <c r="P837" s="615"/>
      <c r="Q837" s="616"/>
      <c r="R837" s="663"/>
      <c r="S837" s="459"/>
      <c r="T837" s="459"/>
      <c r="U837" s="459"/>
      <c r="V837" s="459"/>
      <c r="W837" s="459"/>
      <c r="X837" s="459"/>
      <c r="Y837" s="666"/>
      <c r="Z837" s="664"/>
      <c r="AA837" s="665"/>
      <c r="AB837" s="665"/>
      <c r="AC837" s="665"/>
      <c r="AD837" s="665"/>
      <c r="AE837" s="665"/>
      <c r="AF837" s="649"/>
      <c r="AG837" s="650"/>
      <c r="AH837" s="650"/>
      <c r="AI837" s="667"/>
    </row>
    <row r="838" spans="12:35" ht="45" customHeight="1" thickBot="1" x14ac:dyDescent="0.25">
      <c r="L838" s="645"/>
      <c r="M838" s="616"/>
      <c r="N838" s="616"/>
      <c r="O838" s="616"/>
      <c r="P838" s="615"/>
      <c r="Q838" s="616"/>
      <c r="R838" s="663"/>
      <c r="S838" s="459"/>
      <c r="T838" s="459"/>
      <c r="U838" s="459"/>
      <c r="V838" s="459"/>
      <c r="W838" s="459"/>
      <c r="X838" s="459"/>
      <c r="Y838" s="666"/>
      <c r="Z838" s="664"/>
      <c r="AA838" s="665"/>
      <c r="AB838" s="665"/>
      <c r="AC838" s="665"/>
      <c r="AD838" s="665"/>
      <c r="AE838" s="665"/>
      <c r="AF838" s="649"/>
      <c r="AG838" s="650"/>
      <c r="AH838" s="650"/>
      <c r="AI838" s="667"/>
    </row>
    <row r="839" spans="12:35" ht="45" customHeight="1" thickBot="1" x14ac:dyDescent="0.25">
      <c r="L839" s="645"/>
      <c r="M839" s="616"/>
      <c r="N839" s="616"/>
      <c r="O839" s="616"/>
      <c r="P839" s="615"/>
      <c r="Q839" s="616"/>
      <c r="R839" s="663"/>
      <c r="S839" s="459"/>
      <c r="T839" s="459"/>
      <c r="U839" s="459"/>
      <c r="V839" s="459"/>
      <c r="W839" s="459"/>
      <c r="X839" s="459"/>
      <c r="Y839" s="666"/>
      <c r="Z839" s="664"/>
      <c r="AA839" s="665"/>
      <c r="AB839" s="665"/>
      <c r="AC839" s="665"/>
      <c r="AD839" s="665"/>
      <c r="AE839" s="665"/>
      <c r="AF839" s="649"/>
      <c r="AG839" s="650"/>
      <c r="AH839" s="650"/>
      <c r="AI839" s="667"/>
    </row>
    <row r="840" spans="12:35" ht="45" customHeight="1" thickBot="1" x14ac:dyDescent="0.25">
      <c r="L840" s="645"/>
      <c r="M840" s="616"/>
      <c r="N840" s="616"/>
      <c r="O840" s="616"/>
      <c r="P840" s="615"/>
      <c r="Q840" s="616"/>
      <c r="R840" s="663"/>
      <c r="S840" s="459"/>
      <c r="T840" s="459"/>
      <c r="U840" s="459"/>
      <c r="V840" s="459"/>
      <c r="W840" s="459"/>
      <c r="X840" s="459"/>
      <c r="Y840" s="666"/>
      <c r="Z840" s="664"/>
      <c r="AA840" s="665"/>
      <c r="AB840" s="665"/>
      <c r="AC840" s="665"/>
      <c r="AD840" s="665"/>
      <c r="AE840" s="665"/>
      <c r="AF840" s="649"/>
      <c r="AG840" s="650"/>
      <c r="AH840" s="650"/>
      <c r="AI840" s="667"/>
    </row>
    <row r="841" spans="12:35" ht="45" customHeight="1" thickBot="1" x14ac:dyDescent="0.25">
      <c r="L841" s="645"/>
      <c r="M841" s="616"/>
      <c r="N841" s="616"/>
      <c r="O841" s="616"/>
      <c r="P841" s="615"/>
      <c r="Q841" s="616"/>
      <c r="R841" s="663"/>
      <c r="S841" s="459"/>
      <c r="T841" s="459"/>
      <c r="U841" s="459"/>
      <c r="V841" s="459"/>
      <c r="W841" s="459"/>
      <c r="X841" s="459"/>
      <c r="Y841" s="666"/>
      <c r="Z841" s="664"/>
      <c r="AA841" s="665"/>
      <c r="AB841" s="665"/>
      <c r="AC841" s="665"/>
      <c r="AD841" s="665"/>
      <c r="AE841" s="665"/>
      <c r="AF841" s="649"/>
      <c r="AG841" s="650"/>
      <c r="AH841" s="650"/>
      <c r="AI841" s="667"/>
    </row>
    <row r="842" spans="12:35" ht="45" customHeight="1" thickBot="1" x14ac:dyDescent="0.25">
      <c r="L842" s="645"/>
      <c r="M842" s="616"/>
      <c r="N842" s="616"/>
      <c r="O842" s="616"/>
      <c r="P842" s="615"/>
      <c r="Q842" s="616"/>
      <c r="R842" s="663"/>
      <c r="S842" s="459"/>
      <c r="T842" s="459"/>
      <c r="U842" s="459"/>
      <c r="V842" s="459"/>
      <c r="W842" s="459"/>
      <c r="X842" s="459"/>
      <c r="Y842" s="666"/>
      <c r="Z842" s="664"/>
      <c r="AA842" s="665"/>
      <c r="AB842" s="665"/>
      <c r="AC842" s="665"/>
      <c r="AD842" s="665"/>
      <c r="AE842" s="665"/>
      <c r="AF842" s="649"/>
      <c r="AG842" s="650"/>
      <c r="AH842" s="650"/>
      <c r="AI842" s="667"/>
    </row>
    <row r="843" spans="12:35" ht="45" customHeight="1" thickBot="1" x14ac:dyDescent="0.25">
      <c r="L843" s="645"/>
      <c r="M843" s="616"/>
      <c r="N843" s="616"/>
      <c r="O843" s="616"/>
      <c r="P843" s="615"/>
      <c r="Q843" s="616"/>
      <c r="R843" s="663"/>
      <c r="S843" s="459"/>
      <c r="T843" s="459"/>
      <c r="U843" s="459"/>
      <c r="V843" s="459"/>
      <c r="W843" s="459"/>
      <c r="X843" s="459"/>
      <c r="Y843" s="666"/>
      <c r="Z843" s="664"/>
      <c r="AA843" s="665"/>
      <c r="AB843" s="665"/>
      <c r="AC843" s="665"/>
      <c r="AD843" s="665"/>
      <c r="AE843" s="665"/>
      <c r="AF843" s="649"/>
      <c r="AG843" s="650"/>
      <c r="AH843" s="650"/>
      <c r="AI843" s="667"/>
    </row>
    <row r="844" spans="12:35" ht="45" customHeight="1" thickBot="1" x14ac:dyDescent="0.25">
      <c r="L844" s="645"/>
      <c r="M844" s="616"/>
      <c r="N844" s="616"/>
      <c r="O844" s="616"/>
      <c r="P844" s="615"/>
      <c r="Q844" s="616"/>
      <c r="R844" s="663"/>
      <c r="S844" s="459"/>
      <c r="T844" s="459"/>
      <c r="U844" s="459"/>
      <c r="V844" s="459"/>
      <c r="W844" s="459"/>
      <c r="X844" s="459"/>
      <c r="Y844" s="666"/>
      <c r="Z844" s="664"/>
      <c r="AA844" s="665"/>
      <c r="AB844" s="665"/>
      <c r="AC844" s="665"/>
      <c r="AD844" s="665"/>
      <c r="AE844" s="665"/>
      <c r="AF844" s="649"/>
      <c r="AG844" s="650"/>
      <c r="AH844" s="650"/>
      <c r="AI844" s="667"/>
    </row>
    <row r="845" spans="12:35" ht="45" customHeight="1" thickBot="1" x14ac:dyDescent="0.25">
      <c r="L845" s="645"/>
      <c r="M845" s="616"/>
      <c r="N845" s="616"/>
      <c r="O845" s="616"/>
      <c r="P845" s="615"/>
      <c r="Q845" s="616"/>
      <c r="R845" s="663"/>
      <c r="S845" s="459"/>
      <c r="T845" s="459"/>
      <c r="U845" s="459"/>
      <c r="V845" s="459"/>
      <c r="W845" s="459"/>
      <c r="X845" s="459"/>
      <c r="Y845" s="666"/>
      <c r="Z845" s="664"/>
      <c r="AA845" s="665"/>
      <c r="AB845" s="665"/>
      <c r="AC845" s="665"/>
      <c r="AD845" s="665"/>
      <c r="AE845" s="665"/>
      <c r="AF845" s="649"/>
      <c r="AG845" s="650"/>
      <c r="AH845" s="650"/>
      <c r="AI845" s="667"/>
    </row>
    <row r="846" spans="12:35" ht="45" customHeight="1" thickBot="1" x14ac:dyDescent="0.25">
      <c r="L846" s="645"/>
      <c r="M846" s="616"/>
      <c r="N846" s="616"/>
      <c r="O846" s="616"/>
      <c r="P846" s="615"/>
      <c r="Q846" s="616"/>
      <c r="R846" s="663"/>
      <c r="S846" s="459"/>
      <c r="T846" s="459"/>
      <c r="U846" s="459"/>
      <c r="V846" s="459"/>
      <c r="W846" s="459"/>
      <c r="X846" s="459"/>
      <c r="Y846" s="666"/>
      <c r="Z846" s="664"/>
      <c r="AA846" s="665"/>
      <c r="AB846" s="665"/>
      <c r="AC846" s="665"/>
      <c r="AD846" s="665"/>
      <c r="AE846" s="665"/>
      <c r="AF846" s="649"/>
      <c r="AG846" s="650"/>
      <c r="AH846" s="650"/>
      <c r="AI846" s="667"/>
    </row>
    <row r="847" spans="12:35" ht="45" customHeight="1" thickBot="1" x14ac:dyDescent="0.25">
      <c r="L847" s="645"/>
      <c r="M847" s="616"/>
      <c r="N847" s="616"/>
      <c r="O847" s="616"/>
      <c r="P847" s="615"/>
      <c r="Q847" s="616"/>
      <c r="R847" s="663"/>
      <c r="S847" s="459"/>
      <c r="T847" s="459"/>
      <c r="U847" s="459"/>
      <c r="V847" s="459"/>
      <c r="W847" s="459"/>
      <c r="X847" s="459"/>
      <c r="Y847" s="666"/>
      <c r="Z847" s="664"/>
      <c r="AA847" s="665"/>
      <c r="AB847" s="665"/>
      <c r="AC847" s="665"/>
      <c r="AD847" s="665"/>
      <c r="AE847" s="665"/>
      <c r="AF847" s="649"/>
      <c r="AG847" s="650"/>
      <c r="AH847" s="650"/>
      <c r="AI847" s="667"/>
    </row>
    <row r="848" spans="12:35" ht="45" customHeight="1" thickBot="1" x14ac:dyDescent="0.25">
      <c r="L848" s="645"/>
      <c r="M848" s="616"/>
      <c r="N848" s="616"/>
      <c r="O848" s="616"/>
      <c r="P848" s="615"/>
      <c r="Q848" s="616"/>
      <c r="R848" s="663"/>
      <c r="S848" s="459"/>
      <c r="T848" s="459"/>
      <c r="U848" s="459"/>
      <c r="V848" s="459"/>
      <c r="W848" s="459"/>
      <c r="X848" s="459"/>
      <c r="Y848" s="666"/>
      <c r="Z848" s="664"/>
      <c r="AA848" s="665"/>
      <c r="AB848" s="665"/>
      <c r="AC848" s="665"/>
      <c r="AD848" s="665"/>
      <c r="AE848" s="665"/>
      <c r="AF848" s="649"/>
      <c r="AG848" s="650"/>
      <c r="AH848" s="650"/>
      <c r="AI848" s="667"/>
    </row>
    <row r="849" spans="12:35" ht="45" customHeight="1" thickBot="1" x14ac:dyDescent="0.25">
      <c r="L849" s="645"/>
      <c r="M849" s="616"/>
      <c r="N849" s="616"/>
      <c r="O849" s="616"/>
      <c r="P849" s="615"/>
      <c r="Q849" s="616"/>
      <c r="R849" s="663"/>
      <c r="S849" s="459"/>
      <c r="T849" s="459"/>
      <c r="U849" s="459"/>
      <c r="V849" s="459"/>
      <c r="W849" s="459"/>
      <c r="X849" s="459"/>
      <c r="Y849" s="666"/>
      <c r="Z849" s="664"/>
      <c r="AA849" s="665"/>
      <c r="AB849" s="665"/>
      <c r="AC849" s="665"/>
      <c r="AD849" s="665"/>
      <c r="AE849" s="665"/>
      <c r="AF849" s="649"/>
      <c r="AG849" s="650"/>
      <c r="AH849" s="650"/>
      <c r="AI849" s="667"/>
    </row>
    <row r="850" spans="12:35" ht="45" customHeight="1" thickBot="1" x14ac:dyDescent="0.25">
      <c r="L850" s="645"/>
      <c r="M850" s="616"/>
      <c r="N850" s="616"/>
      <c r="O850" s="616"/>
      <c r="P850" s="615"/>
      <c r="Q850" s="616"/>
      <c r="R850" s="663"/>
      <c r="S850" s="459"/>
      <c r="T850" s="459"/>
      <c r="U850" s="459"/>
      <c r="V850" s="459"/>
      <c r="W850" s="459"/>
      <c r="X850" s="459"/>
      <c r="Y850" s="666"/>
      <c r="Z850" s="664"/>
      <c r="AA850" s="665"/>
      <c r="AB850" s="665"/>
      <c r="AC850" s="665"/>
      <c r="AD850" s="665"/>
      <c r="AE850" s="665"/>
      <c r="AF850" s="649"/>
      <c r="AG850" s="650"/>
      <c r="AH850" s="650"/>
      <c r="AI850" s="667"/>
    </row>
    <row r="851" spans="12:35" ht="45" customHeight="1" thickBot="1" x14ac:dyDescent="0.25">
      <c r="L851" s="645"/>
      <c r="M851" s="616"/>
      <c r="N851" s="616"/>
      <c r="O851" s="616"/>
      <c r="P851" s="615"/>
      <c r="Q851" s="616"/>
      <c r="R851" s="663"/>
      <c r="S851" s="459"/>
      <c r="T851" s="459"/>
      <c r="U851" s="459"/>
      <c r="V851" s="459"/>
      <c r="W851" s="459"/>
      <c r="X851" s="459"/>
      <c r="Y851" s="666"/>
      <c r="Z851" s="664"/>
      <c r="AA851" s="665"/>
      <c r="AB851" s="665"/>
      <c r="AC851" s="665"/>
      <c r="AD851" s="665"/>
      <c r="AE851" s="665"/>
      <c r="AF851" s="649"/>
      <c r="AG851" s="650"/>
      <c r="AH851" s="650"/>
      <c r="AI851" s="667"/>
    </row>
    <row r="852" spans="12:35" ht="45" customHeight="1" thickBot="1" x14ac:dyDescent="0.25">
      <c r="L852" s="645"/>
      <c r="M852" s="616"/>
      <c r="N852" s="616"/>
      <c r="O852" s="616"/>
      <c r="P852" s="615"/>
      <c r="Q852" s="616"/>
      <c r="R852" s="663"/>
      <c r="S852" s="459"/>
      <c r="T852" s="459"/>
      <c r="U852" s="459"/>
      <c r="V852" s="459"/>
      <c r="W852" s="459"/>
      <c r="X852" s="459"/>
      <c r="Y852" s="666"/>
      <c r="Z852" s="664"/>
      <c r="AA852" s="665"/>
      <c r="AB852" s="665"/>
      <c r="AC852" s="665"/>
      <c r="AD852" s="665"/>
      <c r="AE852" s="665"/>
      <c r="AF852" s="649"/>
      <c r="AG852" s="650"/>
      <c r="AH852" s="650"/>
      <c r="AI852" s="667"/>
    </row>
    <row r="853" spans="12:35" ht="45" customHeight="1" thickBot="1" x14ac:dyDescent="0.25">
      <c r="L853" s="645"/>
      <c r="M853" s="616"/>
      <c r="N853" s="616"/>
      <c r="O853" s="616"/>
      <c r="P853" s="615"/>
      <c r="Q853" s="616"/>
      <c r="R853" s="663"/>
      <c r="S853" s="459"/>
      <c r="T853" s="459"/>
      <c r="U853" s="459"/>
      <c r="V853" s="459"/>
      <c r="W853" s="459"/>
      <c r="X853" s="459"/>
      <c r="Y853" s="666"/>
      <c r="Z853" s="664"/>
      <c r="AA853" s="665"/>
      <c r="AB853" s="665"/>
      <c r="AC853" s="665"/>
      <c r="AD853" s="665"/>
      <c r="AE853" s="665"/>
      <c r="AF853" s="649"/>
      <c r="AG853" s="650"/>
      <c r="AH853" s="650"/>
      <c r="AI853" s="667"/>
    </row>
    <row r="854" spans="12:35" ht="45" customHeight="1" thickBot="1" x14ac:dyDescent="0.25">
      <c r="L854" s="645"/>
      <c r="M854" s="616"/>
      <c r="N854" s="616"/>
      <c r="O854" s="616"/>
      <c r="P854" s="615"/>
      <c r="Q854" s="616"/>
      <c r="R854" s="663"/>
      <c r="S854" s="459"/>
      <c r="T854" s="459"/>
      <c r="U854" s="459"/>
      <c r="V854" s="459"/>
      <c r="W854" s="459"/>
      <c r="X854" s="459"/>
      <c r="Y854" s="666"/>
      <c r="Z854" s="664"/>
      <c r="AA854" s="665"/>
      <c r="AB854" s="665"/>
      <c r="AC854" s="665"/>
      <c r="AD854" s="665"/>
      <c r="AE854" s="665"/>
      <c r="AF854" s="649"/>
      <c r="AG854" s="650"/>
      <c r="AH854" s="650"/>
      <c r="AI854" s="667"/>
    </row>
    <row r="855" spans="12:35" ht="45" customHeight="1" thickBot="1" x14ac:dyDescent="0.25">
      <c r="L855" s="645"/>
      <c r="M855" s="616"/>
      <c r="N855" s="616"/>
      <c r="O855" s="616"/>
      <c r="P855" s="615"/>
      <c r="Q855" s="616"/>
      <c r="R855" s="663"/>
      <c r="S855" s="459"/>
      <c r="T855" s="459"/>
      <c r="U855" s="459"/>
      <c r="V855" s="459"/>
      <c r="W855" s="459"/>
      <c r="X855" s="459"/>
      <c r="Y855" s="666"/>
      <c r="Z855" s="664"/>
      <c r="AA855" s="665"/>
      <c r="AB855" s="665"/>
      <c r="AC855" s="665"/>
      <c r="AD855" s="665"/>
      <c r="AE855" s="665"/>
      <c r="AF855" s="649"/>
      <c r="AG855" s="650"/>
      <c r="AH855" s="650"/>
      <c r="AI855" s="667"/>
    </row>
    <row r="856" spans="12:35" ht="45" customHeight="1" thickBot="1" x14ac:dyDescent="0.25">
      <c r="L856" s="645"/>
      <c r="M856" s="616"/>
      <c r="N856" s="616"/>
      <c r="O856" s="616"/>
      <c r="P856" s="615"/>
      <c r="Q856" s="616"/>
      <c r="R856" s="663"/>
      <c r="S856" s="459"/>
      <c r="T856" s="459"/>
      <c r="U856" s="459"/>
      <c r="V856" s="459"/>
      <c r="W856" s="459"/>
      <c r="X856" s="459"/>
      <c r="Y856" s="666"/>
      <c r="Z856" s="664"/>
      <c r="AA856" s="665"/>
      <c r="AB856" s="665"/>
      <c r="AC856" s="665"/>
      <c r="AD856" s="665"/>
      <c r="AE856" s="665"/>
      <c r="AF856" s="649"/>
      <c r="AG856" s="650"/>
      <c r="AH856" s="650"/>
      <c r="AI856" s="667"/>
    </row>
    <row r="857" spans="12:35" ht="45" customHeight="1" thickBot="1" x14ac:dyDescent="0.25">
      <c r="L857" s="645"/>
      <c r="M857" s="616"/>
      <c r="N857" s="616"/>
      <c r="O857" s="616"/>
      <c r="P857" s="615"/>
      <c r="Q857" s="616"/>
      <c r="R857" s="663"/>
      <c r="S857" s="459"/>
      <c r="T857" s="459"/>
      <c r="U857" s="459"/>
      <c r="V857" s="459"/>
      <c r="W857" s="459"/>
      <c r="X857" s="459"/>
      <c r="Y857" s="666"/>
      <c r="Z857" s="664"/>
      <c r="AA857" s="665"/>
      <c r="AB857" s="665"/>
      <c r="AC857" s="665"/>
      <c r="AD857" s="665"/>
      <c r="AE857" s="665"/>
      <c r="AF857" s="649"/>
      <c r="AG857" s="650"/>
      <c r="AH857" s="650"/>
      <c r="AI857" s="667"/>
    </row>
    <row r="858" spans="12:35" ht="45" customHeight="1" thickBot="1" x14ac:dyDescent="0.25">
      <c r="L858" s="645"/>
      <c r="M858" s="616"/>
      <c r="N858" s="616"/>
      <c r="O858" s="616"/>
      <c r="P858" s="615"/>
      <c r="Q858" s="616"/>
      <c r="R858" s="663"/>
      <c r="S858" s="459"/>
      <c r="T858" s="459"/>
      <c r="U858" s="459"/>
      <c r="V858" s="459"/>
      <c r="W858" s="459"/>
      <c r="X858" s="459"/>
      <c r="Y858" s="666"/>
      <c r="Z858" s="664"/>
      <c r="AA858" s="665"/>
      <c r="AB858" s="665"/>
      <c r="AC858" s="665"/>
      <c r="AD858" s="665"/>
      <c r="AE858" s="665"/>
      <c r="AF858" s="649"/>
      <c r="AG858" s="650"/>
      <c r="AH858" s="650"/>
      <c r="AI858" s="667"/>
    </row>
    <row r="859" spans="12:35" ht="45" customHeight="1" thickBot="1" x14ac:dyDescent="0.25">
      <c r="L859" s="645"/>
      <c r="M859" s="616"/>
      <c r="N859" s="616"/>
      <c r="O859" s="616"/>
      <c r="P859" s="615"/>
      <c r="Q859" s="616"/>
      <c r="R859" s="663"/>
      <c r="S859" s="459"/>
      <c r="T859" s="459"/>
      <c r="U859" s="459"/>
      <c r="V859" s="459"/>
      <c r="W859" s="459"/>
      <c r="X859" s="459"/>
      <c r="Y859" s="666"/>
      <c r="Z859" s="664"/>
      <c r="AA859" s="665"/>
      <c r="AB859" s="665"/>
      <c r="AC859" s="665"/>
      <c r="AD859" s="665"/>
      <c r="AE859" s="665"/>
      <c r="AF859" s="649"/>
      <c r="AG859" s="650"/>
      <c r="AH859" s="650"/>
      <c r="AI859" s="667"/>
    </row>
    <row r="860" spans="12:35" ht="45" customHeight="1" thickBot="1" x14ac:dyDescent="0.25">
      <c r="L860" s="645"/>
      <c r="M860" s="616"/>
      <c r="N860" s="616"/>
      <c r="O860" s="616"/>
      <c r="P860" s="615"/>
      <c r="Q860" s="616"/>
      <c r="R860" s="663"/>
      <c r="S860" s="459"/>
      <c r="T860" s="459"/>
      <c r="U860" s="459"/>
      <c r="V860" s="459"/>
      <c r="W860" s="459"/>
      <c r="X860" s="459"/>
      <c r="Y860" s="666"/>
      <c r="Z860" s="664"/>
      <c r="AA860" s="665"/>
      <c r="AB860" s="665"/>
      <c r="AC860" s="665"/>
      <c r="AD860" s="665"/>
      <c r="AE860" s="665"/>
      <c r="AF860" s="649"/>
      <c r="AG860" s="650"/>
      <c r="AH860" s="650"/>
      <c r="AI860" s="667"/>
    </row>
    <row r="861" spans="12:35" ht="45" customHeight="1" thickBot="1" x14ac:dyDescent="0.25">
      <c r="L861" s="645"/>
      <c r="M861" s="616"/>
      <c r="N861" s="616"/>
      <c r="O861" s="616"/>
      <c r="P861" s="615"/>
      <c r="Q861" s="616"/>
      <c r="R861" s="663"/>
      <c r="S861" s="459"/>
      <c r="T861" s="459"/>
      <c r="U861" s="459"/>
      <c r="V861" s="459"/>
      <c r="W861" s="459"/>
      <c r="X861" s="459"/>
      <c r="Y861" s="666"/>
      <c r="Z861" s="664"/>
      <c r="AA861" s="665"/>
      <c r="AB861" s="665"/>
      <c r="AC861" s="665"/>
      <c r="AD861" s="665"/>
      <c r="AE861" s="665"/>
      <c r="AF861" s="649"/>
      <c r="AG861" s="650"/>
      <c r="AH861" s="650"/>
      <c r="AI861" s="667"/>
    </row>
    <row r="862" spans="12:35" ht="45" customHeight="1" thickBot="1" x14ac:dyDescent="0.25">
      <c r="L862" s="645"/>
      <c r="M862" s="616"/>
      <c r="N862" s="616"/>
      <c r="O862" s="616"/>
      <c r="P862" s="615"/>
      <c r="Q862" s="616"/>
      <c r="R862" s="663"/>
      <c r="S862" s="459"/>
      <c r="T862" s="459"/>
      <c r="U862" s="459"/>
      <c r="V862" s="459"/>
      <c r="W862" s="459"/>
      <c r="X862" s="459"/>
      <c r="Y862" s="666"/>
      <c r="Z862" s="664"/>
      <c r="AA862" s="665"/>
      <c r="AB862" s="665"/>
      <c r="AC862" s="665"/>
      <c r="AD862" s="665"/>
      <c r="AE862" s="665"/>
      <c r="AF862" s="649"/>
      <c r="AG862" s="650"/>
      <c r="AH862" s="650"/>
      <c r="AI862" s="667"/>
    </row>
    <row r="863" spans="12:35" ht="45" customHeight="1" thickBot="1" x14ac:dyDescent="0.25">
      <c r="L863" s="645"/>
      <c r="M863" s="616"/>
      <c r="N863" s="616"/>
      <c r="O863" s="616"/>
      <c r="P863" s="615"/>
      <c r="Q863" s="616"/>
      <c r="R863" s="663"/>
      <c r="S863" s="459"/>
      <c r="T863" s="459"/>
      <c r="U863" s="459"/>
      <c r="V863" s="459"/>
      <c r="W863" s="459"/>
      <c r="X863" s="459"/>
      <c r="Y863" s="666"/>
      <c r="Z863" s="664"/>
      <c r="AA863" s="665"/>
      <c r="AB863" s="665"/>
      <c r="AC863" s="665"/>
      <c r="AD863" s="665"/>
      <c r="AE863" s="665"/>
      <c r="AF863" s="649"/>
      <c r="AG863" s="650"/>
      <c r="AH863" s="650"/>
      <c r="AI863" s="667"/>
    </row>
    <row r="864" spans="12:35" ht="45" customHeight="1" thickBot="1" x14ac:dyDescent="0.25">
      <c r="L864" s="645"/>
      <c r="M864" s="616"/>
      <c r="N864" s="616"/>
      <c r="O864" s="616"/>
      <c r="P864" s="615"/>
      <c r="Q864" s="616"/>
      <c r="R864" s="663"/>
      <c r="S864" s="459"/>
      <c r="T864" s="459"/>
      <c r="U864" s="459"/>
      <c r="V864" s="459"/>
      <c r="W864" s="459"/>
      <c r="X864" s="459"/>
      <c r="Y864" s="666"/>
      <c r="Z864" s="664"/>
      <c r="AA864" s="665"/>
      <c r="AB864" s="665"/>
      <c r="AC864" s="665"/>
      <c r="AD864" s="665"/>
      <c r="AE864" s="665"/>
      <c r="AF864" s="649"/>
      <c r="AG864" s="650"/>
      <c r="AH864" s="650"/>
      <c r="AI864" s="667"/>
    </row>
    <row r="865" spans="12:35" ht="45" customHeight="1" thickBot="1" x14ac:dyDescent="0.25">
      <c r="L865" s="645"/>
      <c r="M865" s="616"/>
      <c r="N865" s="616"/>
      <c r="O865" s="616"/>
      <c r="P865" s="615"/>
      <c r="Q865" s="616"/>
      <c r="R865" s="663"/>
      <c r="S865" s="459"/>
      <c r="T865" s="459"/>
      <c r="U865" s="459"/>
      <c r="V865" s="459"/>
      <c r="W865" s="459"/>
      <c r="X865" s="459"/>
      <c r="Y865" s="666"/>
      <c r="Z865" s="664"/>
      <c r="AA865" s="665"/>
      <c r="AB865" s="665"/>
      <c r="AC865" s="665"/>
      <c r="AD865" s="665"/>
      <c r="AE865" s="665"/>
      <c r="AF865" s="649"/>
      <c r="AG865" s="650"/>
      <c r="AH865" s="650"/>
      <c r="AI865" s="667"/>
    </row>
    <row r="866" spans="12:35" ht="45" customHeight="1" thickBot="1" x14ac:dyDescent="0.25">
      <c r="L866" s="645"/>
      <c r="M866" s="616"/>
      <c r="N866" s="616"/>
      <c r="O866" s="616"/>
      <c r="P866" s="615"/>
      <c r="Q866" s="616"/>
      <c r="R866" s="663"/>
      <c r="S866" s="459"/>
      <c r="T866" s="459"/>
      <c r="U866" s="459"/>
      <c r="V866" s="459"/>
      <c r="W866" s="459"/>
      <c r="X866" s="459"/>
      <c r="Y866" s="666"/>
      <c r="Z866" s="664"/>
      <c r="AA866" s="665"/>
      <c r="AB866" s="665"/>
      <c r="AC866" s="665"/>
      <c r="AD866" s="665"/>
      <c r="AE866" s="665"/>
      <c r="AF866" s="649"/>
      <c r="AG866" s="650"/>
      <c r="AH866" s="650"/>
      <c r="AI866" s="667"/>
    </row>
    <row r="867" spans="12:35" ht="45" customHeight="1" thickBot="1" x14ac:dyDescent="0.25">
      <c r="L867" s="645"/>
      <c r="M867" s="616"/>
      <c r="N867" s="616"/>
      <c r="O867" s="616"/>
      <c r="P867" s="615"/>
      <c r="Q867" s="616"/>
      <c r="R867" s="663"/>
      <c r="S867" s="459"/>
      <c r="T867" s="459"/>
      <c r="U867" s="459"/>
      <c r="V867" s="459"/>
      <c r="W867" s="459"/>
      <c r="X867" s="459"/>
      <c r="Y867" s="666"/>
      <c r="Z867" s="664"/>
      <c r="AA867" s="665"/>
      <c r="AB867" s="665"/>
      <c r="AC867" s="665"/>
      <c r="AD867" s="665"/>
      <c r="AE867" s="665"/>
      <c r="AF867" s="649"/>
      <c r="AG867" s="650"/>
      <c r="AH867" s="650"/>
      <c r="AI867" s="667"/>
    </row>
    <row r="868" spans="12:35" ht="45" customHeight="1" thickBot="1" x14ac:dyDescent="0.25">
      <c r="L868" s="645"/>
      <c r="M868" s="616"/>
      <c r="N868" s="616"/>
      <c r="O868" s="616"/>
      <c r="P868" s="615"/>
      <c r="Q868" s="616"/>
      <c r="R868" s="663"/>
      <c r="S868" s="459"/>
      <c r="T868" s="459"/>
      <c r="U868" s="459"/>
      <c r="V868" s="459"/>
      <c r="W868" s="459"/>
      <c r="X868" s="459"/>
      <c r="Y868" s="666"/>
      <c r="Z868" s="664"/>
      <c r="AA868" s="665"/>
      <c r="AB868" s="665"/>
      <c r="AC868" s="665"/>
      <c r="AD868" s="665"/>
      <c r="AE868" s="665"/>
      <c r="AF868" s="649"/>
      <c r="AG868" s="650"/>
      <c r="AH868" s="650"/>
      <c r="AI868" s="667"/>
    </row>
    <row r="869" spans="12:35" ht="45" customHeight="1" thickBot="1" x14ac:dyDescent="0.25">
      <c r="L869" s="645"/>
      <c r="M869" s="616"/>
      <c r="N869" s="616"/>
      <c r="O869" s="616"/>
      <c r="P869" s="615"/>
      <c r="Q869" s="616"/>
      <c r="R869" s="663"/>
      <c r="S869" s="459"/>
      <c r="T869" s="459"/>
      <c r="U869" s="459"/>
      <c r="V869" s="459"/>
      <c r="W869" s="459"/>
      <c r="X869" s="459"/>
      <c r="Y869" s="666"/>
      <c r="Z869" s="664"/>
      <c r="AA869" s="665"/>
      <c r="AB869" s="665"/>
      <c r="AC869" s="665"/>
      <c r="AD869" s="665"/>
      <c r="AE869" s="665"/>
      <c r="AF869" s="649"/>
      <c r="AG869" s="650"/>
      <c r="AH869" s="650"/>
      <c r="AI869" s="667"/>
    </row>
    <row r="870" spans="12:35" ht="45" customHeight="1" thickBot="1" x14ac:dyDescent="0.25">
      <c r="L870" s="645"/>
      <c r="M870" s="616"/>
      <c r="N870" s="616"/>
      <c r="O870" s="616"/>
      <c r="P870" s="615"/>
      <c r="Q870" s="616"/>
      <c r="R870" s="663"/>
      <c r="S870" s="459"/>
      <c r="T870" s="459"/>
      <c r="U870" s="459"/>
      <c r="V870" s="459"/>
      <c r="W870" s="459"/>
      <c r="X870" s="459"/>
      <c r="Y870" s="666"/>
      <c r="Z870" s="664"/>
      <c r="AA870" s="665"/>
      <c r="AB870" s="665"/>
      <c r="AC870" s="665"/>
      <c r="AD870" s="665"/>
      <c r="AE870" s="665"/>
      <c r="AF870" s="649"/>
      <c r="AG870" s="650"/>
      <c r="AH870" s="650"/>
      <c r="AI870" s="667"/>
    </row>
    <row r="871" spans="12:35" ht="45" customHeight="1" thickBot="1" x14ac:dyDescent="0.25">
      <c r="L871" s="645"/>
      <c r="M871" s="616"/>
      <c r="N871" s="616"/>
      <c r="O871" s="616"/>
      <c r="P871" s="615"/>
      <c r="Q871" s="616"/>
      <c r="R871" s="663"/>
      <c r="S871" s="459"/>
      <c r="T871" s="459"/>
      <c r="U871" s="459"/>
      <c r="V871" s="459"/>
      <c r="W871" s="459"/>
      <c r="X871" s="459"/>
      <c r="Y871" s="666"/>
      <c r="Z871" s="664"/>
      <c r="AA871" s="665"/>
      <c r="AB871" s="665"/>
      <c r="AC871" s="665"/>
      <c r="AD871" s="665"/>
      <c r="AE871" s="665"/>
      <c r="AF871" s="649"/>
      <c r="AG871" s="650"/>
      <c r="AH871" s="650"/>
      <c r="AI871" s="667"/>
    </row>
    <row r="872" spans="12:35" ht="45" customHeight="1" thickBot="1" x14ac:dyDescent="0.25">
      <c r="L872" s="645"/>
      <c r="M872" s="616"/>
      <c r="N872" s="616"/>
      <c r="O872" s="616"/>
      <c r="P872" s="615"/>
      <c r="Q872" s="616"/>
      <c r="R872" s="663"/>
      <c r="S872" s="459"/>
      <c r="T872" s="459"/>
      <c r="U872" s="459"/>
      <c r="V872" s="459"/>
      <c r="W872" s="459"/>
      <c r="X872" s="459"/>
      <c r="Y872" s="666"/>
      <c r="Z872" s="664"/>
      <c r="AA872" s="665"/>
      <c r="AB872" s="665"/>
      <c r="AC872" s="665"/>
      <c r="AD872" s="665"/>
      <c r="AE872" s="665"/>
      <c r="AF872" s="649"/>
      <c r="AG872" s="650"/>
      <c r="AH872" s="650"/>
      <c r="AI872" s="667"/>
    </row>
    <row r="873" spans="12:35" ht="45" customHeight="1" thickBot="1" x14ac:dyDescent="0.25">
      <c r="L873" s="645"/>
      <c r="M873" s="616"/>
      <c r="N873" s="616"/>
      <c r="O873" s="616"/>
      <c r="P873" s="615"/>
      <c r="Q873" s="616"/>
      <c r="R873" s="663"/>
      <c r="S873" s="459"/>
      <c r="T873" s="459"/>
      <c r="U873" s="459"/>
      <c r="V873" s="459"/>
      <c r="W873" s="459"/>
      <c r="X873" s="459"/>
      <c r="Y873" s="666"/>
      <c r="Z873" s="664"/>
      <c r="AA873" s="665"/>
      <c r="AB873" s="665"/>
      <c r="AC873" s="665"/>
      <c r="AD873" s="665"/>
      <c r="AE873" s="665"/>
      <c r="AF873" s="649"/>
      <c r="AG873" s="650"/>
      <c r="AH873" s="650"/>
      <c r="AI873" s="667"/>
    </row>
    <row r="874" spans="12:35" ht="45" customHeight="1" thickBot="1" x14ac:dyDescent="0.25">
      <c r="L874" s="645"/>
      <c r="M874" s="616"/>
      <c r="N874" s="616"/>
      <c r="O874" s="616"/>
      <c r="P874" s="615"/>
      <c r="Q874" s="616"/>
      <c r="R874" s="663"/>
      <c r="S874" s="459"/>
      <c r="T874" s="459"/>
      <c r="U874" s="459"/>
      <c r="V874" s="459"/>
      <c r="W874" s="459"/>
      <c r="X874" s="459"/>
      <c r="Y874" s="666"/>
      <c r="Z874" s="664"/>
      <c r="AA874" s="665"/>
      <c r="AB874" s="665"/>
      <c r="AC874" s="665"/>
      <c r="AD874" s="665"/>
      <c r="AE874" s="665"/>
      <c r="AF874" s="649"/>
      <c r="AG874" s="650"/>
      <c r="AH874" s="650"/>
      <c r="AI874" s="667"/>
    </row>
    <row r="875" spans="12:35" ht="45" customHeight="1" thickBot="1" x14ac:dyDescent="0.25">
      <c r="L875" s="645"/>
      <c r="M875" s="616"/>
      <c r="N875" s="616"/>
      <c r="O875" s="616"/>
      <c r="P875" s="615"/>
      <c r="Q875" s="616"/>
      <c r="R875" s="663"/>
      <c r="S875" s="459"/>
      <c r="T875" s="459"/>
      <c r="U875" s="459"/>
      <c r="V875" s="459"/>
      <c r="W875" s="459"/>
      <c r="X875" s="459"/>
      <c r="Y875" s="666"/>
      <c r="Z875" s="664"/>
      <c r="AA875" s="665"/>
      <c r="AB875" s="665"/>
      <c r="AC875" s="665"/>
      <c r="AD875" s="665"/>
      <c r="AE875" s="665"/>
      <c r="AF875" s="649"/>
      <c r="AG875" s="650"/>
      <c r="AH875" s="650"/>
      <c r="AI875" s="667"/>
    </row>
    <row r="876" spans="12:35" ht="45" customHeight="1" thickBot="1" x14ac:dyDescent="0.25">
      <c r="L876" s="645"/>
      <c r="M876" s="616"/>
      <c r="N876" s="616"/>
      <c r="O876" s="616"/>
      <c r="P876" s="615"/>
      <c r="Q876" s="616"/>
      <c r="R876" s="663"/>
      <c r="S876" s="459"/>
      <c r="T876" s="459"/>
      <c r="U876" s="459"/>
      <c r="V876" s="459"/>
      <c r="W876" s="459"/>
      <c r="X876" s="459"/>
      <c r="Y876" s="666"/>
      <c r="Z876" s="664"/>
      <c r="AA876" s="665"/>
      <c r="AB876" s="665"/>
      <c r="AC876" s="665"/>
      <c r="AD876" s="665"/>
      <c r="AE876" s="665"/>
      <c r="AF876" s="649"/>
      <c r="AG876" s="650"/>
      <c r="AH876" s="650"/>
      <c r="AI876" s="667"/>
    </row>
    <row r="877" spans="12:35" ht="45" customHeight="1" thickBot="1" x14ac:dyDescent="0.25">
      <c r="L877" s="645"/>
      <c r="M877" s="616"/>
      <c r="N877" s="616"/>
      <c r="O877" s="616"/>
      <c r="P877" s="615"/>
      <c r="Q877" s="616"/>
      <c r="R877" s="663"/>
      <c r="S877" s="459"/>
      <c r="T877" s="459"/>
      <c r="U877" s="459"/>
      <c r="V877" s="459"/>
      <c r="W877" s="459"/>
      <c r="X877" s="459"/>
      <c r="Y877" s="666"/>
      <c r="Z877" s="664"/>
      <c r="AA877" s="665"/>
      <c r="AB877" s="665"/>
      <c r="AC877" s="665"/>
      <c r="AD877" s="665"/>
      <c r="AE877" s="665"/>
      <c r="AF877" s="649"/>
      <c r="AG877" s="650"/>
      <c r="AH877" s="650"/>
      <c r="AI877" s="667"/>
    </row>
    <row r="878" spans="12:35" ht="45" customHeight="1" thickBot="1" x14ac:dyDescent="0.25">
      <c r="L878" s="645"/>
      <c r="M878" s="616"/>
      <c r="N878" s="616"/>
      <c r="O878" s="616"/>
      <c r="P878" s="615"/>
      <c r="Q878" s="616"/>
      <c r="R878" s="663"/>
      <c r="S878" s="459"/>
      <c r="T878" s="459"/>
      <c r="U878" s="459"/>
      <c r="V878" s="459"/>
      <c r="W878" s="459"/>
      <c r="X878" s="459"/>
      <c r="Y878" s="666"/>
      <c r="Z878" s="664"/>
      <c r="AA878" s="665"/>
      <c r="AB878" s="665"/>
      <c r="AC878" s="665"/>
      <c r="AD878" s="665"/>
      <c r="AE878" s="665"/>
      <c r="AF878" s="649"/>
      <c r="AG878" s="650"/>
      <c r="AH878" s="650"/>
      <c r="AI878" s="667"/>
    </row>
    <row r="879" spans="12:35" ht="45" customHeight="1" thickBot="1" x14ac:dyDescent="0.25">
      <c r="L879" s="645"/>
      <c r="M879" s="616"/>
      <c r="N879" s="616"/>
      <c r="O879" s="616"/>
      <c r="P879" s="615"/>
      <c r="Q879" s="616"/>
      <c r="R879" s="663"/>
      <c r="S879" s="459"/>
      <c r="T879" s="459"/>
      <c r="U879" s="459"/>
      <c r="V879" s="459"/>
      <c r="W879" s="459"/>
      <c r="X879" s="459"/>
      <c r="Y879" s="666"/>
      <c r="Z879" s="664"/>
      <c r="AA879" s="665"/>
      <c r="AB879" s="665"/>
      <c r="AC879" s="665"/>
      <c r="AD879" s="665"/>
      <c r="AE879" s="665"/>
      <c r="AF879" s="649"/>
      <c r="AG879" s="650"/>
      <c r="AH879" s="650"/>
      <c r="AI879" s="667"/>
    </row>
    <row r="880" spans="12:35" ht="45" customHeight="1" thickBot="1" x14ac:dyDescent="0.25">
      <c r="L880" s="645"/>
      <c r="M880" s="616"/>
      <c r="N880" s="616"/>
      <c r="O880" s="616"/>
      <c r="P880" s="615"/>
      <c r="Q880" s="616"/>
      <c r="R880" s="663"/>
      <c r="S880" s="459"/>
      <c r="T880" s="459"/>
      <c r="U880" s="459"/>
      <c r="V880" s="459"/>
      <c r="W880" s="459"/>
      <c r="X880" s="459"/>
      <c r="Y880" s="666"/>
      <c r="Z880" s="664"/>
      <c r="AA880" s="665"/>
      <c r="AB880" s="665"/>
      <c r="AC880" s="665"/>
      <c r="AD880" s="665"/>
      <c r="AE880" s="665"/>
      <c r="AF880" s="649"/>
      <c r="AG880" s="650"/>
      <c r="AH880" s="650"/>
      <c r="AI880" s="667"/>
    </row>
    <row r="881" spans="12:35" ht="45" customHeight="1" thickBot="1" x14ac:dyDescent="0.25">
      <c r="L881" s="645"/>
      <c r="M881" s="616"/>
      <c r="N881" s="616"/>
      <c r="O881" s="616"/>
      <c r="P881" s="615"/>
      <c r="Q881" s="616"/>
      <c r="R881" s="663"/>
      <c r="S881" s="459"/>
      <c r="T881" s="459"/>
      <c r="U881" s="459"/>
      <c r="V881" s="459"/>
      <c r="W881" s="459"/>
      <c r="X881" s="459"/>
      <c r="Y881" s="666"/>
      <c r="Z881" s="664"/>
      <c r="AA881" s="665"/>
      <c r="AB881" s="665"/>
      <c r="AC881" s="665"/>
      <c r="AD881" s="665"/>
      <c r="AE881" s="665"/>
      <c r="AF881" s="649"/>
      <c r="AG881" s="650"/>
      <c r="AH881" s="650"/>
      <c r="AI881" s="667"/>
    </row>
    <row r="882" spans="12:35" ht="45" customHeight="1" thickBot="1" x14ac:dyDescent="0.25">
      <c r="L882" s="645"/>
      <c r="M882" s="616"/>
      <c r="N882" s="616"/>
      <c r="O882" s="616"/>
      <c r="P882" s="615"/>
      <c r="Q882" s="616"/>
      <c r="R882" s="663"/>
      <c r="S882" s="459"/>
      <c r="T882" s="459"/>
      <c r="U882" s="459"/>
      <c r="V882" s="459"/>
      <c r="W882" s="459"/>
      <c r="X882" s="459"/>
      <c r="Y882" s="666"/>
      <c r="Z882" s="664"/>
      <c r="AA882" s="665"/>
      <c r="AB882" s="665"/>
      <c r="AC882" s="665"/>
      <c r="AD882" s="665"/>
      <c r="AE882" s="665"/>
      <c r="AF882" s="649"/>
      <c r="AG882" s="650"/>
      <c r="AH882" s="650"/>
      <c r="AI882" s="667"/>
    </row>
    <row r="883" spans="12:35" ht="45" customHeight="1" thickBot="1" x14ac:dyDescent="0.25">
      <c r="L883" s="645"/>
      <c r="M883" s="616"/>
      <c r="N883" s="616"/>
      <c r="O883" s="616"/>
      <c r="P883" s="615"/>
      <c r="Q883" s="616"/>
      <c r="R883" s="663"/>
      <c r="S883" s="459"/>
      <c r="T883" s="459"/>
      <c r="U883" s="459"/>
      <c r="V883" s="459"/>
      <c r="W883" s="459"/>
      <c r="X883" s="459"/>
      <c r="Y883" s="666"/>
      <c r="Z883" s="664"/>
      <c r="AA883" s="665"/>
      <c r="AB883" s="665"/>
      <c r="AC883" s="665"/>
      <c r="AD883" s="665"/>
      <c r="AE883" s="665"/>
      <c r="AF883" s="649"/>
      <c r="AG883" s="650"/>
      <c r="AH883" s="650"/>
      <c r="AI883" s="667"/>
    </row>
    <row r="884" spans="12:35" ht="45" customHeight="1" thickBot="1" x14ac:dyDescent="0.25">
      <c r="L884" s="645"/>
      <c r="M884" s="616"/>
      <c r="N884" s="616"/>
      <c r="O884" s="616"/>
      <c r="P884" s="615"/>
      <c r="Q884" s="616"/>
      <c r="R884" s="663"/>
      <c r="S884" s="459"/>
      <c r="T884" s="459"/>
      <c r="U884" s="459"/>
      <c r="V884" s="459"/>
      <c r="W884" s="459"/>
      <c r="X884" s="459"/>
      <c r="Y884" s="666"/>
      <c r="Z884" s="664"/>
      <c r="AA884" s="665"/>
      <c r="AB884" s="665"/>
      <c r="AC884" s="665"/>
      <c r="AD884" s="665"/>
      <c r="AE884" s="665"/>
      <c r="AF884" s="649"/>
      <c r="AG884" s="650"/>
      <c r="AH884" s="650"/>
      <c r="AI884" s="667"/>
    </row>
    <row r="885" spans="12:35" ht="45" customHeight="1" thickBot="1" x14ac:dyDescent="0.25">
      <c r="L885" s="645"/>
      <c r="M885" s="616"/>
      <c r="N885" s="616"/>
      <c r="O885" s="616"/>
      <c r="P885" s="615"/>
      <c r="Q885" s="616"/>
      <c r="R885" s="663"/>
      <c r="S885" s="459"/>
      <c r="T885" s="459"/>
      <c r="U885" s="459"/>
      <c r="V885" s="459"/>
      <c r="W885" s="459"/>
      <c r="X885" s="459"/>
      <c r="Y885" s="666"/>
      <c r="Z885" s="664"/>
      <c r="AA885" s="665"/>
      <c r="AB885" s="665"/>
      <c r="AC885" s="665"/>
      <c r="AD885" s="665"/>
      <c r="AE885" s="665"/>
      <c r="AF885" s="649"/>
      <c r="AG885" s="650"/>
      <c r="AH885" s="650"/>
      <c r="AI885" s="667"/>
    </row>
    <row r="886" spans="12:35" ht="45" customHeight="1" thickBot="1" x14ac:dyDescent="0.25">
      <c r="L886" s="645"/>
      <c r="M886" s="616"/>
      <c r="N886" s="616"/>
      <c r="O886" s="616"/>
      <c r="P886" s="615"/>
      <c r="Q886" s="616"/>
      <c r="R886" s="663"/>
      <c r="S886" s="459"/>
      <c r="T886" s="459"/>
      <c r="U886" s="459"/>
      <c r="V886" s="459"/>
      <c r="W886" s="459"/>
      <c r="X886" s="459"/>
      <c r="Y886" s="666"/>
      <c r="Z886" s="664"/>
      <c r="AA886" s="665"/>
      <c r="AB886" s="665"/>
      <c r="AC886" s="665"/>
      <c r="AD886" s="665"/>
      <c r="AE886" s="665"/>
      <c r="AF886" s="649"/>
      <c r="AG886" s="650"/>
      <c r="AH886" s="650"/>
      <c r="AI886" s="667"/>
    </row>
    <row r="887" spans="12:35" ht="45" customHeight="1" thickBot="1" x14ac:dyDescent="0.25">
      <c r="L887" s="645"/>
      <c r="M887" s="616"/>
      <c r="N887" s="616"/>
      <c r="O887" s="616"/>
      <c r="P887" s="615"/>
      <c r="Q887" s="616"/>
      <c r="R887" s="663"/>
      <c r="S887" s="459"/>
      <c r="T887" s="459"/>
      <c r="U887" s="459"/>
      <c r="V887" s="459"/>
      <c r="W887" s="459"/>
      <c r="X887" s="459"/>
      <c r="Y887" s="666"/>
      <c r="Z887" s="664"/>
      <c r="AA887" s="665"/>
      <c r="AB887" s="665"/>
      <c r="AC887" s="665"/>
      <c r="AD887" s="665"/>
      <c r="AE887" s="665"/>
      <c r="AF887" s="649"/>
      <c r="AG887" s="650"/>
      <c r="AH887" s="650"/>
      <c r="AI887" s="667"/>
    </row>
    <row r="888" spans="12:35" ht="45" customHeight="1" thickBot="1" x14ac:dyDescent="0.25">
      <c r="L888" s="645"/>
      <c r="M888" s="616"/>
      <c r="N888" s="616"/>
      <c r="O888" s="616"/>
      <c r="P888" s="615"/>
      <c r="Q888" s="616"/>
      <c r="R888" s="663"/>
      <c r="S888" s="459"/>
      <c r="T888" s="459"/>
      <c r="U888" s="459"/>
      <c r="V888" s="459"/>
      <c r="W888" s="459"/>
      <c r="X888" s="459"/>
      <c r="Y888" s="666"/>
      <c r="Z888" s="664"/>
      <c r="AA888" s="665"/>
      <c r="AB888" s="665"/>
      <c r="AC888" s="665"/>
      <c r="AD888" s="665"/>
      <c r="AE888" s="665"/>
      <c r="AF888" s="649"/>
      <c r="AG888" s="650"/>
      <c r="AH888" s="650"/>
      <c r="AI888" s="667"/>
    </row>
    <row r="889" spans="12:35" ht="45" customHeight="1" thickBot="1" x14ac:dyDescent="0.25">
      <c r="L889" s="645"/>
      <c r="M889" s="616"/>
      <c r="N889" s="616"/>
      <c r="O889" s="616"/>
      <c r="P889" s="615"/>
      <c r="Q889" s="616"/>
      <c r="R889" s="663"/>
      <c r="S889" s="459"/>
      <c r="T889" s="459"/>
      <c r="U889" s="459"/>
      <c r="V889" s="459"/>
      <c r="W889" s="459"/>
      <c r="X889" s="459"/>
      <c r="Y889" s="666"/>
      <c r="Z889" s="664"/>
      <c r="AA889" s="665"/>
      <c r="AB889" s="665"/>
      <c r="AC889" s="665"/>
      <c r="AD889" s="665"/>
      <c r="AE889" s="665"/>
      <c r="AF889" s="649"/>
      <c r="AG889" s="650"/>
      <c r="AH889" s="650"/>
      <c r="AI889" s="667"/>
    </row>
    <row r="890" spans="12:35" ht="45" customHeight="1" thickBot="1" x14ac:dyDescent="0.25">
      <c r="L890" s="645"/>
      <c r="M890" s="616"/>
      <c r="N890" s="616"/>
      <c r="O890" s="616"/>
      <c r="P890" s="615"/>
      <c r="Q890" s="616"/>
      <c r="R890" s="663"/>
      <c r="S890" s="459"/>
      <c r="T890" s="459"/>
      <c r="U890" s="459"/>
      <c r="V890" s="459"/>
      <c r="W890" s="459"/>
      <c r="X890" s="459"/>
      <c r="Y890" s="666"/>
      <c r="Z890" s="664"/>
      <c r="AA890" s="665"/>
      <c r="AB890" s="665"/>
      <c r="AC890" s="665"/>
      <c r="AD890" s="665"/>
      <c r="AE890" s="665"/>
      <c r="AF890" s="649"/>
      <c r="AG890" s="650"/>
      <c r="AH890" s="650"/>
      <c r="AI890" s="667"/>
    </row>
    <row r="891" spans="12:35" ht="45" customHeight="1" thickBot="1" x14ac:dyDescent="0.25">
      <c r="L891" s="645"/>
      <c r="M891" s="616"/>
      <c r="N891" s="616"/>
      <c r="O891" s="616"/>
      <c r="P891" s="615"/>
      <c r="Q891" s="616"/>
      <c r="R891" s="663"/>
      <c r="S891" s="459"/>
      <c r="T891" s="459"/>
      <c r="U891" s="459"/>
      <c r="V891" s="459"/>
      <c r="W891" s="459"/>
      <c r="X891" s="459"/>
      <c r="Y891" s="666"/>
      <c r="Z891" s="664"/>
      <c r="AA891" s="665"/>
      <c r="AB891" s="665"/>
      <c r="AC891" s="665"/>
      <c r="AD891" s="665"/>
      <c r="AE891" s="665"/>
      <c r="AF891" s="649"/>
      <c r="AG891" s="650"/>
      <c r="AH891" s="650"/>
      <c r="AI891" s="667"/>
    </row>
    <row r="892" spans="12:35" ht="45" customHeight="1" thickBot="1" x14ac:dyDescent="0.25">
      <c r="L892" s="645"/>
      <c r="M892" s="616"/>
      <c r="N892" s="616"/>
      <c r="O892" s="616"/>
      <c r="P892" s="615"/>
      <c r="Q892" s="616"/>
      <c r="R892" s="663"/>
      <c r="S892" s="459"/>
      <c r="T892" s="459"/>
      <c r="U892" s="459"/>
      <c r="V892" s="459"/>
      <c r="W892" s="459"/>
      <c r="X892" s="459"/>
      <c r="Y892" s="666"/>
      <c r="Z892" s="664"/>
      <c r="AA892" s="665"/>
      <c r="AB892" s="665"/>
      <c r="AC892" s="665"/>
      <c r="AD892" s="665"/>
      <c r="AE892" s="665"/>
      <c r="AF892" s="649"/>
      <c r="AG892" s="650"/>
      <c r="AH892" s="650"/>
      <c r="AI892" s="667"/>
    </row>
    <row r="893" spans="12:35" ht="45" customHeight="1" thickBot="1" x14ac:dyDescent="0.25">
      <c r="L893" s="645"/>
      <c r="M893" s="616"/>
      <c r="N893" s="616"/>
      <c r="O893" s="616"/>
      <c r="P893" s="615"/>
      <c r="Q893" s="616"/>
      <c r="R893" s="663"/>
      <c r="S893" s="459"/>
      <c r="T893" s="459"/>
      <c r="U893" s="459"/>
      <c r="V893" s="459"/>
      <c r="W893" s="459"/>
      <c r="X893" s="459"/>
      <c r="Y893" s="666"/>
      <c r="Z893" s="664"/>
      <c r="AA893" s="665"/>
      <c r="AB893" s="665"/>
      <c r="AC893" s="665"/>
      <c r="AD893" s="665"/>
      <c r="AE893" s="665"/>
      <c r="AF893" s="649"/>
      <c r="AG893" s="650"/>
      <c r="AH893" s="650"/>
      <c r="AI893" s="667"/>
    </row>
    <row r="894" spans="12:35" ht="45" customHeight="1" thickBot="1" x14ac:dyDescent="0.25">
      <c r="L894" s="645"/>
      <c r="M894" s="616"/>
      <c r="N894" s="616"/>
      <c r="O894" s="616"/>
      <c r="P894" s="615"/>
      <c r="Q894" s="616"/>
      <c r="R894" s="663"/>
      <c r="S894" s="459"/>
      <c r="T894" s="459"/>
      <c r="U894" s="459"/>
      <c r="V894" s="459"/>
      <c r="W894" s="459"/>
      <c r="X894" s="459"/>
      <c r="Y894" s="666"/>
      <c r="Z894" s="664"/>
      <c r="AA894" s="665"/>
      <c r="AB894" s="665"/>
      <c r="AC894" s="665"/>
      <c r="AD894" s="665"/>
      <c r="AE894" s="665"/>
      <c r="AF894" s="649"/>
      <c r="AG894" s="650"/>
      <c r="AH894" s="650"/>
      <c r="AI894" s="667"/>
    </row>
    <row r="895" spans="12:35" ht="45" customHeight="1" thickBot="1" x14ac:dyDescent="0.25">
      <c r="L895" s="645"/>
      <c r="M895" s="616"/>
      <c r="N895" s="616"/>
      <c r="O895" s="616"/>
      <c r="P895" s="615"/>
      <c r="Q895" s="616"/>
      <c r="R895" s="663"/>
      <c r="S895" s="459"/>
      <c r="T895" s="459"/>
      <c r="U895" s="459"/>
      <c r="V895" s="459"/>
      <c r="W895" s="459"/>
      <c r="X895" s="459"/>
      <c r="Y895" s="666"/>
      <c r="Z895" s="664"/>
      <c r="AA895" s="665"/>
      <c r="AB895" s="665"/>
      <c r="AC895" s="665"/>
      <c r="AD895" s="665"/>
      <c r="AE895" s="665"/>
      <c r="AF895" s="649"/>
      <c r="AG895" s="650"/>
      <c r="AH895" s="650"/>
      <c r="AI895" s="667"/>
    </row>
    <row r="896" spans="12:35" ht="45" customHeight="1" thickBot="1" x14ac:dyDescent="0.25">
      <c r="L896" s="645"/>
      <c r="M896" s="616"/>
      <c r="N896" s="616"/>
      <c r="O896" s="616"/>
      <c r="P896" s="615"/>
      <c r="Q896" s="616"/>
      <c r="R896" s="663"/>
      <c r="S896" s="459"/>
      <c r="T896" s="459"/>
      <c r="U896" s="459"/>
      <c r="V896" s="459"/>
      <c r="W896" s="459"/>
      <c r="X896" s="459"/>
      <c r="Y896" s="666"/>
      <c r="Z896" s="664"/>
      <c r="AA896" s="665"/>
      <c r="AB896" s="665"/>
      <c r="AC896" s="665"/>
      <c r="AD896" s="665"/>
      <c r="AE896" s="665"/>
      <c r="AF896" s="649"/>
      <c r="AG896" s="650"/>
      <c r="AH896" s="650"/>
      <c r="AI896" s="667"/>
    </row>
    <row r="897" spans="12:35" ht="45" customHeight="1" thickBot="1" x14ac:dyDescent="0.25">
      <c r="L897" s="645"/>
      <c r="M897" s="616"/>
      <c r="N897" s="616"/>
      <c r="O897" s="616"/>
      <c r="P897" s="615"/>
      <c r="Q897" s="616"/>
      <c r="R897" s="663"/>
      <c r="S897" s="459"/>
      <c r="T897" s="459"/>
      <c r="U897" s="459"/>
      <c r="V897" s="459"/>
      <c r="W897" s="459"/>
      <c r="X897" s="459"/>
      <c r="Y897" s="666"/>
      <c r="Z897" s="664"/>
      <c r="AA897" s="665"/>
      <c r="AB897" s="665"/>
      <c r="AC897" s="665"/>
      <c r="AD897" s="665"/>
      <c r="AE897" s="665"/>
      <c r="AF897" s="649"/>
      <c r="AG897" s="650"/>
      <c r="AH897" s="650"/>
      <c r="AI897" s="667"/>
    </row>
    <row r="898" spans="12:35" ht="45" customHeight="1" thickBot="1" x14ac:dyDescent="0.25">
      <c r="L898" s="645"/>
      <c r="M898" s="616"/>
      <c r="N898" s="616"/>
      <c r="O898" s="616"/>
      <c r="P898" s="615"/>
      <c r="Q898" s="616"/>
      <c r="R898" s="663"/>
      <c r="S898" s="459"/>
      <c r="T898" s="459"/>
      <c r="U898" s="459"/>
      <c r="V898" s="459"/>
      <c r="W898" s="459"/>
      <c r="X898" s="459"/>
      <c r="Y898" s="666"/>
      <c r="Z898" s="664"/>
      <c r="AA898" s="665"/>
      <c r="AB898" s="665"/>
      <c r="AC898" s="665"/>
      <c r="AD898" s="665"/>
      <c r="AE898" s="665"/>
      <c r="AF898" s="649"/>
      <c r="AG898" s="650"/>
      <c r="AH898" s="650"/>
      <c r="AI898" s="667"/>
    </row>
    <row r="899" spans="12:35" ht="45" customHeight="1" thickBot="1" x14ac:dyDescent="0.25">
      <c r="L899" s="645"/>
      <c r="M899" s="616"/>
      <c r="N899" s="616"/>
      <c r="O899" s="616"/>
      <c r="P899" s="615"/>
      <c r="Q899" s="616"/>
      <c r="R899" s="663"/>
      <c r="S899" s="459"/>
      <c r="T899" s="459"/>
      <c r="U899" s="459"/>
      <c r="V899" s="459"/>
      <c r="W899" s="459"/>
      <c r="X899" s="459"/>
      <c r="Y899" s="666"/>
      <c r="Z899" s="664"/>
      <c r="AA899" s="665"/>
      <c r="AB899" s="665"/>
      <c r="AC899" s="665"/>
      <c r="AD899" s="665"/>
      <c r="AE899" s="665"/>
      <c r="AF899" s="649"/>
      <c r="AG899" s="650"/>
      <c r="AH899" s="650"/>
      <c r="AI899" s="667"/>
    </row>
    <row r="900" spans="12:35" ht="45" customHeight="1" thickBot="1" x14ac:dyDescent="0.25">
      <c r="L900" s="645"/>
      <c r="M900" s="616"/>
      <c r="N900" s="616"/>
      <c r="O900" s="616"/>
      <c r="P900" s="615"/>
      <c r="Q900" s="616"/>
      <c r="R900" s="663"/>
      <c r="S900" s="459"/>
      <c r="T900" s="459"/>
      <c r="U900" s="459"/>
      <c r="V900" s="459"/>
      <c r="W900" s="459"/>
      <c r="X900" s="459"/>
      <c r="Y900" s="666"/>
      <c r="Z900" s="664"/>
      <c r="AA900" s="665"/>
      <c r="AB900" s="665"/>
      <c r="AC900" s="665"/>
      <c r="AD900" s="665"/>
      <c r="AE900" s="665"/>
      <c r="AF900" s="649"/>
      <c r="AG900" s="650"/>
      <c r="AH900" s="650"/>
      <c r="AI900" s="667"/>
    </row>
    <row r="901" spans="12:35" ht="45" customHeight="1" thickBot="1" x14ac:dyDescent="0.25">
      <c r="L901" s="645"/>
      <c r="M901" s="616"/>
      <c r="N901" s="616"/>
      <c r="O901" s="616"/>
      <c r="P901" s="615"/>
      <c r="Q901" s="616"/>
      <c r="R901" s="663"/>
      <c r="S901" s="459"/>
      <c r="T901" s="459"/>
      <c r="U901" s="459"/>
      <c r="V901" s="459"/>
      <c r="W901" s="459"/>
      <c r="X901" s="459"/>
      <c r="Y901" s="666"/>
      <c r="Z901" s="664"/>
      <c r="AA901" s="665"/>
      <c r="AB901" s="665"/>
      <c r="AC901" s="665"/>
      <c r="AD901" s="665"/>
      <c r="AE901" s="665"/>
      <c r="AF901" s="649"/>
      <c r="AG901" s="650"/>
      <c r="AH901" s="650"/>
      <c r="AI901" s="667"/>
    </row>
    <row r="902" spans="12:35" ht="45" customHeight="1" thickBot="1" x14ac:dyDescent="0.25">
      <c r="L902" s="645"/>
      <c r="M902" s="616"/>
      <c r="N902" s="616"/>
      <c r="O902" s="616"/>
      <c r="P902" s="615"/>
      <c r="Q902" s="616"/>
      <c r="R902" s="663"/>
      <c r="S902" s="459"/>
      <c r="T902" s="459"/>
      <c r="U902" s="459"/>
      <c r="V902" s="459"/>
      <c r="W902" s="459"/>
      <c r="X902" s="459"/>
      <c r="Y902" s="666"/>
      <c r="Z902" s="664"/>
      <c r="AA902" s="665"/>
      <c r="AB902" s="665"/>
      <c r="AC902" s="665"/>
      <c r="AD902" s="665"/>
      <c r="AE902" s="665"/>
      <c r="AF902" s="649"/>
      <c r="AG902" s="650"/>
      <c r="AH902" s="650"/>
      <c r="AI902" s="667"/>
    </row>
    <row r="903" spans="12:35" ht="45" customHeight="1" thickBot="1" x14ac:dyDescent="0.25">
      <c r="L903" s="645"/>
      <c r="M903" s="616"/>
      <c r="N903" s="616"/>
      <c r="O903" s="616"/>
      <c r="P903" s="615"/>
      <c r="Q903" s="616"/>
      <c r="R903" s="663"/>
      <c r="S903" s="459"/>
      <c r="T903" s="459"/>
      <c r="U903" s="459"/>
      <c r="V903" s="459"/>
      <c r="W903" s="459"/>
      <c r="X903" s="459"/>
      <c r="Y903" s="666"/>
      <c r="Z903" s="664"/>
      <c r="AA903" s="665"/>
      <c r="AB903" s="665"/>
      <c r="AC903" s="665"/>
      <c r="AD903" s="665"/>
      <c r="AE903" s="665"/>
      <c r="AF903" s="649"/>
      <c r="AG903" s="650"/>
      <c r="AH903" s="650"/>
      <c r="AI903" s="667"/>
    </row>
    <row r="904" spans="12:35" ht="45" customHeight="1" thickBot="1" x14ac:dyDescent="0.25">
      <c r="L904" s="645"/>
      <c r="M904" s="616"/>
      <c r="N904" s="616"/>
      <c r="O904" s="616"/>
      <c r="P904" s="615"/>
      <c r="Q904" s="616"/>
      <c r="R904" s="663"/>
      <c r="S904" s="459"/>
      <c r="T904" s="459"/>
      <c r="U904" s="459"/>
      <c r="V904" s="459"/>
      <c r="W904" s="459"/>
      <c r="X904" s="459"/>
      <c r="Y904" s="666"/>
      <c r="Z904" s="664"/>
      <c r="AA904" s="665"/>
      <c r="AB904" s="665"/>
      <c r="AC904" s="665"/>
      <c r="AD904" s="665"/>
      <c r="AE904" s="665"/>
      <c r="AF904" s="649"/>
      <c r="AG904" s="650"/>
      <c r="AH904" s="650"/>
      <c r="AI904" s="667"/>
    </row>
    <row r="905" spans="12:35" ht="45" customHeight="1" thickBot="1" x14ac:dyDescent="0.25">
      <c r="L905" s="645"/>
      <c r="M905" s="616"/>
      <c r="N905" s="616"/>
      <c r="O905" s="616"/>
      <c r="P905" s="615"/>
      <c r="Q905" s="616"/>
      <c r="R905" s="663"/>
      <c r="S905" s="459"/>
      <c r="T905" s="459"/>
      <c r="U905" s="459"/>
      <c r="V905" s="459"/>
      <c r="W905" s="459"/>
      <c r="X905" s="459"/>
      <c r="Y905" s="666"/>
      <c r="Z905" s="664"/>
      <c r="AA905" s="665"/>
      <c r="AB905" s="665"/>
      <c r="AC905" s="665"/>
      <c r="AD905" s="665"/>
      <c r="AE905" s="665"/>
      <c r="AF905" s="649"/>
      <c r="AG905" s="650"/>
      <c r="AH905" s="650"/>
      <c r="AI905" s="667"/>
    </row>
    <row r="906" spans="12:35" ht="45" customHeight="1" thickBot="1" x14ac:dyDescent="0.25">
      <c r="L906" s="645"/>
      <c r="M906" s="616"/>
      <c r="N906" s="616"/>
      <c r="O906" s="616"/>
      <c r="P906" s="615"/>
      <c r="Q906" s="616"/>
      <c r="R906" s="663"/>
      <c r="S906" s="459"/>
      <c r="T906" s="459"/>
      <c r="U906" s="459"/>
      <c r="V906" s="459"/>
      <c r="W906" s="459"/>
      <c r="X906" s="459"/>
      <c r="Y906" s="666"/>
      <c r="Z906" s="664"/>
      <c r="AA906" s="665"/>
      <c r="AB906" s="665"/>
      <c r="AC906" s="665"/>
      <c r="AD906" s="665"/>
      <c r="AE906" s="665"/>
      <c r="AF906" s="649"/>
      <c r="AG906" s="650"/>
      <c r="AH906" s="650"/>
      <c r="AI906" s="667"/>
    </row>
    <row r="907" spans="12:35" ht="45" customHeight="1" thickBot="1" x14ac:dyDescent="0.25">
      <c r="L907" s="645"/>
      <c r="M907" s="616"/>
      <c r="N907" s="616"/>
      <c r="O907" s="616"/>
      <c r="P907" s="615"/>
      <c r="Q907" s="616"/>
      <c r="R907" s="663"/>
      <c r="S907" s="459"/>
      <c r="T907" s="459"/>
      <c r="U907" s="459"/>
      <c r="V907" s="459"/>
      <c r="W907" s="459"/>
      <c r="X907" s="459"/>
      <c r="Y907" s="666"/>
      <c r="Z907" s="664"/>
      <c r="AA907" s="665"/>
      <c r="AB907" s="665"/>
      <c r="AC907" s="665"/>
      <c r="AD907" s="665"/>
      <c r="AE907" s="665"/>
      <c r="AF907" s="649"/>
      <c r="AG907" s="650"/>
      <c r="AH907" s="650"/>
      <c r="AI907" s="667"/>
    </row>
    <row r="908" spans="12:35" ht="45" customHeight="1" thickBot="1" x14ac:dyDescent="0.25">
      <c r="L908" s="645"/>
      <c r="M908" s="616"/>
      <c r="N908" s="616"/>
      <c r="O908" s="616"/>
      <c r="P908" s="615"/>
      <c r="Q908" s="616"/>
      <c r="R908" s="663"/>
      <c r="S908" s="459"/>
      <c r="T908" s="459"/>
      <c r="U908" s="459"/>
      <c r="V908" s="459"/>
      <c r="W908" s="459"/>
      <c r="X908" s="459"/>
      <c r="Y908" s="666"/>
      <c r="Z908" s="664"/>
      <c r="AA908" s="665"/>
      <c r="AB908" s="665"/>
      <c r="AC908" s="665"/>
      <c r="AD908" s="665"/>
      <c r="AE908" s="665"/>
      <c r="AF908" s="649"/>
      <c r="AG908" s="650"/>
      <c r="AH908" s="650"/>
      <c r="AI908" s="667"/>
    </row>
    <row r="909" spans="12:35" ht="45" customHeight="1" thickBot="1" x14ac:dyDescent="0.25">
      <c r="L909" s="645"/>
      <c r="M909" s="616"/>
      <c r="N909" s="616"/>
      <c r="O909" s="616"/>
      <c r="P909" s="615"/>
      <c r="Q909" s="616"/>
      <c r="R909" s="663"/>
      <c r="S909" s="459"/>
      <c r="T909" s="459"/>
      <c r="U909" s="459"/>
      <c r="V909" s="459"/>
      <c r="W909" s="459"/>
      <c r="X909" s="459"/>
      <c r="Y909" s="666"/>
      <c r="Z909" s="664"/>
      <c r="AA909" s="665"/>
      <c r="AB909" s="665"/>
      <c r="AC909" s="665"/>
      <c r="AD909" s="665"/>
      <c r="AE909" s="665"/>
      <c r="AF909" s="649"/>
      <c r="AG909" s="650"/>
      <c r="AH909" s="650"/>
      <c r="AI909" s="667"/>
    </row>
    <row r="910" spans="12:35" ht="45" customHeight="1" thickBot="1" x14ac:dyDescent="0.25">
      <c r="L910" s="645"/>
      <c r="M910" s="616"/>
      <c r="N910" s="616"/>
      <c r="O910" s="616"/>
      <c r="P910" s="615"/>
      <c r="Q910" s="616"/>
      <c r="R910" s="663"/>
      <c r="S910" s="459"/>
      <c r="T910" s="459"/>
      <c r="U910" s="459"/>
      <c r="V910" s="459"/>
      <c r="W910" s="459"/>
      <c r="X910" s="459"/>
      <c r="Y910" s="666"/>
      <c r="Z910" s="664"/>
      <c r="AA910" s="665"/>
      <c r="AB910" s="665"/>
      <c r="AC910" s="665"/>
      <c r="AD910" s="665"/>
      <c r="AE910" s="665"/>
      <c r="AF910" s="649"/>
      <c r="AG910" s="650"/>
      <c r="AH910" s="650"/>
      <c r="AI910" s="667"/>
    </row>
    <row r="911" spans="12:35" ht="45" customHeight="1" thickBot="1" x14ac:dyDescent="0.25">
      <c r="L911" s="645"/>
      <c r="M911" s="616"/>
      <c r="N911" s="616"/>
      <c r="O911" s="616"/>
      <c r="P911" s="615"/>
      <c r="Q911" s="616"/>
      <c r="R911" s="663"/>
      <c r="S911" s="459"/>
      <c r="T911" s="459"/>
      <c r="U911" s="459"/>
      <c r="V911" s="459"/>
      <c r="W911" s="459"/>
      <c r="X911" s="459"/>
      <c r="Y911" s="666"/>
      <c r="Z911" s="664"/>
      <c r="AA911" s="665"/>
      <c r="AB911" s="665"/>
      <c r="AC911" s="665"/>
      <c r="AD911" s="665"/>
      <c r="AE911" s="665"/>
      <c r="AF911" s="649"/>
      <c r="AG911" s="650"/>
      <c r="AH911" s="650"/>
      <c r="AI911" s="667"/>
    </row>
    <row r="912" spans="12:35" ht="45" customHeight="1" thickBot="1" x14ac:dyDescent="0.25">
      <c r="L912" s="645"/>
      <c r="M912" s="616"/>
      <c r="N912" s="616"/>
      <c r="O912" s="616"/>
      <c r="P912" s="615"/>
      <c r="Q912" s="616"/>
      <c r="R912" s="663"/>
      <c r="S912" s="459"/>
      <c r="T912" s="459"/>
      <c r="U912" s="459"/>
      <c r="V912" s="459"/>
      <c r="W912" s="459"/>
      <c r="X912" s="459"/>
      <c r="Y912" s="666"/>
      <c r="Z912" s="664"/>
      <c r="AA912" s="665"/>
      <c r="AB912" s="665"/>
      <c r="AC912" s="665"/>
      <c r="AD912" s="665"/>
      <c r="AE912" s="665"/>
      <c r="AF912" s="649"/>
      <c r="AG912" s="650"/>
      <c r="AH912" s="650"/>
      <c r="AI912" s="667"/>
    </row>
    <row r="913" spans="12:35" ht="45" customHeight="1" thickBot="1" x14ac:dyDescent="0.25">
      <c r="L913" s="645"/>
      <c r="M913" s="616"/>
      <c r="N913" s="616"/>
      <c r="O913" s="616"/>
      <c r="P913" s="615"/>
      <c r="Q913" s="616"/>
      <c r="R913" s="663"/>
      <c r="S913" s="459"/>
      <c r="T913" s="459"/>
      <c r="U913" s="459"/>
      <c r="V913" s="459"/>
      <c r="W913" s="459"/>
      <c r="X913" s="459"/>
      <c r="Y913" s="666"/>
      <c r="Z913" s="664"/>
      <c r="AA913" s="665"/>
      <c r="AB913" s="665"/>
      <c r="AC913" s="665"/>
      <c r="AD913" s="665"/>
      <c r="AE913" s="665"/>
      <c r="AF913" s="649"/>
      <c r="AG913" s="650"/>
      <c r="AH913" s="650"/>
      <c r="AI913" s="667"/>
    </row>
    <row r="914" spans="12:35" ht="45" customHeight="1" thickBot="1" x14ac:dyDescent="0.25">
      <c r="L914" s="645"/>
      <c r="M914" s="616"/>
      <c r="N914" s="616"/>
      <c r="O914" s="616"/>
      <c r="P914" s="615"/>
      <c r="Q914" s="616"/>
      <c r="R914" s="663"/>
      <c r="S914" s="459"/>
      <c r="T914" s="459"/>
      <c r="U914" s="459"/>
      <c r="V914" s="459"/>
      <c r="W914" s="459"/>
      <c r="X914" s="459"/>
      <c r="Y914" s="666"/>
      <c r="Z914" s="664"/>
      <c r="AA914" s="665"/>
      <c r="AB914" s="665"/>
      <c r="AC914" s="665"/>
      <c r="AD914" s="665"/>
      <c r="AE914" s="665"/>
      <c r="AF914" s="649"/>
      <c r="AG914" s="650"/>
      <c r="AH914" s="650"/>
      <c r="AI914" s="667"/>
    </row>
    <row r="915" spans="12:35" ht="45" customHeight="1" thickBot="1" x14ac:dyDescent="0.25">
      <c r="L915" s="645"/>
      <c r="M915" s="616"/>
      <c r="N915" s="616"/>
      <c r="O915" s="616"/>
      <c r="P915" s="615"/>
      <c r="Q915" s="616"/>
      <c r="R915" s="663"/>
      <c r="S915" s="459"/>
      <c r="T915" s="459"/>
      <c r="U915" s="459"/>
      <c r="V915" s="459"/>
      <c r="W915" s="459"/>
      <c r="X915" s="459"/>
      <c r="Y915" s="666"/>
      <c r="Z915" s="664"/>
      <c r="AA915" s="665"/>
      <c r="AB915" s="665"/>
      <c r="AC915" s="665"/>
      <c r="AD915" s="665"/>
      <c r="AE915" s="665"/>
      <c r="AF915" s="649"/>
      <c r="AG915" s="650"/>
      <c r="AH915" s="650"/>
      <c r="AI915" s="667"/>
    </row>
    <row r="916" spans="12:35" ht="45" customHeight="1" thickBot="1" x14ac:dyDescent="0.25">
      <c r="L916" s="645"/>
      <c r="M916" s="616"/>
      <c r="N916" s="616"/>
      <c r="O916" s="616"/>
      <c r="P916" s="615"/>
      <c r="Q916" s="616"/>
      <c r="R916" s="663"/>
      <c r="S916" s="459"/>
      <c r="T916" s="459"/>
      <c r="U916" s="459"/>
      <c r="V916" s="459"/>
      <c r="W916" s="459"/>
      <c r="X916" s="459"/>
      <c r="Y916" s="666"/>
      <c r="Z916" s="664"/>
      <c r="AA916" s="665"/>
      <c r="AB916" s="665"/>
      <c r="AC916" s="665"/>
      <c r="AD916" s="665"/>
      <c r="AE916" s="665"/>
      <c r="AF916" s="649"/>
      <c r="AG916" s="650"/>
      <c r="AH916" s="650"/>
      <c r="AI916" s="667"/>
    </row>
    <row r="917" spans="12:35" ht="45" customHeight="1" thickBot="1" x14ac:dyDescent="0.25">
      <c r="L917" s="645"/>
      <c r="M917" s="616"/>
      <c r="N917" s="616"/>
      <c r="O917" s="616"/>
      <c r="P917" s="615"/>
      <c r="Q917" s="616"/>
      <c r="R917" s="663"/>
      <c r="S917" s="459"/>
      <c r="T917" s="459"/>
      <c r="U917" s="459"/>
      <c r="V917" s="459"/>
      <c r="W917" s="459"/>
      <c r="X917" s="459"/>
      <c r="Y917" s="666"/>
      <c r="Z917" s="664"/>
      <c r="AA917" s="665"/>
      <c r="AB917" s="665"/>
      <c r="AC917" s="665"/>
      <c r="AD917" s="665"/>
      <c r="AE917" s="665"/>
      <c r="AF917" s="649"/>
      <c r="AG917" s="650"/>
      <c r="AH917" s="650"/>
      <c r="AI917" s="667"/>
    </row>
    <row r="918" spans="12:35" ht="45" customHeight="1" thickBot="1" x14ac:dyDescent="0.25">
      <c r="L918" s="645"/>
      <c r="M918" s="616"/>
      <c r="N918" s="616"/>
      <c r="O918" s="616"/>
      <c r="P918" s="615"/>
      <c r="Q918" s="616"/>
      <c r="R918" s="663"/>
      <c r="S918" s="459"/>
      <c r="T918" s="459"/>
      <c r="U918" s="459"/>
      <c r="V918" s="459"/>
      <c r="W918" s="459"/>
      <c r="X918" s="459"/>
      <c r="Y918" s="666"/>
      <c r="Z918" s="664"/>
      <c r="AA918" s="665"/>
      <c r="AB918" s="665"/>
      <c r="AC918" s="665"/>
      <c r="AD918" s="665"/>
      <c r="AE918" s="665"/>
      <c r="AF918" s="649"/>
      <c r="AG918" s="650"/>
      <c r="AH918" s="650"/>
      <c r="AI918" s="667"/>
    </row>
    <row r="919" spans="12:35" ht="45" customHeight="1" thickBot="1" x14ac:dyDescent="0.25">
      <c r="L919" s="645"/>
      <c r="M919" s="616"/>
      <c r="N919" s="616"/>
      <c r="O919" s="616"/>
      <c r="P919" s="615"/>
      <c r="Q919" s="616"/>
      <c r="R919" s="663"/>
      <c r="S919" s="459"/>
      <c r="T919" s="459"/>
      <c r="U919" s="459"/>
      <c r="V919" s="459"/>
      <c r="W919" s="459"/>
      <c r="X919" s="459"/>
      <c r="Y919" s="666"/>
      <c r="Z919" s="664"/>
      <c r="AA919" s="665"/>
      <c r="AB919" s="665"/>
      <c r="AC919" s="665"/>
      <c r="AD919" s="665"/>
      <c r="AE919" s="665"/>
      <c r="AF919" s="649"/>
      <c r="AG919" s="650"/>
      <c r="AH919" s="650"/>
      <c r="AI919" s="667"/>
    </row>
    <row r="920" spans="12:35" ht="45" customHeight="1" thickBot="1" x14ac:dyDescent="0.25">
      <c r="L920" s="645"/>
      <c r="M920" s="616"/>
      <c r="N920" s="616"/>
      <c r="O920" s="616"/>
      <c r="P920" s="615"/>
      <c r="Q920" s="616"/>
      <c r="R920" s="663"/>
      <c r="S920" s="459"/>
      <c r="T920" s="459"/>
      <c r="U920" s="459"/>
      <c r="V920" s="459"/>
      <c r="W920" s="459"/>
      <c r="X920" s="459"/>
      <c r="Y920" s="666"/>
      <c r="Z920" s="664"/>
      <c r="AA920" s="665"/>
      <c r="AB920" s="665"/>
      <c r="AC920" s="665"/>
      <c r="AD920" s="665"/>
      <c r="AE920" s="665"/>
      <c r="AF920" s="649"/>
      <c r="AG920" s="650"/>
      <c r="AH920" s="650"/>
      <c r="AI920" s="667"/>
    </row>
    <row r="921" spans="12:35" ht="45" customHeight="1" thickBot="1" x14ac:dyDescent="0.25">
      <c r="L921" s="645"/>
      <c r="M921" s="616"/>
      <c r="N921" s="616"/>
      <c r="O921" s="616"/>
      <c r="P921" s="615"/>
      <c r="Q921" s="616"/>
      <c r="R921" s="663"/>
      <c r="S921" s="459"/>
      <c r="T921" s="459"/>
      <c r="U921" s="459"/>
      <c r="V921" s="459"/>
      <c r="W921" s="459"/>
      <c r="X921" s="459"/>
      <c r="Y921" s="666"/>
      <c r="Z921" s="664"/>
      <c r="AA921" s="665"/>
      <c r="AB921" s="665"/>
      <c r="AC921" s="665"/>
      <c r="AD921" s="665"/>
      <c r="AE921" s="665"/>
      <c r="AF921" s="649"/>
      <c r="AG921" s="650"/>
      <c r="AH921" s="650"/>
      <c r="AI921" s="667"/>
    </row>
    <row r="922" spans="12:35" ht="45" customHeight="1" thickBot="1" x14ac:dyDescent="0.25">
      <c r="L922" s="645"/>
      <c r="M922" s="616"/>
      <c r="N922" s="616"/>
      <c r="O922" s="616"/>
      <c r="P922" s="615"/>
      <c r="Q922" s="616"/>
      <c r="R922" s="663"/>
      <c r="S922" s="459"/>
      <c r="T922" s="459"/>
      <c r="U922" s="459"/>
      <c r="V922" s="459"/>
      <c r="W922" s="459"/>
      <c r="X922" s="459"/>
      <c r="Y922" s="666"/>
      <c r="Z922" s="664"/>
      <c r="AA922" s="665"/>
      <c r="AB922" s="665"/>
      <c r="AC922" s="665"/>
      <c r="AD922" s="665"/>
      <c r="AE922" s="665"/>
      <c r="AF922" s="649"/>
      <c r="AG922" s="650"/>
      <c r="AH922" s="650"/>
      <c r="AI922" s="667"/>
    </row>
    <row r="923" spans="12:35" ht="45" customHeight="1" thickBot="1" x14ac:dyDescent="0.25">
      <c r="L923" s="645"/>
      <c r="M923" s="616"/>
      <c r="N923" s="616"/>
      <c r="O923" s="616"/>
      <c r="P923" s="615"/>
      <c r="Q923" s="616"/>
      <c r="R923" s="663"/>
      <c r="S923" s="459"/>
      <c r="T923" s="459"/>
      <c r="U923" s="459"/>
      <c r="V923" s="459"/>
      <c r="W923" s="459"/>
      <c r="X923" s="459"/>
      <c r="Y923" s="666"/>
      <c r="Z923" s="664"/>
      <c r="AA923" s="665"/>
      <c r="AB923" s="665"/>
      <c r="AC923" s="665"/>
      <c r="AD923" s="665"/>
      <c r="AE923" s="665"/>
      <c r="AF923" s="649"/>
      <c r="AG923" s="650"/>
      <c r="AH923" s="650"/>
      <c r="AI923" s="667"/>
    </row>
    <row r="924" spans="12:35" ht="45" customHeight="1" thickBot="1" x14ac:dyDescent="0.25">
      <c r="L924" s="645"/>
      <c r="M924" s="616"/>
      <c r="N924" s="616"/>
      <c r="O924" s="616"/>
      <c r="P924" s="615"/>
      <c r="Q924" s="616"/>
      <c r="R924" s="663"/>
      <c r="S924" s="459"/>
      <c r="T924" s="459"/>
      <c r="U924" s="459"/>
      <c r="V924" s="459"/>
      <c r="W924" s="459"/>
      <c r="X924" s="459"/>
      <c r="Y924" s="666"/>
      <c r="Z924" s="664"/>
      <c r="AA924" s="665"/>
      <c r="AB924" s="665"/>
      <c r="AC924" s="665"/>
      <c r="AD924" s="665"/>
      <c r="AE924" s="665"/>
      <c r="AF924" s="649"/>
      <c r="AG924" s="650"/>
      <c r="AH924" s="650"/>
      <c r="AI924" s="667"/>
    </row>
    <row r="925" spans="12:35" ht="45" customHeight="1" thickBot="1" x14ac:dyDescent="0.25">
      <c r="L925" s="645"/>
      <c r="M925" s="616"/>
      <c r="N925" s="616"/>
      <c r="O925" s="616"/>
      <c r="P925" s="615"/>
      <c r="Q925" s="616"/>
      <c r="R925" s="663"/>
      <c r="S925" s="459"/>
      <c r="T925" s="459"/>
      <c r="U925" s="459"/>
      <c r="V925" s="459"/>
      <c r="W925" s="459"/>
      <c r="X925" s="459"/>
      <c r="Y925" s="666"/>
      <c r="Z925" s="664"/>
      <c r="AA925" s="665"/>
      <c r="AB925" s="665"/>
      <c r="AC925" s="665"/>
      <c r="AD925" s="665"/>
      <c r="AE925" s="665"/>
      <c r="AF925" s="649"/>
      <c r="AG925" s="650"/>
      <c r="AH925" s="650"/>
      <c r="AI925" s="667"/>
    </row>
    <row r="926" spans="12:35" ht="45" customHeight="1" thickBot="1" x14ac:dyDescent="0.25">
      <c r="L926" s="645"/>
      <c r="M926" s="616"/>
      <c r="N926" s="616"/>
      <c r="O926" s="616"/>
      <c r="P926" s="615"/>
      <c r="Q926" s="616"/>
      <c r="R926" s="663"/>
      <c r="S926" s="459"/>
      <c r="T926" s="459"/>
      <c r="U926" s="459"/>
      <c r="V926" s="459"/>
      <c r="W926" s="459"/>
      <c r="X926" s="459"/>
      <c r="Y926" s="666"/>
      <c r="Z926" s="664"/>
      <c r="AA926" s="665"/>
      <c r="AB926" s="665"/>
      <c r="AC926" s="665"/>
      <c r="AD926" s="665"/>
      <c r="AE926" s="665"/>
      <c r="AF926" s="649"/>
      <c r="AG926" s="650"/>
      <c r="AH926" s="650"/>
      <c r="AI926" s="667"/>
    </row>
    <row r="927" spans="12:35" ht="45" customHeight="1" thickBot="1" x14ac:dyDescent="0.25">
      <c r="L927" s="645"/>
      <c r="M927" s="616"/>
      <c r="N927" s="616"/>
      <c r="O927" s="616"/>
      <c r="P927" s="615"/>
      <c r="Q927" s="616"/>
      <c r="R927" s="663"/>
      <c r="S927" s="459"/>
      <c r="T927" s="459"/>
      <c r="U927" s="459"/>
      <c r="V927" s="459"/>
      <c r="W927" s="459"/>
      <c r="X927" s="459"/>
      <c r="Y927" s="666"/>
      <c r="Z927" s="664"/>
      <c r="AA927" s="665"/>
      <c r="AB927" s="665"/>
      <c r="AC927" s="665"/>
      <c r="AD927" s="665"/>
      <c r="AE927" s="665"/>
      <c r="AF927" s="649"/>
      <c r="AG927" s="650"/>
      <c r="AH927" s="650"/>
      <c r="AI927" s="667"/>
    </row>
    <row r="928" spans="12:35" ht="45" customHeight="1" thickBot="1" x14ac:dyDescent="0.25">
      <c r="L928" s="645"/>
      <c r="M928" s="616"/>
      <c r="N928" s="616"/>
      <c r="O928" s="616"/>
      <c r="P928" s="615"/>
      <c r="Q928" s="616"/>
      <c r="R928" s="663"/>
      <c r="S928" s="459"/>
      <c r="T928" s="459"/>
      <c r="U928" s="459"/>
      <c r="V928" s="459"/>
      <c r="W928" s="459"/>
      <c r="X928" s="459"/>
      <c r="Y928" s="666"/>
      <c r="Z928" s="664"/>
      <c r="AA928" s="665"/>
      <c r="AB928" s="665"/>
      <c r="AC928" s="665"/>
      <c r="AD928" s="665"/>
      <c r="AE928" s="665"/>
      <c r="AF928" s="649"/>
      <c r="AG928" s="650"/>
      <c r="AH928" s="650"/>
      <c r="AI928" s="667"/>
    </row>
    <row r="929" spans="12:35" ht="45" customHeight="1" thickBot="1" x14ac:dyDescent="0.25">
      <c r="L929" s="645"/>
      <c r="M929" s="616"/>
      <c r="N929" s="616"/>
      <c r="O929" s="616"/>
      <c r="P929" s="615"/>
      <c r="Q929" s="616"/>
      <c r="R929" s="663"/>
      <c r="S929" s="459"/>
      <c r="T929" s="459"/>
      <c r="U929" s="459"/>
      <c r="V929" s="459"/>
      <c r="W929" s="459"/>
      <c r="X929" s="459"/>
      <c r="Y929" s="666"/>
      <c r="Z929" s="664"/>
      <c r="AA929" s="665"/>
      <c r="AB929" s="665"/>
      <c r="AC929" s="665"/>
      <c r="AD929" s="665"/>
      <c r="AE929" s="665"/>
      <c r="AF929" s="649"/>
      <c r="AG929" s="650"/>
      <c r="AH929" s="650"/>
      <c r="AI929" s="667"/>
    </row>
    <row r="930" spans="12:35" ht="45" customHeight="1" thickBot="1" x14ac:dyDescent="0.25">
      <c r="L930" s="645"/>
      <c r="M930" s="616"/>
      <c r="N930" s="616"/>
      <c r="O930" s="616"/>
      <c r="P930" s="615"/>
      <c r="Q930" s="616"/>
      <c r="R930" s="663"/>
      <c r="S930" s="459"/>
      <c r="T930" s="459"/>
      <c r="U930" s="459"/>
      <c r="V930" s="459"/>
      <c r="W930" s="459"/>
      <c r="X930" s="459"/>
      <c r="Y930" s="666"/>
      <c r="Z930" s="664"/>
      <c r="AA930" s="665"/>
      <c r="AB930" s="665"/>
      <c r="AC930" s="665"/>
      <c r="AD930" s="665"/>
      <c r="AE930" s="665"/>
      <c r="AF930" s="649"/>
      <c r="AG930" s="650"/>
      <c r="AH930" s="650"/>
      <c r="AI930" s="667"/>
    </row>
    <row r="931" spans="12:35" ht="45" customHeight="1" thickBot="1" x14ac:dyDescent="0.25">
      <c r="L931" s="645"/>
      <c r="M931" s="616"/>
      <c r="N931" s="616"/>
      <c r="O931" s="616"/>
      <c r="P931" s="615"/>
      <c r="Q931" s="616"/>
      <c r="R931" s="663"/>
      <c r="S931" s="459"/>
      <c r="T931" s="459"/>
      <c r="U931" s="459"/>
      <c r="V931" s="459"/>
      <c r="W931" s="459"/>
      <c r="X931" s="459"/>
      <c r="Y931" s="666"/>
      <c r="Z931" s="664"/>
      <c r="AA931" s="665"/>
      <c r="AB931" s="665"/>
      <c r="AC931" s="665"/>
      <c r="AD931" s="665"/>
      <c r="AE931" s="665"/>
      <c r="AF931" s="649"/>
      <c r="AG931" s="650"/>
      <c r="AH931" s="650"/>
      <c r="AI931" s="667"/>
    </row>
    <row r="932" spans="12:35" ht="45" customHeight="1" thickBot="1" x14ac:dyDescent="0.25">
      <c r="L932" s="645"/>
      <c r="M932" s="616"/>
      <c r="N932" s="616"/>
      <c r="O932" s="616"/>
      <c r="P932" s="615"/>
      <c r="Q932" s="616"/>
      <c r="R932" s="663"/>
      <c r="S932" s="459"/>
      <c r="T932" s="459"/>
      <c r="U932" s="459"/>
      <c r="V932" s="459"/>
      <c r="W932" s="459"/>
      <c r="X932" s="459"/>
      <c r="Y932" s="666"/>
      <c r="Z932" s="664"/>
      <c r="AA932" s="665"/>
      <c r="AB932" s="665"/>
      <c r="AC932" s="665"/>
      <c r="AD932" s="665"/>
      <c r="AE932" s="665"/>
      <c r="AF932" s="649"/>
      <c r="AG932" s="650"/>
      <c r="AH932" s="650"/>
      <c r="AI932" s="667"/>
    </row>
    <row r="933" spans="12:35" ht="45" customHeight="1" thickBot="1" x14ac:dyDescent="0.25">
      <c r="L933" s="645"/>
      <c r="M933" s="616"/>
      <c r="N933" s="616"/>
      <c r="O933" s="616"/>
      <c r="P933" s="615"/>
      <c r="Q933" s="616"/>
      <c r="R933" s="663"/>
      <c r="S933" s="459"/>
      <c r="T933" s="459"/>
      <c r="U933" s="459"/>
      <c r="V933" s="459"/>
      <c r="W933" s="459"/>
      <c r="X933" s="459"/>
      <c r="Y933" s="666"/>
      <c r="Z933" s="664"/>
      <c r="AA933" s="665"/>
      <c r="AB933" s="665"/>
      <c r="AC933" s="665"/>
      <c r="AD933" s="665"/>
      <c r="AE933" s="665"/>
      <c r="AF933" s="649"/>
      <c r="AG933" s="650"/>
      <c r="AH933" s="650"/>
      <c r="AI933" s="667"/>
    </row>
    <row r="934" spans="12:35" ht="45" customHeight="1" thickBot="1" x14ac:dyDescent="0.25">
      <c r="L934" s="645"/>
      <c r="M934" s="616"/>
      <c r="N934" s="616"/>
      <c r="O934" s="616"/>
      <c r="P934" s="615"/>
      <c r="Q934" s="616"/>
      <c r="R934" s="663"/>
      <c r="S934" s="459"/>
      <c r="T934" s="459"/>
      <c r="U934" s="459"/>
      <c r="V934" s="459"/>
      <c r="W934" s="459"/>
      <c r="X934" s="459"/>
      <c r="Y934" s="666"/>
      <c r="Z934" s="664"/>
      <c r="AA934" s="665"/>
      <c r="AB934" s="665"/>
      <c r="AC934" s="665"/>
      <c r="AD934" s="665"/>
      <c r="AE934" s="665"/>
      <c r="AF934" s="649"/>
      <c r="AG934" s="650"/>
      <c r="AH934" s="650"/>
      <c r="AI934" s="667"/>
    </row>
    <row r="935" spans="12:35" ht="45" customHeight="1" thickBot="1" x14ac:dyDescent="0.25">
      <c r="L935" s="645"/>
      <c r="M935" s="616"/>
      <c r="N935" s="616"/>
      <c r="O935" s="616"/>
      <c r="P935" s="615"/>
      <c r="Q935" s="616"/>
      <c r="R935" s="663"/>
      <c r="S935" s="459"/>
      <c r="T935" s="459"/>
      <c r="U935" s="459"/>
      <c r="V935" s="459"/>
      <c r="W935" s="459"/>
      <c r="X935" s="459"/>
      <c r="Y935" s="666"/>
      <c r="Z935" s="664"/>
      <c r="AA935" s="665"/>
      <c r="AB935" s="665"/>
      <c r="AC935" s="665"/>
      <c r="AD935" s="665"/>
      <c r="AE935" s="665"/>
      <c r="AF935" s="649"/>
      <c r="AG935" s="650"/>
      <c r="AH935" s="650"/>
      <c r="AI935" s="667"/>
    </row>
    <row r="936" spans="12:35" ht="45" customHeight="1" thickBot="1" x14ac:dyDescent="0.25">
      <c r="L936" s="645"/>
      <c r="M936" s="616"/>
      <c r="N936" s="616"/>
      <c r="O936" s="616"/>
      <c r="P936" s="615"/>
      <c r="Q936" s="616"/>
      <c r="R936" s="663"/>
      <c r="S936" s="459"/>
      <c r="T936" s="459"/>
      <c r="U936" s="459"/>
      <c r="V936" s="459"/>
      <c r="W936" s="459"/>
      <c r="X936" s="459"/>
      <c r="Y936" s="666"/>
      <c r="Z936" s="664"/>
      <c r="AA936" s="665"/>
      <c r="AB936" s="665"/>
      <c r="AC936" s="665"/>
      <c r="AD936" s="665"/>
      <c r="AE936" s="665"/>
      <c r="AF936" s="649"/>
      <c r="AG936" s="650"/>
      <c r="AH936" s="650"/>
      <c r="AI936" s="667"/>
    </row>
    <row r="937" spans="12:35" ht="45" customHeight="1" thickBot="1" x14ac:dyDescent="0.25">
      <c r="L937" s="645"/>
      <c r="M937" s="616"/>
      <c r="N937" s="616"/>
      <c r="O937" s="616"/>
      <c r="P937" s="615"/>
      <c r="Q937" s="616"/>
      <c r="R937" s="663"/>
      <c r="S937" s="459"/>
      <c r="T937" s="459"/>
      <c r="U937" s="459"/>
      <c r="V937" s="459"/>
      <c r="W937" s="459"/>
      <c r="X937" s="459"/>
      <c r="Y937" s="666"/>
      <c r="Z937" s="664"/>
      <c r="AA937" s="665"/>
      <c r="AB937" s="665"/>
      <c r="AC937" s="665"/>
      <c r="AD937" s="665"/>
      <c r="AE937" s="665"/>
      <c r="AF937" s="649"/>
      <c r="AG937" s="650"/>
      <c r="AH937" s="650"/>
      <c r="AI937" s="667"/>
    </row>
    <row r="938" spans="12:35" ht="45" customHeight="1" thickBot="1" x14ac:dyDescent="0.25">
      <c r="L938" s="645"/>
      <c r="M938" s="616"/>
      <c r="N938" s="616"/>
      <c r="O938" s="616"/>
      <c r="P938" s="615"/>
      <c r="Q938" s="616"/>
      <c r="R938" s="663"/>
      <c r="S938" s="459"/>
      <c r="T938" s="459"/>
      <c r="U938" s="459"/>
      <c r="V938" s="459"/>
      <c r="W938" s="459"/>
      <c r="X938" s="459"/>
      <c r="Y938" s="666"/>
      <c r="Z938" s="664"/>
      <c r="AA938" s="665"/>
      <c r="AB938" s="665"/>
      <c r="AC938" s="665"/>
      <c r="AD938" s="665"/>
      <c r="AE938" s="665"/>
      <c r="AF938" s="649"/>
      <c r="AG938" s="650"/>
      <c r="AH938" s="650"/>
      <c r="AI938" s="667"/>
    </row>
    <row r="939" spans="12:35" ht="45" customHeight="1" thickBot="1" x14ac:dyDescent="0.25">
      <c r="L939" s="645"/>
      <c r="M939" s="616"/>
      <c r="N939" s="616"/>
      <c r="O939" s="616"/>
      <c r="P939" s="615"/>
      <c r="Q939" s="616"/>
      <c r="R939" s="663"/>
      <c r="S939" s="459"/>
      <c r="T939" s="459"/>
      <c r="U939" s="459"/>
      <c r="V939" s="459"/>
      <c r="W939" s="459"/>
      <c r="X939" s="459"/>
      <c r="Y939" s="666"/>
      <c r="Z939" s="664"/>
      <c r="AA939" s="665"/>
      <c r="AB939" s="665"/>
      <c r="AC939" s="665"/>
      <c r="AD939" s="665"/>
      <c r="AE939" s="665"/>
      <c r="AF939" s="649"/>
      <c r="AG939" s="650"/>
      <c r="AH939" s="650"/>
      <c r="AI939" s="667"/>
    </row>
    <row r="940" spans="12:35" ht="45" customHeight="1" thickBot="1" x14ac:dyDescent="0.25">
      <c r="L940" s="645"/>
      <c r="M940" s="616"/>
      <c r="N940" s="616"/>
      <c r="O940" s="616"/>
      <c r="P940" s="615"/>
      <c r="Q940" s="616"/>
      <c r="R940" s="663"/>
      <c r="S940" s="459"/>
      <c r="T940" s="459"/>
      <c r="U940" s="459"/>
      <c r="V940" s="459"/>
      <c r="W940" s="459"/>
      <c r="X940" s="459"/>
      <c r="Y940" s="666"/>
      <c r="Z940" s="664"/>
      <c r="AA940" s="665"/>
      <c r="AB940" s="665"/>
      <c r="AC940" s="665"/>
      <c r="AD940" s="665"/>
      <c r="AE940" s="665"/>
      <c r="AF940" s="649"/>
      <c r="AG940" s="650"/>
      <c r="AH940" s="650"/>
      <c r="AI940" s="667"/>
    </row>
    <row r="941" spans="12:35" ht="45" customHeight="1" thickBot="1" x14ac:dyDescent="0.25">
      <c r="L941" s="645"/>
      <c r="M941" s="616"/>
      <c r="N941" s="616"/>
      <c r="O941" s="616"/>
      <c r="P941" s="615"/>
      <c r="Q941" s="616"/>
      <c r="R941" s="663"/>
      <c r="S941" s="459"/>
      <c r="T941" s="459"/>
      <c r="U941" s="459"/>
      <c r="V941" s="459"/>
      <c r="W941" s="459"/>
      <c r="X941" s="459"/>
      <c r="Y941" s="666"/>
      <c r="Z941" s="664"/>
      <c r="AA941" s="665"/>
      <c r="AB941" s="665"/>
      <c r="AC941" s="665"/>
      <c r="AD941" s="665"/>
      <c r="AE941" s="665"/>
      <c r="AF941" s="649"/>
      <c r="AG941" s="650"/>
      <c r="AH941" s="650"/>
      <c r="AI941" s="667"/>
    </row>
    <row r="942" spans="12:35" ht="45" customHeight="1" thickBot="1" x14ac:dyDescent="0.25">
      <c r="L942" s="645"/>
      <c r="M942" s="616"/>
      <c r="N942" s="616"/>
      <c r="O942" s="616"/>
      <c r="P942" s="615"/>
      <c r="Q942" s="616"/>
      <c r="R942" s="663"/>
      <c r="S942" s="459"/>
      <c r="T942" s="459"/>
      <c r="U942" s="459"/>
      <c r="V942" s="459"/>
      <c r="W942" s="459"/>
      <c r="X942" s="459"/>
      <c r="Y942" s="666"/>
      <c r="Z942" s="664"/>
      <c r="AA942" s="665"/>
      <c r="AB942" s="665"/>
      <c r="AC942" s="665"/>
      <c r="AD942" s="665"/>
      <c r="AE942" s="665"/>
      <c r="AF942" s="649"/>
      <c r="AG942" s="650"/>
      <c r="AH942" s="650"/>
      <c r="AI942" s="667"/>
    </row>
    <row r="943" spans="12:35" ht="45" customHeight="1" thickBot="1" x14ac:dyDescent="0.25">
      <c r="L943" s="645"/>
      <c r="M943" s="616"/>
      <c r="N943" s="616"/>
      <c r="O943" s="616"/>
      <c r="P943" s="615"/>
      <c r="Q943" s="616"/>
      <c r="R943" s="663"/>
      <c r="S943" s="459"/>
      <c r="T943" s="459"/>
      <c r="U943" s="459"/>
      <c r="V943" s="459"/>
      <c r="W943" s="459"/>
      <c r="X943" s="459"/>
      <c r="Y943" s="666"/>
      <c r="Z943" s="664"/>
      <c r="AA943" s="665"/>
      <c r="AB943" s="665"/>
      <c r="AC943" s="665"/>
      <c r="AD943" s="665"/>
      <c r="AE943" s="665"/>
      <c r="AF943" s="649"/>
      <c r="AG943" s="650"/>
      <c r="AH943" s="650"/>
      <c r="AI943" s="667"/>
    </row>
    <row r="944" spans="12:35" ht="45" customHeight="1" thickBot="1" x14ac:dyDescent="0.25">
      <c r="L944" s="645"/>
      <c r="M944" s="616"/>
      <c r="N944" s="616"/>
      <c r="O944" s="616"/>
      <c r="P944" s="615"/>
      <c r="Q944" s="616"/>
      <c r="R944" s="663"/>
      <c r="S944" s="459"/>
      <c r="T944" s="459"/>
      <c r="U944" s="459"/>
      <c r="V944" s="459"/>
      <c r="W944" s="459"/>
      <c r="X944" s="459"/>
      <c r="Y944" s="666"/>
      <c r="Z944" s="664"/>
      <c r="AA944" s="665"/>
      <c r="AB944" s="665"/>
      <c r="AC944" s="665"/>
      <c r="AD944" s="665"/>
      <c r="AE944" s="665"/>
      <c r="AF944" s="649"/>
      <c r="AG944" s="650"/>
      <c r="AH944" s="650"/>
      <c r="AI944" s="667"/>
    </row>
    <row r="945" spans="12:35" ht="45" customHeight="1" thickBot="1" x14ac:dyDescent="0.25">
      <c r="L945" s="645"/>
      <c r="M945" s="616"/>
      <c r="N945" s="616"/>
      <c r="O945" s="616"/>
      <c r="P945" s="615"/>
      <c r="Q945" s="616"/>
      <c r="R945" s="663"/>
      <c r="S945" s="459"/>
      <c r="T945" s="459"/>
      <c r="U945" s="459"/>
      <c r="V945" s="459"/>
      <c r="W945" s="459"/>
      <c r="X945" s="459"/>
      <c r="Y945" s="666"/>
      <c r="Z945" s="664"/>
      <c r="AA945" s="665"/>
      <c r="AB945" s="665"/>
      <c r="AC945" s="665"/>
      <c r="AD945" s="665"/>
      <c r="AE945" s="665"/>
      <c r="AF945" s="649"/>
      <c r="AG945" s="650"/>
      <c r="AH945" s="650"/>
      <c r="AI945" s="667"/>
    </row>
    <row r="946" spans="12:35" ht="45" customHeight="1" thickBot="1" x14ac:dyDescent="0.25">
      <c r="L946" s="645"/>
      <c r="M946" s="616"/>
      <c r="N946" s="616"/>
      <c r="O946" s="616"/>
      <c r="P946" s="615"/>
      <c r="Q946" s="616"/>
      <c r="R946" s="663"/>
      <c r="S946" s="459"/>
      <c r="T946" s="459"/>
      <c r="U946" s="459"/>
      <c r="V946" s="459"/>
      <c r="W946" s="459"/>
      <c r="X946" s="459"/>
      <c r="Y946" s="666"/>
      <c r="Z946" s="664"/>
      <c r="AA946" s="665"/>
      <c r="AB946" s="665"/>
      <c r="AC946" s="665"/>
      <c r="AD946" s="665"/>
      <c r="AE946" s="665"/>
      <c r="AF946" s="649"/>
      <c r="AG946" s="650"/>
      <c r="AH946" s="650"/>
      <c r="AI946" s="667"/>
    </row>
    <row r="947" spans="12:35" ht="45" customHeight="1" thickBot="1" x14ac:dyDescent="0.25">
      <c r="L947" s="645"/>
      <c r="M947" s="616"/>
      <c r="N947" s="616"/>
      <c r="O947" s="616"/>
      <c r="P947" s="615"/>
      <c r="Q947" s="616"/>
      <c r="R947" s="663"/>
      <c r="S947" s="459"/>
      <c r="T947" s="459"/>
      <c r="U947" s="459"/>
      <c r="V947" s="459"/>
      <c r="W947" s="459"/>
      <c r="X947" s="459"/>
      <c r="Y947" s="666"/>
      <c r="Z947" s="664"/>
      <c r="AA947" s="665"/>
      <c r="AB947" s="665"/>
      <c r="AC947" s="665"/>
      <c r="AD947" s="665"/>
      <c r="AE947" s="665"/>
      <c r="AF947" s="649"/>
      <c r="AG947" s="650"/>
      <c r="AH947" s="650"/>
      <c r="AI947" s="667"/>
    </row>
    <row r="948" spans="12:35" ht="45" customHeight="1" thickBot="1" x14ac:dyDescent="0.25">
      <c r="L948" s="645"/>
      <c r="M948" s="616"/>
      <c r="N948" s="616"/>
      <c r="O948" s="616"/>
      <c r="P948" s="615"/>
      <c r="Q948" s="616"/>
      <c r="R948" s="663"/>
      <c r="S948" s="459"/>
      <c r="T948" s="459"/>
      <c r="U948" s="459"/>
      <c r="V948" s="459"/>
      <c r="W948" s="459"/>
      <c r="X948" s="459"/>
      <c r="Y948" s="666"/>
      <c r="Z948" s="664"/>
      <c r="AA948" s="665"/>
      <c r="AB948" s="665"/>
      <c r="AC948" s="665"/>
      <c r="AD948" s="665"/>
      <c r="AE948" s="665"/>
      <c r="AF948" s="649"/>
      <c r="AG948" s="650"/>
      <c r="AH948" s="650"/>
      <c r="AI948" s="667"/>
    </row>
    <row r="949" spans="12:35" ht="45" customHeight="1" thickBot="1" x14ac:dyDescent="0.25">
      <c r="L949" s="645"/>
      <c r="M949" s="616"/>
      <c r="N949" s="616"/>
      <c r="O949" s="616"/>
      <c r="P949" s="615"/>
      <c r="Q949" s="616"/>
      <c r="R949" s="663"/>
      <c r="S949" s="459"/>
      <c r="T949" s="459"/>
      <c r="U949" s="459"/>
      <c r="V949" s="459"/>
      <c r="W949" s="459"/>
      <c r="X949" s="459"/>
      <c r="Y949" s="666"/>
      <c r="Z949" s="664"/>
      <c r="AA949" s="665"/>
      <c r="AB949" s="665"/>
      <c r="AC949" s="665"/>
      <c r="AD949" s="665"/>
      <c r="AE949" s="665"/>
      <c r="AF949" s="649"/>
      <c r="AG949" s="650"/>
      <c r="AH949" s="650"/>
      <c r="AI949" s="667"/>
    </row>
    <row r="950" spans="12:35" ht="45" customHeight="1" thickBot="1" x14ac:dyDescent="0.25">
      <c r="L950" s="645"/>
      <c r="M950" s="616"/>
      <c r="N950" s="616"/>
      <c r="O950" s="616"/>
      <c r="P950" s="615"/>
      <c r="Q950" s="616"/>
      <c r="R950" s="663"/>
      <c r="S950" s="459"/>
      <c r="T950" s="459"/>
      <c r="U950" s="459"/>
      <c r="V950" s="459"/>
      <c r="W950" s="459"/>
      <c r="X950" s="459"/>
      <c r="Y950" s="666"/>
      <c r="Z950" s="664"/>
      <c r="AA950" s="665"/>
      <c r="AB950" s="665"/>
      <c r="AC950" s="665"/>
      <c r="AD950" s="665"/>
      <c r="AE950" s="665"/>
      <c r="AF950" s="649"/>
      <c r="AG950" s="650"/>
      <c r="AH950" s="650"/>
      <c r="AI950" s="667"/>
    </row>
    <row r="951" spans="12:35" ht="45" customHeight="1" thickBot="1" x14ac:dyDescent="0.25">
      <c r="L951" s="645"/>
      <c r="M951" s="616"/>
      <c r="N951" s="616"/>
      <c r="O951" s="616"/>
      <c r="P951" s="615"/>
      <c r="Q951" s="616"/>
      <c r="R951" s="663"/>
      <c r="S951" s="459"/>
      <c r="T951" s="459"/>
      <c r="U951" s="459"/>
      <c r="V951" s="459"/>
      <c r="W951" s="459"/>
      <c r="X951" s="459"/>
      <c r="Y951" s="666"/>
      <c r="Z951" s="664"/>
      <c r="AA951" s="665"/>
      <c r="AB951" s="665"/>
      <c r="AC951" s="665"/>
      <c r="AD951" s="665"/>
      <c r="AE951" s="665"/>
      <c r="AF951" s="649"/>
      <c r="AG951" s="650"/>
      <c r="AH951" s="650"/>
      <c r="AI951" s="667"/>
    </row>
    <row r="952" spans="12:35" ht="45" customHeight="1" thickBot="1" x14ac:dyDescent="0.25">
      <c r="L952" s="645"/>
      <c r="M952" s="616"/>
      <c r="N952" s="616"/>
      <c r="O952" s="616"/>
      <c r="P952" s="615"/>
      <c r="Q952" s="616"/>
      <c r="R952" s="663"/>
      <c r="S952" s="459"/>
      <c r="T952" s="459"/>
      <c r="U952" s="459"/>
      <c r="V952" s="459"/>
      <c r="W952" s="459"/>
      <c r="X952" s="459"/>
      <c r="Y952" s="666"/>
      <c r="Z952" s="664"/>
      <c r="AA952" s="665"/>
      <c r="AB952" s="665"/>
      <c r="AC952" s="665"/>
      <c r="AD952" s="665"/>
      <c r="AE952" s="665"/>
      <c r="AF952" s="649"/>
      <c r="AG952" s="650"/>
      <c r="AH952" s="650"/>
      <c r="AI952" s="667"/>
    </row>
    <row r="953" spans="12:35" ht="45" customHeight="1" thickBot="1" x14ac:dyDescent="0.25">
      <c r="L953" s="645"/>
      <c r="M953" s="616"/>
      <c r="N953" s="616"/>
      <c r="O953" s="616"/>
      <c r="P953" s="615"/>
      <c r="Q953" s="616"/>
      <c r="R953" s="663"/>
      <c r="S953" s="459"/>
      <c r="T953" s="459"/>
      <c r="U953" s="459"/>
      <c r="V953" s="459"/>
      <c r="W953" s="459"/>
      <c r="X953" s="459"/>
      <c r="Y953" s="666"/>
      <c r="Z953" s="664"/>
      <c r="AA953" s="665"/>
      <c r="AB953" s="665"/>
      <c r="AC953" s="665"/>
      <c r="AD953" s="665"/>
      <c r="AE953" s="665"/>
      <c r="AF953" s="649"/>
      <c r="AG953" s="650"/>
      <c r="AH953" s="650"/>
      <c r="AI953" s="667"/>
    </row>
    <row r="954" spans="12:35" ht="45" customHeight="1" thickBot="1" x14ac:dyDescent="0.25">
      <c r="L954" s="645"/>
      <c r="M954" s="616"/>
      <c r="N954" s="616"/>
      <c r="O954" s="616"/>
      <c r="P954" s="615"/>
      <c r="Q954" s="616"/>
      <c r="R954" s="663"/>
      <c r="S954" s="459"/>
      <c r="T954" s="459"/>
      <c r="U954" s="459"/>
      <c r="V954" s="459"/>
      <c r="W954" s="459"/>
      <c r="X954" s="459"/>
      <c r="Y954" s="666"/>
      <c r="Z954" s="664"/>
      <c r="AA954" s="665"/>
      <c r="AB954" s="665"/>
      <c r="AC954" s="665"/>
      <c r="AD954" s="665"/>
      <c r="AE954" s="665"/>
      <c r="AF954" s="649"/>
      <c r="AG954" s="650"/>
      <c r="AH954" s="650"/>
      <c r="AI954" s="667"/>
    </row>
    <row r="955" spans="12:35" ht="45" customHeight="1" thickBot="1" x14ac:dyDescent="0.25">
      <c r="L955" s="645"/>
      <c r="M955" s="616"/>
      <c r="N955" s="616"/>
      <c r="O955" s="616"/>
      <c r="P955" s="615"/>
      <c r="Q955" s="616"/>
      <c r="R955" s="663"/>
      <c r="S955" s="459"/>
      <c r="T955" s="459"/>
      <c r="U955" s="459"/>
      <c r="V955" s="459"/>
      <c r="W955" s="459"/>
      <c r="X955" s="459"/>
      <c r="Y955" s="666"/>
      <c r="Z955" s="664"/>
      <c r="AA955" s="665"/>
      <c r="AB955" s="665"/>
      <c r="AC955" s="665"/>
      <c r="AD955" s="665"/>
      <c r="AE955" s="665"/>
      <c r="AF955" s="649"/>
      <c r="AG955" s="650"/>
      <c r="AH955" s="650"/>
      <c r="AI955" s="667"/>
    </row>
    <row r="956" spans="12:35" ht="45" customHeight="1" thickBot="1" x14ac:dyDescent="0.25">
      <c r="L956" s="645"/>
      <c r="M956" s="616"/>
      <c r="N956" s="616"/>
      <c r="O956" s="616"/>
      <c r="P956" s="615"/>
      <c r="Q956" s="616"/>
      <c r="R956" s="663"/>
      <c r="S956" s="459"/>
      <c r="T956" s="459"/>
      <c r="U956" s="459"/>
      <c r="V956" s="459"/>
      <c r="W956" s="459"/>
      <c r="X956" s="459"/>
      <c r="Y956" s="666"/>
      <c r="Z956" s="664"/>
      <c r="AA956" s="665"/>
      <c r="AB956" s="665"/>
      <c r="AC956" s="665"/>
      <c r="AD956" s="665"/>
      <c r="AE956" s="665"/>
      <c r="AF956" s="649"/>
      <c r="AG956" s="650"/>
      <c r="AH956" s="650"/>
      <c r="AI956" s="667"/>
    </row>
    <row r="957" spans="12:35" ht="45" customHeight="1" thickBot="1" x14ac:dyDescent="0.25">
      <c r="L957" s="645"/>
      <c r="M957" s="616"/>
      <c r="N957" s="616"/>
      <c r="O957" s="616"/>
      <c r="P957" s="615"/>
      <c r="Q957" s="616"/>
      <c r="R957" s="663"/>
      <c r="S957" s="459"/>
      <c r="T957" s="459"/>
      <c r="U957" s="459"/>
      <c r="V957" s="459"/>
      <c r="W957" s="459"/>
      <c r="X957" s="459"/>
      <c r="Y957" s="666"/>
      <c r="Z957" s="664"/>
      <c r="AA957" s="665"/>
      <c r="AB957" s="665"/>
      <c r="AC957" s="665"/>
      <c r="AD957" s="665"/>
      <c r="AE957" s="665"/>
      <c r="AF957" s="649"/>
      <c r="AG957" s="650"/>
      <c r="AH957" s="650"/>
      <c r="AI957" s="667"/>
    </row>
    <row r="958" spans="12:35" ht="45" customHeight="1" thickBot="1" x14ac:dyDescent="0.25">
      <c r="L958" s="645"/>
      <c r="M958" s="616"/>
      <c r="N958" s="616"/>
      <c r="O958" s="616"/>
      <c r="P958" s="615"/>
      <c r="Q958" s="616"/>
      <c r="R958" s="663"/>
      <c r="S958" s="459"/>
      <c r="T958" s="459"/>
      <c r="U958" s="459"/>
      <c r="V958" s="459"/>
      <c r="W958" s="459"/>
      <c r="X958" s="459"/>
      <c r="Y958" s="666"/>
      <c r="Z958" s="664"/>
      <c r="AA958" s="665"/>
      <c r="AB958" s="665"/>
      <c r="AC958" s="665"/>
      <c r="AD958" s="665"/>
      <c r="AE958" s="665"/>
      <c r="AF958" s="649"/>
      <c r="AG958" s="650"/>
      <c r="AH958" s="650"/>
      <c r="AI958" s="667"/>
    </row>
    <row r="959" spans="12:35" ht="45" customHeight="1" thickBot="1" x14ac:dyDescent="0.25">
      <c r="L959" s="645"/>
      <c r="M959" s="616"/>
      <c r="N959" s="616"/>
      <c r="O959" s="616"/>
      <c r="P959" s="615"/>
      <c r="Q959" s="616"/>
      <c r="R959" s="663"/>
      <c r="S959" s="459"/>
      <c r="T959" s="459"/>
      <c r="U959" s="459"/>
      <c r="V959" s="459"/>
      <c r="W959" s="459"/>
      <c r="X959" s="459"/>
      <c r="Y959" s="666"/>
      <c r="Z959" s="664"/>
      <c r="AA959" s="665"/>
      <c r="AB959" s="665"/>
      <c r="AC959" s="665"/>
      <c r="AD959" s="665"/>
      <c r="AE959" s="665"/>
      <c r="AF959" s="649"/>
      <c r="AG959" s="650"/>
      <c r="AH959" s="650"/>
      <c r="AI959" s="667"/>
    </row>
    <row r="960" spans="12:35" ht="45" customHeight="1" thickBot="1" x14ac:dyDescent="0.25">
      <c r="L960" s="645"/>
      <c r="M960" s="616"/>
      <c r="N960" s="616"/>
      <c r="O960" s="616"/>
      <c r="P960" s="615"/>
      <c r="Q960" s="616"/>
      <c r="R960" s="663"/>
      <c r="S960" s="459"/>
      <c r="T960" s="459"/>
      <c r="U960" s="459"/>
      <c r="V960" s="459"/>
      <c r="W960" s="459"/>
      <c r="X960" s="459"/>
      <c r="Y960" s="666"/>
      <c r="Z960" s="664"/>
      <c r="AA960" s="665"/>
      <c r="AB960" s="665"/>
      <c r="AC960" s="665"/>
      <c r="AD960" s="665"/>
      <c r="AE960" s="665"/>
      <c r="AF960" s="649"/>
      <c r="AG960" s="650"/>
      <c r="AH960" s="650"/>
      <c r="AI960" s="667"/>
    </row>
    <row r="961" spans="12:35" ht="45" customHeight="1" thickBot="1" x14ac:dyDescent="0.25">
      <c r="L961" s="645"/>
      <c r="M961" s="616"/>
      <c r="N961" s="616"/>
      <c r="O961" s="616"/>
      <c r="P961" s="615"/>
      <c r="Q961" s="616"/>
      <c r="R961" s="663"/>
      <c r="S961" s="459"/>
      <c r="T961" s="459"/>
      <c r="U961" s="459"/>
      <c r="V961" s="459"/>
      <c r="W961" s="459"/>
      <c r="X961" s="459"/>
      <c r="Y961" s="666"/>
      <c r="Z961" s="664"/>
      <c r="AA961" s="665"/>
      <c r="AB961" s="665"/>
      <c r="AC961" s="665"/>
      <c r="AD961" s="665"/>
      <c r="AE961" s="665"/>
      <c r="AF961" s="649"/>
      <c r="AG961" s="650"/>
      <c r="AH961" s="650"/>
      <c r="AI961" s="667"/>
    </row>
    <row r="962" spans="12:35" ht="45" customHeight="1" thickBot="1" x14ac:dyDescent="0.25">
      <c r="L962" s="645"/>
      <c r="M962" s="616"/>
      <c r="N962" s="616"/>
      <c r="O962" s="616"/>
      <c r="P962" s="615"/>
      <c r="Q962" s="616"/>
      <c r="R962" s="663"/>
      <c r="S962" s="459"/>
      <c r="T962" s="459"/>
      <c r="U962" s="459"/>
      <c r="V962" s="459"/>
      <c r="W962" s="459"/>
      <c r="X962" s="459"/>
      <c r="Y962" s="666"/>
      <c r="Z962" s="664"/>
      <c r="AA962" s="665"/>
      <c r="AB962" s="665"/>
      <c r="AC962" s="665"/>
      <c r="AD962" s="665"/>
      <c r="AE962" s="665"/>
      <c r="AF962" s="649"/>
      <c r="AG962" s="650"/>
      <c r="AH962" s="650"/>
      <c r="AI962" s="667"/>
    </row>
    <row r="963" spans="12:35" ht="45" customHeight="1" thickBot="1" x14ac:dyDescent="0.25">
      <c r="L963" s="645"/>
      <c r="M963" s="616"/>
      <c r="N963" s="616"/>
      <c r="O963" s="616"/>
      <c r="P963" s="615"/>
      <c r="Q963" s="616"/>
      <c r="R963" s="663"/>
      <c r="S963" s="459"/>
      <c r="T963" s="459"/>
      <c r="U963" s="459"/>
      <c r="V963" s="459"/>
      <c r="W963" s="459"/>
      <c r="X963" s="459"/>
      <c r="Y963" s="666"/>
      <c r="Z963" s="664"/>
      <c r="AA963" s="665"/>
      <c r="AB963" s="665"/>
      <c r="AC963" s="665"/>
      <c r="AD963" s="665"/>
      <c r="AE963" s="665"/>
      <c r="AF963" s="649"/>
      <c r="AG963" s="650"/>
      <c r="AH963" s="650"/>
      <c r="AI963" s="667"/>
    </row>
    <row r="964" spans="12:35" ht="45" customHeight="1" thickBot="1" x14ac:dyDescent="0.25">
      <c r="L964" s="645"/>
      <c r="M964" s="616"/>
      <c r="N964" s="616"/>
      <c r="O964" s="616"/>
      <c r="P964" s="615"/>
      <c r="Q964" s="616"/>
      <c r="R964" s="663"/>
      <c r="S964" s="459"/>
      <c r="T964" s="459"/>
      <c r="U964" s="459"/>
      <c r="V964" s="459"/>
      <c r="W964" s="459"/>
      <c r="X964" s="459"/>
      <c r="Y964" s="666"/>
      <c r="Z964" s="664"/>
      <c r="AA964" s="665"/>
      <c r="AB964" s="665"/>
      <c r="AC964" s="665"/>
      <c r="AD964" s="665"/>
      <c r="AE964" s="665"/>
      <c r="AF964" s="649"/>
      <c r="AG964" s="650"/>
      <c r="AH964" s="650"/>
      <c r="AI964" s="667"/>
    </row>
    <row r="965" spans="12:35" ht="45" customHeight="1" thickBot="1" x14ac:dyDescent="0.25">
      <c r="L965" s="645"/>
      <c r="M965" s="616"/>
      <c r="N965" s="616"/>
      <c r="O965" s="616"/>
      <c r="P965" s="615"/>
      <c r="Q965" s="616"/>
      <c r="R965" s="663"/>
      <c r="S965" s="459"/>
      <c r="T965" s="459"/>
      <c r="U965" s="459"/>
      <c r="V965" s="459"/>
      <c r="W965" s="459"/>
      <c r="X965" s="459"/>
      <c r="Y965" s="666"/>
      <c r="Z965" s="664"/>
      <c r="AA965" s="665"/>
      <c r="AB965" s="665"/>
      <c r="AC965" s="665"/>
      <c r="AD965" s="665"/>
      <c r="AE965" s="665"/>
      <c r="AF965" s="649"/>
      <c r="AG965" s="650"/>
      <c r="AH965" s="650"/>
      <c r="AI965" s="667"/>
    </row>
    <row r="966" spans="12:35" ht="45" customHeight="1" thickBot="1" x14ac:dyDescent="0.25">
      <c r="L966" s="645"/>
      <c r="M966" s="616"/>
      <c r="N966" s="616"/>
      <c r="O966" s="616"/>
      <c r="P966" s="615"/>
      <c r="Q966" s="616"/>
      <c r="R966" s="663"/>
      <c r="S966" s="459"/>
      <c r="T966" s="459"/>
      <c r="U966" s="459"/>
      <c r="V966" s="459"/>
      <c r="W966" s="459"/>
      <c r="X966" s="459"/>
      <c r="Y966" s="666"/>
      <c r="Z966" s="664"/>
      <c r="AA966" s="665"/>
      <c r="AB966" s="665"/>
      <c r="AC966" s="665"/>
      <c r="AD966" s="665"/>
      <c r="AE966" s="665"/>
      <c r="AF966" s="649"/>
      <c r="AG966" s="650"/>
      <c r="AH966" s="650"/>
      <c r="AI966" s="667"/>
    </row>
    <row r="967" spans="12:35" ht="45" customHeight="1" thickBot="1" x14ac:dyDescent="0.25">
      <c r="L967" s="645"/>
      <c r="M967" s="616"/>
      <c r="N967" s="616"/>
      <c r="O967" s="616"/>
      <c r="P967" s="615"/>
      <c r="Q967" s="616"/>
      <c r="R967" s="663"/>
      <c r="S967" s="459"/>
      <c r="T967" s="459"/>
      <c r="U967" s="459"/>
      <c r="V967" s="459"/>
      <c r="W967" s="459"/>
      <c r="X967" s="459"/>
      <c r="Y967" s="666"/>
      <c r="Z967" s="664"/>
      <c r="AA967" s="665"/>
      <c r="AB967" s="665"/>
      <c r="AC967" s="665"/>
      <c r="AD967" s="665"/>
      <c r="AE967" s="665"/>
      <c r="AF967" s="649"/>
      <c r="AG967" s="650"/>
      <c r="AH967" s="650"/>
      <c r="AI967" s="667"/>
    </row>
    <row r="968" spans="12:35" ht="45" customHeight="1" thickBot="1" x14ac:dyDescent="0.25">
      <c r="L968" s="645"/>
      <c r="M968" s="616"/>
      <c r="N968" s="616"/>
      <c r="O968" s="616"/>
      <c r="P968" s="615"/>
      <c r="Q968" s="616"/>
      <c r="R968" s="663"/>
      <c r="S968" s="459"/>
      <c r="T968" s="459"/>
      <c r="U968" s="459"/>
      <c r="V968" s="459"/>
      <c r="W968" s="459"/>
      <c r="X968" s="459"/>
      <c r="Y968" s="666"/>
      <c r="Z968" s="664"/>
      <c r="AA968" s="665"/>
      <c r="AB968" s="665"/>
      <c r="AC968" s="665"/>
      <c r="AD968" s="665"/>
      <c r="AE968" s="665"/>
      <c r="AF968" s="649"/>
      <c r="AG968" s="650"/>
      <c r="AH968" s="650"/>
      <c r="AI968" s="667"/>
    </row>
    <row r="969" spans="12:35" ht="45" customHeight="1" thickBot="1" x14ac:dyDescent="0.25">
      <c r="L969" s="645"/>
      <c r="M969" s="616"/>
      <c r="N969" s="616"/>
      <c r="O969" s="616"/>
      <c r="P969" s="615"/>
      <c r="Q969" s="616"/>
      <c r="R969" s="663"/>
      <c r="S969" s="459"/>
      <c r="T969" s="459"/>
      <c r="U969" s="459"/>
      <c r="V969" s="459"/>
      <c r="W969" s="459"/>
      <c r="X969" s="459"/>
      <c r="Y969" s="666"/>
      <c r="Z969" s="664"/>
      <c r="AA969" s="665"/>
      <c r="AB969" s="665"/>
      <c r="AC969" s="665"/>
      <c r="AD969" s="665"/>
      <c r="AE969" s="665"/>
      <c r="AF969" s="649"/>
      <c r="AG969" s="650"/>
      <c r="AH969" s="650"/>
      <c r="AI969" s="667"/>
    </row>
    <row r="970" spans="12:35" ht="45" customHeight="1" thickBot="1" x14ac:dyDescent="0.25">
      <c r="L970" s="645"/>
      <c r="M970" s="616"/>
      <c r="N970" s="616"/>
      <c r="O970" s="616"/>
      <c r="P970" s="615"/>
      <c r="Q970" s="616"/>
      <c r="R970" s="663"/>
      <c r="S970" s="459"/>
      <c r="T970" s="459"/>
      <c r="U970" s="459"/>
      <c r="V970" s="459"/>
      <c r="W970" s="459"/>
      <c r="X970" s="459"/>
      <c r="Y970" s="666"/>
      <c r="Z970" s="664"/>
      <c r="AA970" s="665"/>
      <c r="AB970" s="665"/>
      <c r="AC970" s="665"/>
      <c r="AD970" s="665"/>
      <c r="AE970" s="665"/>
      <c r="AF970" s="649"/>
      <c r="AG970" s="650"/>
      <c r="AH970" s="650"/>
      <c r="AI970" s="667"/>
    </row>
    <row r="971" spans="12:35" ht="45" customHeight="1" thickBot="1" x14ac:dyDescent="0.25">
      <c r="L971" s="645"/>
      <c r="M971" s="616"/>
      <c r="N971" s="616"/>
      <c r="O971" s="616"/>
      <c r="P971" s="615"/>
      <c r="Q971" s="616"/>
      <c r="R971" s="663"/>
      <c r="S971" s="459"/>
      <c r="T971" s="459"/>
      <c r="U971" s="459"/>
      <c r="V971" s="459"/>
      <c r="W971" s="459"/>
      <c r="X971" s="459"/>
      <c r="Y971" s="666"/>
      <c r="Z971" s="664"/>
      <c r="AA971" s="665"/>
      <c r="AB971" s="665"/>
      <c r="AC971" s="665"/>
      <c r="AD971" s="665"/>
      <c r="AE971" s="665"/>
      <c r="AF971" s="649"/>
      <c r="AG971" s="650"/>
      <c r="AH971" s="650"/>
      <c r="AI971" s="667"/>
    </row>
    <row r="972" spans="12:35" ht="45" customHeight="1" thickBot="1" x14ac:dyDescent="0.25">
      <c r="L972" s="645"/>
      <c r="M972" s="616"/>
      <c r="N972" s="616"/>
      <c r="O972" s="616"/>
      <c r="P972" s="615"/>
      <c r="Q972" s="616"/>
      <c r="R972" s="663"/>
      <c r="S972" s="459"/>
      <c r="T972" s="459"/>
      <c r="U972" s="459"/>
      <c r="V972" s="459"/>
      <c r="W972" s="459"/>
      <c r="X972" s="459"/>
      <c r="Y972" s="666"/>
      <c r="Z972" s="664"/>
      <c r="AA972" s="665"/>
      <c r="AB972" s="665"/>
      <c r="AC972" s="665"/>
      <c r="AD972" s="665"/>
      <c r="AE972" s="665"/>
      <c r="AF972" s="649"/>
      <c r="AG972" s="650"/>
      <c r="AH972" s="650"/>
      <c r="AI972" s="667"/>
    </row>
    <row r="973" spans="12:35" ht="45" customHeight="1" thickBot="1" x14ac:dyDescent="0.25">
      <c r="L973" s="645"/>
      <c r="M973" s="616"/>
      <c r="N973" s="616"/>
      <c r="O973" s="616"/>
      <c r="P973" s="615"/>
      <c r="Q973" s="616"/>
      <c r="R973" s="663"/>
      <c r="S973" s="459"/>
      <c r="T973" s="459"/>
      <c r="U973" s="459"/>
      <c r="V973" s="459"/>
      <c r="W973" s="459"/>
      <c r="X973" s="459"/>
      <c r="Y973" s="666"/>
      <c r="Z973" s="664"/>
      <c r="AA973" s="665"/>
      <c r="AB973" s="665"/>
      <c r="AC973" s="665"/>
      <c r="AD973" s="665"/>
      <c r="AE973" s="665"/>
      <c r="AF973" s="649"/>
      <c r="AG973" s="650"/>
      <c r="AH973" s="650"/>
      <c r="AI973" s="667"/>
    </row>
    <row r="974" spans="12:35" ht="45" customHeight="1" thickBot="1" x14ac:dyDescent="0.25">
      <c r="L974" s="645"/>
      <c r="M974" s="616"/>
      <c r="N974" s="616"/>
      <c r="O974" s="616"/>
      <c r="P974" s="615"/>
      <c r="Q974" s="616"/>
      <c r="R974" s="663"/>
      <c r="S974" s="459"/>
      <c r="T974" s="459"/>
      <c r="U974" s="459"/>
      <c r="V974" s="459"/>
      <c r="W974" s="459"/>
      <c r="X974" s="459"/>
      <c r="Y974" s="666"/>
      <c r="Z974" s="664"/>
      <c r="AA974" s="665"/>
      <c r="AB974" s="665"/>
      <c r="AC974" s="665"/>
      <c r="AD974" s="665"/>
      <c r="AE974" s="665"/>
      <c r="AF974" s="649"/>
      <c r="AG974" s="650"/>
      <c r="AH974" s="650"/>
      <c r="AI974" s="667"/>
    </row>
    <row r="975" spans="12:35" ht="45" customHeight="1" thickBot="1" x14ac:dyDescent="0.25">
      <c r="L975" s="645"/>
      <c r="M975" s="616"/>
      <c r="N975" s="616"/>
      <c r="O975" s="616"/>
      <c r="P975" s="615"/>
      <c r="Q975" s="616"/>
      <c r="R975" s="663"/>
      <c r="S975" s="459"/>
      <c r="T975" s="459"/>
      <c r="U975" s="459"/>
      <c r="V975" s="459"/>
      <c r="W975" s="459"/>
      <c r="X975" s="459"/>
      <c r="Y975" s="666"/>
      <c r="Z975" s="664"/>
      <c r="AA975" s="665"/>
      <c r="AB975" s="665"/>
      <c r="AC975" s="665"/>
      <c r="AD975" s="665"/>
      <c r="AE975" s="665"/>
      <c r="AF975" s="649"/>
      <c r="AG975" s="650"/>
      <c r="AH975" s="650"/>
      <c r="AI975" s="667"/>
    </row>
    <row r="976" spans="12:35" ht="45" customHeight="1" thickBot="1" x14ac:dyDescent="0.25">
      <c r="L976" s="645"/>
      <c r="M976" s="616"/>
      <c r="N976" s="616"/>
      <c r="O976" s="616"/>
      <c r="P976" s="615"/>
      <c r="Q976" s="616"/>
      <c r="R976" s="663"/>
      <c r="S976" s="459"/>
      <c r="T976" s="459"/>
      <c r="U976" s="459"/>
      <c r="V976" s="459"/>
      <c r="W976" s="459"/>
      <c r="X976" s="459"/>
      <c r="Y976" s="666"/>
      <c r="Z976" s="664"/>
      <c r="AA976" s="665"/>
      <c r="AB976" s="665"/>
      <c r="AC976" s="665"/>
      <c r="AD976" s="665"/>
      <c r="AE976" s="665"/>
      <c r="AF976" s="649"/>
      <c r="AG976" s="650"/>
      <c r="AH976" s="650"/>
      <c r="AI976" s="667"/>
    </row>
    <row r="977" spans="12:35" ht="45" customHeight="1" thickBot="1" x14ac:dyDescent="0.25">
      <c r="L977" s="645"/>
      <c r="M977" s="616"/>
      <c r="N977" s="616"/>
      <c r="O977" s="616"/>
      <c r="P977" s="615"/>
      <c r="Q977" s="616"/>
      <c r="R977" s="663"/>
      <c r="S977" s="459"/>
      <c r="T977" s="459"/>
      <c r="U977" s="459"/>
      <c r="V977" s="459"/>
      <c r="W977" s="459"/>
      <c r="X977" s="459"/>
      <c r="Y977" s="666"/>
      <c r="Z977" s="664"/>
      <c r="AA977" s="665"/>
      <c r="AB977" s="665"/>
      <c r="AC977" s="665"/>
      <c r="AD977" s="665"/>
      <c r="AE977" s="665"/>
      <c r="AF977" s="649"/>
      <c r="AG977" s="650"/>
      <c r="AH977" s="650"/>
      <c r="AI977" s="667"/>
    </row>
    <row r="978" spans="12:35" ht="45" customHeight="1" thickBot="1" x14ac:dyDescent="0.25">
      <c r="L978" s="645"/>
      <c r="M978" s="616"/>
      <c r="N978" s="616"/>
      <c r="O978" s="616"/>
      <c r="P978" s="615"/>
      <c r="Q978" s="616"/>
      <c r="R978" s="663"/>
      <c r="S978" s="459"/>
      <c r="T978" s="459"/>
      <c r="U978" s="459"/>
      <c r="V978" s="459"/>
      <c r="W978" s="459"/>
      <c r="X978" s="459"/>
      <c r="Y978" s="666"/>
      <c r="Z978" s="664"/>
      <c r="AA978" s="665"/>
      <c r="AB978" s="665"/>
      <c r="AC978" s="665"/>
      <c r="AD978" s="665"/>
      <c r="AE978" s="665"/>
      <c r="AF978" s="649"/>
      <c r="AG978" s="650"/>
      <c r="AH978" s="650"/>
      <c r="AI978" s="667"/>
    </row>
    <row r="979" spans="12:35" ht="45" customHeight="1" thickBot="1" x14ac:dyDescent="0.25">
      <c r="L979" s="645"/>
      <c r="M979" s="616"/>
      <c r="N979" s="616"/>
      <c r="O979" s="616"/>
      <c r="P979" s="615"/>
      <c r="Q979" s="616"/>
      <c r="R979" s="663"/>
      <c r="S979" s="459"/>
      <c r="T979" s="459"/>
      <c r="U979" s="459"/>
      <c r="V979" s="459"/>
      <c r="W979" s="459"/>
      <c r="X979" s="459"/>
      <c r="Y979" s="666"/>
      <c r="Z979" s="664"/>
      <c r="AA979" s="665"/>
      <c r="AB979" s="665"/>
      <c r="AC979" s="665"/>
      <c r="AD979" s="665"/>
      <c r="AE979" s="665"/>
      <c r="AF979" s="649"/>
      <c r="AG979" s="650"/>
      <c r="AH979" s="650"/>
      <c r="AI979" s="667"/>
    </row>
    <row r="980" spans="12:35" ht="45" customHeight="1" thickBot="1" x14ac:dyDescent="0.25">
      <c r="L980" s="645"/>
      <c r="M980" s="616"/>
      <c r="N980" s="616"/>
      <c r="O980" s="616"/>
      <c r="P980" s="615"/>
      <c r="Q980" s="616"/>
      <c r="R980" s="663"/>
      <c r="S980" s="459"/>
      <c r="T980" s="459"/>
      <c r="U980" s="459"/>
      <c r="V980" s="459"/>
      <c r="W980" s="459"/>
      <c r="X980" s="459"/>
      <c r="Y980" s="666"/>
      <c r="Z980" s="664"/>
      <c r="AA980" s="665"/>
      <c r="AB980" s="665"/>
      <c r="AC980" s="665"/>
      <c r="AD980" s="665"/>
      <c r="AE980" s="665"/>
      <c r="AF980" s="649"/>
      <c r="AG980" s="650"/>
      <c r="AH980" s="650"/>
      <c r="AI980" s="667"/>
    </row>
    <row r="981" spans="12:35" ht="45" customHeight="1" thickBot="1" x14ac:dyDescent="0.25">
      <c r="L981" s="645"/>
      <c r="M981" s="616"/>
      <c r="N981" s="616"/>
      <c r="O981" s="616"/>
      <c r="P981" s="615"/>
      <c r="Q981" s="616"/>
      <c r="R981" s="663"/>
      <c r="S981" s="459"/>
      <c r="T981" s="459"/>
      <c r="U981" s="459"/>
      <c r="V981" s="459"/>
      <c r="W981" s="459"/>
      <c r="X981" s="459"/>
      <c r="Y981" s="666"/>
      <c r="Z981" s="664"/>
      <c r="AA981" s="665"/>
      <c r="AB981" s="665"/>
      <c r="AC981" s="665"/>
      <c r="AD981" s="665"/>
      <c r="AE981" s="665"/>
      <c r="AF981" s="649"/>
      <c r="AG981" s="650"/>
      <c r="AH981" s="650"/>
      <c r="AI981" s="667"/>
    </row>
    <row r="982" spans="12:35" ht="45" customHeight="1" thickBot="1" x14ac:dyDescent="0.25">
      <c r="L982" s="645"/>
      <c r="M982" s="616"/>
      <c r="N982" s="616"/>
      <c r="O982" s="616"/>
      <c r="P982" s="615"/>
      <c r="Q982" s="616"/>
      <c r="R982" s="663"/>
      <c r="S982" s="459"/>
      <c r="T982" s="459"/>
      <c r="U982" s="459"/>
      <c r="V982" s="459"/>
      <c r="W982" s="459"/>
      <c r="X982" s="459"/>
      <c r="Y982" s="666"/>
      <c r="Z982" s="664"/>
      <c r="AA982" s="665"/>
      <c r="AB982" s="665"/>
      <c r="AC982" s="665"/>
      <c r="AD982" s="665"/>
      <c r="AE982" s="665"/>
      <c r="AF982" s="649"/>
      <c r="AG982" s="650"/>
      <c r="AH982" s="650"/>
      <c r="AI982" s="667"/>
    </row>
    <row r="983" spans="12:35" ht="45" customHeight="1" thickBot="1" x14ac:dyDescent="0.25">
      <c r="L983" s="645"/>
      <c r="M983" s="616"/>
      <c r="N983" s="616"/>
      <c r="O983" s="616"/>
      <c r="P983" s="615"/>
      <c r="Q983" s="616"/>
      <c r="R983" s="663"/>
      <c r="S983" s="459"/>
      <c r="T983" s="459"/>
      <c r="U983" s="459"/>
      <c r="V983" s="459"/>
      <c r="W983" s="459"/>
      <c r="X983" s="459"/>
      <c r="Y983" s="666"/>
      <c r="Z983" s="664"/>
      <c r="AA983" s="665"/>
      <c r="AB983" s="665"/>
      <c r="AC983" s="665"/>
      <c r="AD983" s="665"/>
      <c r="AE983" s="665"/>
      <c r="AF983" s="649"/>
      <c r="AG983" s="650"/>
      <c r="AH983" s="650"/>
      <c r="AI983" s="667"/>
    </row>
    <row r="984" spans="12:35" ht="45" customHeight="1" thickBot="1" x14ac:dyDescent="0.25">
      <c r="L984" s="645"/>
      <c r="M984" s="616"/>
      <c r="N984" s="616"/>
      <c r="O984" s="616"/>
      <c r="P984" s="615"/>
      <c r="Q984" s="616"/>
      <c r="R984" s="663"/>
      <c r="S984" s="459"/>
      <c r="T984" s="459"/>
      <c r="U984" s="459"/>
      <c r="V984" s="459"/>
      <c r="W984" s="459"/>
      <c r="X984" s="459"/>
      <c r="Y984" s="666"/>
      <c r="Z984" s="664"/>
      <c r="AA984" s="665"/>
      <c r="AB984" s="665"/>
      <c r="AC984" s="665"/>
      <c r="AD984" s="665"/>
      <c r="AE984" s="665"/>
      <c r="AF984" s="649"/>
      <c r="AG984" s="650"/>
      <c r="AH984" s="650"/>
      <c r="AI984" s="667"/>
    </row>
    <row r="985" spans="12:35" ht="45" customHeight="1" thickBot="1" x14ac:dyDescent="0.25">
      <c r="L985" s="645"/>
      <c r="M985" s="616"/>
      <c r="N985" s="616"/>
      <c r="O985" s="616"/>
      <c r="P985" s="615"/>
      <c r="Q985" s="616"/>
      <c r="R985" s="663"/>
      <c r="S985" s="459"/>
      <c r="T985" s="459"/>
      <c r="U985" s="459"/>
      <c r="V985" s="459"/>
      <c r="W985" s="459"/>
      <c r="X985" s="459"/>
      <c r="Y985" s="666"/>
      <c r="Z985" s="664"/>
      <c r="AA985" s="665"/>
      <c r="AB985" s="665"/>
      <c r="AC985" s="665"/>
      <c r="AD985" s="665"/>
      <c r="AE985" s="665"/>
      <c r="AF985" s="649"/>
      <c r="AG985" s="650"/>
      <c r="AH985" s="650"/>
      <c r="AI985" s="667"/>
    </row>
    <row r="986" spans="12:35" ht="45" customHeight="1" thickBot="1" x14ac:dyDescent="0.25">
      <c r="L986" s="645"/>
      <c r="M986" s="616"/>
      <c r="N986" s="616"/>
      <c r="O986" s="616"/>
      <c r="P986" s="615"/>
      <c r="Q986" s="616"/>
      <c r="R986" s="663"/>
      <c r="S986" s="459"/>
      <c r="T986" s="459"/>
      <c r="U986" s="459"/>
      <c r="V986" s="459"/>
      <c r="W986" s="459"/>
      <c r="X986" s="459"/>
      <c r="Y986" s="666"/>
      <c r="Z986" s="664"/>
      <c r="AA986" s="665"/>
      <c r="AB986" s="665"/>
      <c r="AC986" s="665"/>
      <c r="AD986" s="665"/>
      <c r="AE986" s="665"/>
      <c r="AF986" s="649"/>
      <c r="AG986" s="650"/>
      <c r="AH986" s="650"/>
      <c r="AI986" s="667"/>
    </row>
    <row r="987" spans="12:35" ht="45" customHeight="1" thickBot="1" x14ac:dyDescent="0.25">
      <c r="L987" s="645"/>
      <c r="M987" s="616"/>
      <c r="N987" s="616"/>
      <c r="O987" s="616"/>
      <c r="P987" s="615"/>
      <c r="Q987" s="616"/>
      <c r="R987" s="663"/>
      <c r="S987" s="459"/>
      <c r="T987" s="459"/>
      <c r="U987" s="459"/>
      <c r="V987" s="459"/>
      <c r="W987" s="459"/>
      <c r="X987" s="459"/>
      <c r="Y987" s="666"/>
      <c r="Z987" s="664"/>
      <c r="AA987" s="665"/>
      <c r="AB987" s="665"/>
      <c r="AC987" s="665"/>
      <c r="AD987" s="665"/>
      <c r="AE987" s="665"/>
      <c r="AF987" s="649"/>
      <c r="AG987" s="650"/>
      <c r="AH987" s="650"/>
      <c r="AI987" s="667"/>
    </row>
    <row r="988" spans="12:35" ht="45" customHeight="1" thickBot="1" x14ac:dyDescent="0.25">
      <c r="L988" s="645"/>
      <c r="M988" s="616"/>
      <c r="N988" s="616"/>
      <c r="O988" s="616"/>
      <c r="P988" s="615"/>
      <c r="Q988" s="616"/>
      <c r="R988" s="663"/>
      <c r="S988" s="459"/>
      <c r="T988" s="459"/>
      <c r="U988" s="459"/>
      <c r="V988" s="459"/>
      <c r="W988" s="459"/>
      <c r="X988" s="459"/>
      <c r="Y988" s="666"/>
      <c r="Z988" s="664"/>
      <c r="AA988" s="665"/>
      <c r="AB988" s="665"/>
      <c r="AC988" s="665"/>
      <c r="AD988" s="665"/>
      <c r="AE988" s="665"/>
      <c r="AF988" s="649"/>
      <c r="AG988" s="650"/>
      <c r="AH988" s="650"/>
      <c r="AI988" s="667"/>
    </row>
    <row r="989" spans="12:35" ht="45" customHeight="1" thickBot="1" x14ac:dyDescent="0.25">
      <c r="L989" s="645"/>
      <c r="M989" s="616"/>
      <c r="N989" s="616"/>
      <c r="O989" s="616"/>
      <c r="P989" s="615"/>
      <c r="Q989" s="616"/>
      <c r="R989" s="663"/>
      <c r="S989" s="459"/>
      <c r="T989" s="459"/>
      <c r="U989" s="459"/>
      <c r="V989" s="459"/>
      <c r="W989" s="459"/>
      <c r="X989" s="459"/>
      <c r="Y989" s="666"/>
      <c r="Z989" s="664"/>
      <c r="AA989" s="665"/>
      <c r="AB989" s="665"/>
      <c r="AC989" s="665"/>
      <c r="AD989" s="665"/>
      <c r="AE989" s="665"/>
      <c r="AF989" s="649"/>
      <c r="AG989" s="650"/>
      <c r="AH989" s="650"/>
      <c r="AI989" s="667"/>
    </row>
    <row r="990" spans="12:35" ht="45" customHeight="1" thickBot="1" x14ac:dyDescent="0.25">
      <c r="L990" s="645"/>
      <c r="M990" s="616"/>
      <c r="N990" s="616"/>
      <c r="O990" s="616"/>
      <c r="P990" s="615"/>
      <c r="Q990" s="616"/>
      <c r="R990" s="663"/>
      <c r="S990" s="459"/>
      <c r="T990" s="459"/>
      <c r="U990" s="459"/>
      <c r="V990" s="459"/>
      <c r="W990" s="459"/>
      <c r="X990" s="459"/>
      <c r="Y990" s="666"/>
      <c r="Z990" s="664"/>
      <c r="AA990" s="665"/>
      <c r="AB990" s="665"/>
      <c r="AC990" s="665"/>
      <c r="AD990" s="665"/>
      <c r="AE990" s="665"/>
      <c r="AF990" s="649"/>
      <c r="AG990" s="650"/>
      <c r="AH990" s="650"/>
      <c r="AI990" s="667"/>
    </row>
    <row r="991" spans="12:35" ht="45" customHeight="1" thickBot="1" x14ac:dyDescent="0.25">
      <c r="L991" s="645"/>
      <c r="M991" s="616"/>
      <c r="N991" s="616"/>
      <c r="O991" s="616"/>
      <c r="P991" s="615"/>
      <c r="Q991" s="616"/>
      <c r="R991" s="663"/>
      <c r="S991" s="459"/>
      <c r="T991" s="459"/>
      <c r="U991" s="459"/>
      <c r="V991" s="459"/>
      <c r="W991" s="459"/>
      <c r="X991" s="459"/>
      <c r="Y991" s="666"/>
      <c r="Z991" s="664"/>
      <c r="AA991" s="665"/>
      <c r="AB991" s="665"/>
      <c r="AC991" s="665"/>
      <c r="AD991" s="665"/>
      <c r="AE991" s="665"/>
      <c r="AF991" s="649"/>
      <c r="AG991" s="650"/>
      <c r="AH991" s="650"/>
      <c r="AI991" s="667"/>
    </row>
    <row r="992" spans="12:35" ht="45" customHeight="1" thickBot="1" x14ac:dyDescent="0.25">
      <c r="L992" s="645"/>
      <c r="M992" s="616"/>
      <c r="N992" s="616"/>
      <c r="O992" s="616"/>
      <c r="P992" s="615"/>
      <c r="Q992" s="616"/>
      <c r="R992" s="663"/>
      <c r="S992" s="459"/>
      <c r="T992" s="459"/>
      <c r="U992" s="459"/>
      <c r="V992" s="459"/>
      <c r="W992" s="459"/>
      <c r="X992" s="459"/>
      <c r="Y992" s="666"/>
      <c r="Z992" s="664"/>
      <c r="AA992" s="665"/>
      <c r="AB992" s="665"/>
      <c r="AC992" s="665"/>
      <c r="AD992" s="665"/>
      <c r="AE992" s="665"/>
      <c r="AF992" s="649"/>
      <c r="AG992" s="650"/>
      <c r="AH992" s="650"/>
      <c r="AI992" s="667"/>
    </row>
    <row r="993" spans="12:35" ht="45" customHeight="1" thickBot="1" x14ac:dyDescent="0.25">
      <c r="L993" s="645"/>
      <c r="M993" s="616"/>
      <c r="N993" s="616"/>
      <c r="O993" s="616"/>
      <c r="P993" s="615"/>
      <c r="Q993" s="616"/>
      <c r="R993" s="663"/>
      <c r="S993" s="459"/>
      <c r="T993" s="459"/>
      <c r="U993" s="459"/>
      <c r="V993" s="459"/>
      <c r="W993" s="459"/>
      <c r="X993" s="459"/>
      <c r="Y993" s="666"/>
      <c r="Z993" s="664"/>
      <c r="AA993" s="665"/>
      <c r="AB993" s="665"/>
      <c r="AC993" s="665"/>
      <c r="AD993" s="665"/>
      <c r="AE993" s="665"/>
      <c r="AF993" s="649"/>
      <c r="AG993" s="650"/>
      <c r="AH993" s="650"/>
      <c r="AI993" s="667"/>
    </row>
    <row r="994" spans="12:35" ht="45" customHeight="1" thickBot="1" x14ac:dyDescent="0.25">
      <c r="L994" s="645"/>
      <c r="M994" s="616"/>
      <c r="N994" s="616"/>
      <c r="O994" s="616"/>
      <c r="P994" s="615"/>
      <c r="Q994" s="616"/>
      <c r="R994" s="663"/>
      <c r="S994" s="459"/>
      <c r="T994" s="459"/>
      <c r="U994" s="459"/>
      <c r="V994" s="459"/>
      <c r="W994" s="459"/>
      <c r="X994" s="459"/>
      <c r="Y994" s="666"/>
      <c r="Z994" s="664"/>
      <c r="AA994" s="665"/>
      <c r="AB994" s="665"/>
      <c r="AC994" s="665"/>
      <c r="AD994" s="665"/>
      <c r="AE994" s="665"/>
      <c r="AF994" s="649"/>
      <c r="AG994" s="650"/>
      <c r="AH994" s="650"/>
      <c r="AI994" s="667"/>
    </row>
    <row r="995" spans="12:35" ht="45" customHeight="1" thickBot="1" x14ac:dyDescent="0.25">
      <c r="L995" s="645"/>
      <c r="M995" s="616"/>
      <c r="N995" s="616"/>
      <c r="O995" s="616"/>
      <c r="P995" s="615"/>
      <c r="Q995" s="616"/>
      <c r="R995" s="663"/>
      <c r="S995" s="459"/>
      <c r="T995" s="459"/>
      <c r="U995" s="459"/>
      <c r="V995" s="459"/>
      <c r="W995" s="459"/>
      <c r="X995" s="459"/>
      <c r="Y995" s="666"/>
      <c r="Z995" s="664"/>
      <c r="AA995" s="665"/>
      <c r="AB995" s="665"/>
      <c r="AC995" s="665"/>
      <c r="AD995" s="665"/>
      <c r="AE995" s="665"/>
      <c r="AF995" s="649"/>
      <c r="AG995" s="650"/>
      <c r="AH995" s="650"/>
      <c r="AI995" s="667"/>
    </row>
    <row r="996" spans="12:35" ht="45" customHeight="1" thickBot="1" x14ac:dyDescent="0.25">
      <c r="L996" s="645"/>
      <c r="M996" s="616"/>
      <c r="N996" s="616"/>
      <c r="O996" s="616"/>
      <c r="P996" s="615"/>
      <c r="Q996" s="616"/>
      <c r="R996" s="663"/>
      <c r="S996" s="459"/>
      <c r="T996" s="459"/>
      <c r="U996" s="459"/>
      <c r="V996" s="459"/>
      <c r="W996" s="459"/>
      <c r="X996" s="459"/>
      <c r="Y996" s="666"/>
      <c r="Z996" s="664"/>
      <c r="AA996" s="665"/>
      <c r="AB996" s="665"/>
      <c r="AC996" s="665"/>
      <c r="AD996" s="665"/>
      <c r="AE996" s="665"/>
      <c r="AF996" s="649"/>
      <c r="AG996" s="650"/>
      <c r="AH996" s="650"/>
      <c r="AI996" s="667"/>
    </row>
    <row r="997" spans="12:35" ht="45" customHeight="1" thickBot="1" x14ac:dyDescent="0.25">
      <c r="L997" s="645"/>
      <c r="M997" s="616"/>
      <c r="N997" s="616"/>
      <c r="O997" s="616"/>
      <c r="P997" s="615"/>
      <c r="Q997" s="616"/>
      <c r="R997" s="663"/>
      <c r="S997" s="459"/>
      <c r="T997" s="459"/>
      <c r="U997" s="459"/>
      <c r="V997" s="459"/>
      <c r="W997" s="459"/>
      <c r="X997" s="459"/>
      <c r="Y997" s="666"/>
      <c r="Z997" s="664"/>
      <c r="AA997" s="665"/>
      <c r="AB997" s="665"/>
      <c r="AC997" s="665"/>
      <c r="AD997" s="665"/>
      <c r="AE997" s="665"/>
      <c r="AF997" s="649"/>
      <c r="AG997" s="650"/>
      <c r="AH997" s="650"/>
      <c r="AI997" s="667"/>
    </row>
    <row r="998" spans="12:35" ht="45" customHeight="1" thickBot="1" x14ac:dyDescent="0.25">
      <c r="L998" s="645"/>
      <c r="M998" s="616"/>
      <c r="N998" s="616"/>
      <c r="O998" s="616"/>
      <c r="P998" s="615"/>
      <c r="Q998" s="616"/>
      <c r="R998" s="663"/>
      <c r="S998" s="459"/>
      <c r="T998" s="459"/>
      <c r="U998" s="459"/>
      <c r="V998" s="459"/>
      <c r="W998" s="459"/>
      <c r="X998" s="459"/>
      <c r="Y998" s="666"/>
      <c r="Z998" s="664"/>
      <c r="AA998" s="665"/>
      <c r="AB998" s="665"/>
      <c r="AC998" s="665"/>
      <c r="AD998" s="665"/>
      <c r="AE998" s="665"/>
      <c r="AF998" s="649"/>
      <c r="AG998" s="650"/>
      <c r="AH998" s="650"/>
      <c r="AI998" s="667"/>
    </row>
    <row r="999" spans="12:35" ht="45" customHeight="1" thickBot="1" x14ac:dyDescent="0.25">
      <c r="L999" s="645"/>
      <c r="M999" s="616"/>
      <c r="N999" s="616"/>
      <c r="O999" s="616"/>
      <c r="P999" s="615"/>
      <c r="Q999" s="616"/>
      <c r="R999" s="663"/>
      <c r="S999" s="459"/>
      <c r="T999" s="459"/>
      <c r="U999" s="459"/>
      <c r="V999" s="459"/>
      <c r="W999" s="459"/>
      <c r="X999" s="459"/>
      <c r="Y999" s="666"/>
      <c r="Z999" s="664"/>
      <c r="AA999" s="665"/>
      <c r="AB999" s="665"/>
      <c r="AC999" s="665"/>
      <c r="AD999" s="665"/>
      <c r="AE999" s="665"/>
      <c r="AF999" s="649"/>
      <c r="AG999" s="650"/>
      <c r="AH999" s="650"/>
      <c r="AI999" s="667"/>
    </row>
    <row r="1000" spans="12:35" ht="45" customHeight="1" thickBot="1" x14ac:dyDescent="0.25">
      <c r="L1000" s="645"/>
      <c r="M1000" s="616"/>
      <c r="N1000" s="616"/>
      <c r="O1000" s="616"/>
      <c r="P1000" s="615"/>
      <c r="Q1000" s="616"/>
      <c r="R1000" s="663"/>
      <c r="S1000" s="459"/>
      <c r="T1000" s="459"/>
      <c r="U1000" s="459"/>
      <c r="V1000" s="459"/>
      <c r="W1000" s="459"/>
      <c r="X1000" s="459"/>
      <c r="Y1000" s="666"/>
      <c r="Z1000" s="664"/>
      <c r="AA1000" s="665"/>
      <c r="AB1000" s="665"/>
      <c r="AC1000" s="665"/>
      <c r="AD1000" s="665"/>
      <c r="AE1000" s="665"/>
      <c r="AF1000" s="649"/>
      <c r="AG1000" s="650"/>
      <c r="AH1000" s="650"/>
      <c r="AI1000" s="667"/>
    </row>
    <row r="1001" spans="12:35" ht="45" customHeight="1" thickBot="1" x14ac:dyDescent="0.25">
      <c r="L1001" s="645"/>
      <c r="M1001" s="616"/>
      <c r="N1001" s="616"/>
      <c r="O1001" s="616"/>
      <c r="P1001" s="615"/>
      <c r="Q1001" s="616"/>
      <c r="R1001" s="663"/>
      <c r="S1001" s="459"/>
      <c r="T1001" s="459"/>
      <c r="U1001" s="459"/>
      <c r="V1001" s="459"/>
      <c r="W1001" s="459"/>
      <c r="X1001" s="459"/>
      <c r="Y1001" s="666"/>
      <c r="Z1001" s="664"/>
      <c r="AA1001" s="665"/>
      <c r="AB1001" s="665"/>
      <c r="AC1001" s="665"/>
      <c r="AD1001" s="665"/>
      <c r="AE1001" s="665"/>
      <c r="AF1001" s="649"/>
      <c r="AG1001" s="650"/>
      <c r="AH1001" s="650"/>
      <c r="AI1001" s="667"/>
    </row>
    <row r="1002" spans="12:35" ht="45" customHeight="1" thickBot="1" x14ac:dyDescent="0.25">
      <c r="L1002" s="645"/>
      <c r="M1002" s="616"/>
      <c r="N1002" s="616"/>
      <c r="O1002" s="616"/>
      <c r="P1002" s="615"/>
      <c r="Q1002" s="616"/>
      <c r="R1002" s="663"/>
      <c r="S1002" s="459"/>
      <c r="T1002" s="459"/>
      <c r="U1002" s="459"/>
      <c r="V1002" s="459"/>
      <c r="W1002" s="459"/>
      <c r="X1002" s="459"/>
      <c r="Y1002" s="666"/>
      <c r="Z1002" s="664"/>
      <c r="AA1002" s="665"/>
      <c r="AB1002" s="665"/>
      <c r="AC1002" s="665"/>
      <c r="AD1002" s="665"/>
      <c r="AE1002" s="665"/>
      <c r="AF1002" s="649"/>
      <c r="AG1002" s="650"/>
      <c r="AH1002" s="650"/>
      <c r="AI1002" s="667"/>
    </row>
    <row r="1003" spans="12:35" ht="45" customHeight="1" thickBot="1" x14ac:dyDescent="0.25">
      <c r="L1003" s="645"/>
      <c r="M1003" s="616"/>
      <c r="N1003" s="616"/>
      <c r="O1003" s="616"/>
      <c r="P1003" s="615"/>
      <c r="Q1003" s="616"/>
      <c r="R1003" s="663"/>
      <c r="S1003" s="459"/>
      <c r="T1003" s="459"/>
      <c r="U1003" s="459"/>
      <c r="V1003" s="459"/>
      <c r="W1003" s="459"/>
      <c r="X1003" s="459"/>
      <c r="Y1003" s="666"/>
      <c r="Z1003" s="664"/>
      <c r="AA1003" s="665"/>
      <c r="AB1003" s="665"/>
      <c r="AC1003" s="665"/>
      <c r="AD1003" s="665"/>
      <c r="AE1003" s="665"/>
      <c r="AF1003" s="649"/>
      <c r="AG1003" s="650"/>
      <c r="AH1003" s="650"/>
      <c r="AI1003" s="667"/>
    </row>
    <row r="1004" spans="12:35" ht="45" customHeight="1" thickBot="1" x14ac:dyDescent="0.25">
      <c r="L1004" s="645"/>
      <c r="M1004" s="616"/>
      <c r="N1004" s="616"/>
      <c r="O1004" s="616"/>
      <c r="P1004" s="615"/>
      <c r="Q1004" s="616"/>
      <c r="R1004" s="663"/>
      <c r="S1004" s="459"/>
      <c r="T1004" s="459"/>
      <c r="U1004" s="459"/>
      <c r="V1004" s="459"/>
      <c r="W1004" s="459"/>
      <c r="X1004" s="459"/>
      <c r="Y1004" s="666"/>
      <c r="Z1004" s="664"/>
      <c r="AA1004" s="665"/>
      <c r="AB1004" s="665"/>
      <c r="AC1004" s="665"/>
      <c r="AD1004" s="665"/>
      <c r="AE1004" s="665"/>
      <c r="AF1004" s="649"/>
      <c r="AG1004" s="650"/>
      <c r="AH1004" s="650"/>
      <c r="AI1004" s="667"/>
    </row>
    <row r="1005" spans="12:35" ht="45" customHeight="1" thickBot="1" x14ac:dyDescent="0.25">
      <c r="L1005" s="645"/>
      <c r="M1005" s="616"/>
      <c r="N1005" s="616"/>
      <c r="O1005" s="616"/>
      <c r="P1005" s="615"/>
      <c r="Q1005" s="616"/>
      <c r="R1005" s="663"/>
      <c r="S1005" s="459"/>
      <c r="T1005" s="459"/>
      <c r="U1005" s="459"/>
      <c r="V1005" s="459"/>
      <c r="W1005" s="459"/>
      <c r="X1005" s="459"/>
      <c r="Y1005" s="666"/>
      <c r="Z1005" s="664"/>
      <c r="AA1005" s="665"/>
      <c r="AB1005" s="665"/>
      <c r="AC1005" s="665"/>
      <c r="AD1005" s="665"/>
      <c r="AE1005" s="665"/>
      <c r="AF1005" s="649"/>
      <c r="AG1005" s="650"/>
      <c r="AH1005" s="650"/>
      <c r="AI1005" s="667"/>
    </row>
    <row r="1006" spans="12:35" ht="45" customHeight="1" thickBot="1" x14ac:dyDescent="0.25">
      <c r="L1006" s="645"/>
      <c r="M1006" s="616"/>
      <c r="N1006" s="616"/>
      <c r="O1006" s="616"/>
      <c r="P1006" s="615"/>
      <c r="Q1006" s="616"/>
      <c r="R1006" s="663"/>
      <c r="S1006" s="459"/>
      <c r="T1006" s="459"/>
      <c r="U1006" s="459"/>
      <c r="V1006" s="459"/>
      <c r="W1006" s="459"/>
      <c r="X1006" s="459"/>
      <c r="Y1006" s="666"/>
      <c r="Z1006" s="664"/>
      <c r="AA1006" s="665"/>
      <c r="AB1006" s="665"/>
      <c r="AC1006" s="665"/>
      <c r="AD1006" s="665"/>
      <c r="AE1006" s="665"/>
      <c r="AF1006" s="649"/>
      <c r="AG1006" s="650"/>
      <c r="AH1006" s="650"/>
      <c r="AI1006" s="667"/>
    </row>
    <row r="1007" spans="12:35" ht="45" customHeight="1" thickBot="1" x14ac:dyDescent="0.25">
      <c r="L1007" s="645"/>
      <c r="M1007" s="616"/>
      <c r="N1007" s="616"/>
      <c r="O1007" s="616"/>
      <c r="P1007" s="615"/>
      <c r="Q1007" s="616"/>
      <c r="R1007" s="663"/>
      <c r="S1007" s="459"/>
      <c r="T1007" s="459"/>
      <c r="U1007" s="459"/>
      <c r="V1007" s="459"/>
      <c r="W1007" s="459"/>
      <c r="X1007" s="459"/>
      <c r="Y1007" s="666"/>
      <c r="Z1007" s="664"/>
      <c r="AA1007" s="665"/>
      <c r="AB1007" s="665"/>
      <c r="AC1007" s="665"/>
      <c r="AD1007" s="665"/>
      <c r="AE1007" s="665"/>
      <c r="AF1007" s="649"/>
      <c r="AG1007" s="650"/>
      <c r="AH1007" s="650"/>
      <c r="AI1007" s="667"/>
    </row>
    <row r="1008" spans="12:35" ht="45" customHeight="1" thickBot="1" x14ac:dyDescent="0.25">
      <c r="L1008" s="645"/>
      <c r="M1008" s="616"/>
      <c r="N1008" s="616"/>
      <c r="O1008" s="616"/>
      <c r="P1008" s="615"/>
      <c r="Q1008" s="616"/>
      <c r="R1008" s="663"/>
      <c r="S1008" s="459"/>
      <c r="T1008" s="459"/>
      <c r="U1008" s="459"/>
      <c r="V1008" s="459"/>
      <c r="W1008" s="459"/>
      <c r="X1008" s="459"/>
      <c r="Y1008" s="666"/>
      <c r="Z1008" s="664"/>
      <c r="AA1008" s="665"/>
      <c r="AB1008" s="665"/>
      <c r="AC1008" s="665"/>
      <c r="AD1008" s="665"/>
      <c r="AE1008" s="665"/>
      <c r="AF1008" s="649"/>
      <c r="AG1008" s="650"/>
      <c r="AH1008" s="650"/>
      <c r="AI1008" s="667"/>
    </row>
    <row r="1009" spans="12:35" ht="45" customHeight="1" thickBot="1" x14ac:dyDescent="0.25">
      <c r="L1009" s="645"/>
      <c r="M1009" s="616"/>
      <c r="N1009" s="616"/>
      <c r="O1009" s="616"/>
      <c r="P1009" s="615"/>
      <c r="Q1009" s="616"/>
      <c r="R1009" s="663"/>
      <c r="S1009" s="459"/>
      <c r="T1009" s="459"/>
      <c r="U1009" s="459"/>
      <c r="V1009" s="459"/>
      <c r="W1009" s="459"/>
      <c r="X1009" s="459"/>
      <c r="Y1009" s="666"/>
      <c r="Z1009" s="664"/>
      <c r="AA1009" s="665"/>
      <c r="AB1009" s="665"/>
      <c r="AC1009" s="665"/>
      <c r="AD1009" s="665"/>
      <c r="AE1009" s="665"/>
      <c r="AF1009" s="649"/>
      <c r="AG1009" s="650"/>
      <c r="AH1009" s="650"/>
      <c r="AI1009" s="667"/>
    </row>
    <row r="1010" spans="12:35" ht="45" customHeight="1" thickBot="1" x14ac:dyDescent="0.25">
      <c r="L1010" s="645"/>
      <c r="M1010" s="616"/>
      <c r="N1010" s="616"/>
      <c r="O1010" s="616"/>
      <c r="P1010" s="615"/>
      <c r="Q1010" s="616"/>
      <c r="R1010" s="663"/>
      <c r="S1010" s="459"/>
      <c r="T1010" s="459"/>
      <c r="U1010" s="459"/>
      <c r="V1010" s="459"/>
      <c r="W1010" s="459"/>
      <c r="X1010" s="459"/>
      <c r="Y1010" s="666"/>
      <c r="Z1010" s="664"/>
      <c r="AA1010" s="665"/>
      <c r="AB1010" s="665"/>
      <c r="AC1010" s="665"/>
      <c r="AD1010" s="665"/>
      <c r="AE1010" s="665"/>
      <c r="AF1010" s="649"/>
      <c r="AG1010" s="650"/>
      <c r="AH1010" s="650"/>
      <c r="AI1010" s="667"/>
    </row>
    <row r="1011" spans="12:35" ht="45" customHeight="1" thickBot="1" x14ac:dyDescent="0.25">
      <c r="L1011" s="645"/>
      <c r="M1011" s="616"/>
      <c r="N1011" s="616"/>
      <c r="O1011" s="616"/>
      <c r="P1011" s="615"/>
      <c r="Q1011" s="616"/>
      <c r="R1011" s="663"/>
      <c r="S1011" s="459"/>
      <c r="T1011" s="459"/>
      <c r="U1011" s="459"/>
      <c r="V1011" s="459"/>
      <c r="W1011" s="459"/>
      <c r="X1011" s="459"/>
      <c r="Y1011" s="666"/>
      <c r="Z1011" s="664"/>
      <c r="AA1011" s="665"/>
      <c r="AB1011" s="665"/>
      <c r="AC1011" s="665"/>
      <c r="AD1011" s="665"/>
      <c r="AE1011" s="665"/>
      <c r="AF1011" s="649"/>
      <c r="AG1011" s="650"/>
      <c r="AH1011" s="650"/>
      <c r="AI1011" s="667"/>
    </row>
    <row r="1012" spans="12:35" ht="45" customHeight="1" thickBot="1" x14ac:dyDescent="0.25">
      <c r="L1012" s="645"/>
      <c r="M1012" s="616"/>
      <c r="N1012" s="616"/>
      <c r="O1012" s="616"/>
      <c r="P1012" s="615"/>
      <c r="Q1012" s="616"/>
      <c r="R1012" s="663"/>
      <c r="S1012" s="459"/>
      <c r="T1012" s="459"/>
      <c r="U1012" s="459"/>
      <c r="V1012" s="459"/>
      <c r="W1012" s="459"/>
      <c r="X1012" s="459"/>
      <c r="Y1012" s="666"/>
      <c r="Z1012" s="664"/>
      <c r="AA1012" s="665"/>
      <c r="AB1012" s="665"/>
      <c r="AC1012" s="665"/>
      <c r="AD1012" s="665"/>
      <c r="AE1012" s="665"/>
      <c r="AF1012" s="649"/>
      <c r="AG1012" s="650"/>
      <c r="AH1012" s="650"/>
      <c r="AI1012" s="667"/>
    </row>
    <row r="1013" spans="12:35" ht="45" customHeight="1" thickBot="1" x14ac:dyDescent="0.25">
      <c r="L1013" s="645"/>
      <c r="M1013" s="616"/>
      <c r="N1013" s="616"/>
      <c r="O1013" s="616"/>
      <c r="P1013" s="615"/>
      <c r="Q1013" s="616"/>
      <c r="R1013" s="663"/>
      <c r="S1013" s="459"/>
      <c r="T1013" s="459"/>
      <c r="U1013" s="459"/>
      <c r="V1013" s="459"/>
      <c r="W1013" s="459"/>
      <c r="X1013" s="459"/>
      <c r="Y1013" s="666"/>
      <c r="Z1013" s="664"/>
      <c r="AA1013" s="665"/>
      <c r="AB1013" s="665"/>
      <c r="AC1013" s="665"/>
      <c r="AD1013" s="665"/>
      <c r="AE1013" s="665"/>
      <c r="AF1013" s="649"/>
      <c r="AG1013" s="650"/>
      <c r="AH1013" s="650"/>
      <c r="AI1013" s="667"/>
    </row>
    <row r="1014" spans="12:35" ht="45" customHeight="1" thickBot="1" x14ac:dyDescent="0.25">
      <c r="L1014" s="645"/>
      <c r="M1014" s="616"/>
      <c r="N1014" s="616"/>
      <c r="O1014" s="616"/>
      <c r="P1014" s="615"/>
      <c r="Q1014" s="616"/>
      <c r="R1014" s="663"/>
      <c r="S1014" s="459"/>
      <c r="T1014" s="459"/>
      <c r="U1014" s="459"/>
      <c r="V1014" s="459"/>
      <c r="W1014" s="459"/>
      <c r="X1014" s="459"/>
      <c r="Y1014" s="666"/>
      <c r="Z1014" s="664"/>
      <c r="AA1014" s="665"/>
      <c r="AB1014" s="665"/>
      <c r="AC1014" s="665"/>
      <c r="AD1014" s="665"/>
      <c r="AE1014" s="665"/>
      <c r="AF1014" s="649"/>
      <c r="AG1014" s="650"/>
      <c r="AH1014" s="650"/>
      <c r="AI1014" s="667"/>
    </row>
    <row r="1015" spans="12:35" ht="45" customHeight="1" thickBot="1" x14ac:dyDescent="0.25">
      <c r="L1015" s="645"/>
      <c r="M1015" s="616"/>
      <c r="N1015" s="616"/>
      <c r="O1015" s="616"/>
      <c r="P1015" s="615"/>
      <c r="Q1015" s="616"/>
      <c r="R1015" s="663"/>
      <c r="S1015" s="459"/>
      <c r="T1015" s="459"/>
      <c r="U1015" s="459"/>
      <c r="V1015" s="459"/>
      <c r="W1015" s="459"/>
      <c r="X1015" s="459"/>
      <c r="Y1015" s="666"/>
      <c r="Z1015" s="664"/>
      <c r="AA1015" s="665"/>
      <c r="AB1015" s="665"/>
      <c r="AC1015" s="665"/>
      <c r="AD1015" s="665"/>
      <c r="AE1015" s="665"/>
      <c r="AF1015" s="649"/>
      <c r="AG1015" s="650"/>
      <c r="AH1015" s="650"/>
      <c r="AI1015" s="667"/>
    </row>
    <row r="1016" spans="12:35" ht="45" customHeight="1" thickBot="1" x14ac:dyDescent="0.25">
      <c r="L1016" s="645"/>
      <c r="M1016" s="616"/>
      <c r="N1016" s="616"/>
      <c r="O1016" s="616"/>
      <c r="P1016" s="615"/>
      <c r="Q1016" s="616"/>
      <c r="R1016" s="663"/>
      <c r="S1016" s="459"/>
      <c r="T1016" s="459"/>
      <c r="U1016" s="459"/>
      <c r="V1016" s="459"/>
      <c r="W1016" s="459"/>
      <c r="X1016" s="459"/>
      <c r="Y1016" s="666"/>
      <c r="Z1016" s="664"/>
      <c r="AA1016" s="665"/>
      <c r="AB1016" s="665"/>
      <c r="AC1016" s="665"/>
      <c r="AD1016" s="665"/>
      <c r="AE1016" s="665"/>
      <c r="AF1016" s="649"/>
      <c r="AG1016" s="650"/>
      <c r="AH1016" s="650"/>
      <c r="AI1016" s="667"/>
    </row>
    <row r="1017" spans="12:35" ht="45" customHeight="1" thickBot="1" x14ac:dyDescent="0.25">
      <c r="L1017" s="645"/>
      <c r="M1017" s="616"/>
      <c r="N1017" s="616"/>
      <c r="O1017" s="616"/>
      <c r="P1017" s="615"/>
      <c r="Q1017" s="616"/>
      <c r="R1017" s="663"/>
      <c r="S1017" s="459"/>
      <c r="T1017" s="459"/>
      <c r="U1017" s="459"/>
      <c r="V1017" s="459"/>
      <c r="W1017" s="459"/>
      <c r="X1017" s="459"/>
      <c r="Y1017" s="666"/>
      <c r="Z1017" s="664"/>
      <c r="AA1017" s="665"/>
      <c r="AB1017" s="665"/>
      <c r="AC1017" s="665"/>
      <c r="AD1017" s="665"/>
      <c r="AE1017" s="665"/>
      <c r="AF1017" s="649"/>
      <c r="AG1017" s="650"/>
      <c r="AH1017" s="650"/>
      <c r="AI1017" s="667"/>
    </row>
    <row r="1018" spans="12:35" ht="45" customHeight="1" thickBot="1" x14ac:dyDescent="0.25">
      <c r="L1018" s="645"/>
      <c r="M1018" s="616"/>
      <c r="N1018" s="616"/>
      <c r="O1018" s="616"/>
      <c r="P1018" s="615"/>
      <c r="Q1018" s="616"/>
      <c r="R1018" s="663"/>
      <c r="S1018" s="459"/>
      <c r="T1018" s="459"/>
      <c r="U1018" s="459"/>
      <c r="V1018" s="459"/>
      <c r="W1018" s="459"/>
      <c r="X1018" s="459"/>
      <c r="Y1018" s="666"/>
      <c r="Z1018" s="664"/>
      <c r="AA1018" s="665"/>
      <c r="AB1018" s="665"/>
      <c r="AC1018" s="665"/>
      <c r="AD1018" s="665"/>
      <c r="AE1018" s="665"/>
      <c r="AF1018" s="649"/>
      <c r="AG1018" s="650"/>
      <c r="AH1018" s="650"/>
      <c r="AI1018" s="667"/>
    </row>
    <row r="1019" spans="12:35" ht="45" customHeight="1" thickBot="1" x14ac:dyDescent="0.25">
      <c r="L1019" s="645"/>
      <c r="M1019" s="616"/>
      <c r="N1019" s="616"/>
      <c r="O1019" s="616"/>
      <c r="P1019" s="615"/>
      <c r="Q1019" s="616"/>
      <c r="R1019" s="663"/>
      <c r="S1019" s="459"/>
      <c r="T1019" s="459"/>
      <c r="U1019" s="459"/>
      <c r="V1019" s="459"/>
      <c r="W1019" s="459"/>
      <c r="X1019" s="459"/>
      <c r="Y1019" s="666"/>
      <c r="Z1019" s="664"/>
      <c r="AA1019" s="665"/>
      <c r="AB1019" s="665"/>
      <c r="AC1019" s="665"/>
      <c r="AD1019" s="665"/>
      <c r="AE1019" s="665"/>
      <c r="AF1019" s="649"/>
      <c r="AG1019" s="650"/>
      <c r="AH1019" s="650"/>
      <c r="AI1019" s="667"/>
    </row>
    <row r="1020" spans="12:35" ht="45" customHeight="1" thickBot="1" x14ac:dyDescent="0.25">
      <c r="L1020" s="645"/>
      <c r="M1020" s="616"/>
      <c r="N1020" s="616"/>
      <c r="O1020" s="616"/>
      <c r="P1020" s="615"/>
      <c r="Q1020" s="616"/>
      <c r="R1020" s="663"/>
      <c r="S1020" s="459"/>
      <c r="T1020" s="459"/>
      <c r="U1020" s="459"/>
      <c r="V1020" s="459"/>
      <c r="W1020" s="459"/>
      <c r="X1020" s="459"/>
      <c r="Y1020" s="666"/>
      <c r="Z1020" s="664"/>
      <c r="AA1020" s="665"/>
      <c r="AB1020" s="665"/>
      <c r="AC1020" s="665"/>
      <c r="AD1020" s="665"/>
      <c r="AE1020" s="665"/>
      <c r="AF1020" s="649"/>
      <c r="AG1020" s="650"/>
      <c r="AH1020" s="650"/>
      <c r="AI1020" s="667"/>
    </row>
    <row r="1021" spans="12:35" ht="45" customHeight="1" thickBot="1" x14ac:dyDescent="0.25">
      <c r="L1021" s="645"/>
      <c r="M1021" s="616"/>
      <c r="N1021" s="616"/>
      <c r="O1021" s="616"/>
      <c r="P1021" s="615"/>
      <c r="Q1021" s="616"/>
      <c r="R1021" s="663"/>
      <c r="S1021" s="459"/>
      <c r="T1021" s="459"/>
      <c r="U1021" s="459"/>
      <c r="V1021" s="459"/>
      <c r="W1021" s="459"/>
      <c r="X1021" s="459"/>
      <c r="Y1021" s="666"/>
      <c r="Z1021" s="664"/>
      <c r="AA1021" s="665"/>
      <c r="AB1021" s="665"/>
      <c r="AC1021" s="665"/>
      <c r="AD1021" s="665"/>
      <c r="AE1021" s="665"/>
      <c r="AF1021" s="649"/>
      <c r="AG1021" s="650"/>
      <c r="AH1021" s="650"/>
      <c r="AI1021" s="667"/>
    </row>
    <row r="1022" spans="12:35" ht="45" customHeight="1" thickBot="1" x14ac:dyDescent="0.25">
      <c r="L1022" s="645"/>
      <c r="M1022" s="616"/>
      <c r="N1022" s="616"/>
      <c r="O1022" s="616"/>
      <c r="P1022" s="615"/>
      <c r="Q1022" s="616"/>
      <c r="R1022" s="663"/>
      <c r="S1022" s="459"/>
      <c r="T1022" s="459"/>
      <c r="U1022" s="459"/>
      <c r="V1022" s="459"/>
      <c r="W1022" s="459"/>
      <c r="X1022" s="459"/>
      <c r="Y1022" s="666"/>
      <c r="Z1022" s="664"/>
      <c r="AA1022" s="665"/>
      <c r="AB1022" s="665"/>
      <c r="AC1022" s="665"/>
      <c r="AD1022" s="665"/>
      <c r="AE1022" s="665"/>
      <c r="AF1022" s="649"/>
      <c r="AG1022" s="650"/>
      <c r="AH1022" s="650"/>
      <c r="AI1022" s="667"/>
    </row>
    <row r="1023" spans="12:35" ht="45" customHeight="1" thickBot="1" x14ac:dyDescent="0.25">
      <c r="L1023" s="645"/>
      <c r="M1023" s="616"/>
      <c r="N1023" s="616"/>
      <c r="O1023" s="616"/>
      <c r="P1023" s="615"/>
      <c r="Q1023" s="616"/>
      <c r="R1023" s="663"/>
      <c r="S1023" s="459"/>
      <c r="T1023" s="459"/>
      <c r="U1023" s="459"/>
      <c r="V1023" s="459"/>
      <c r="W1023" s="459"/>
      <c r="X1023" s="459"/>
      <c r="Y1023" s="666"/>
      <c r="Z1023" s="664"/>
      <c r="AA1023" s="665"/>
      <c r="AB1023" s="665"/>
      <c r="AC1023" s="665"/>
      <c r="AD1023" s="665"/>
      <c r="AE1023" s="665"/>
      <c r="AF1023" s="649"/>
      <c r="AG1023" s="650"/>
      <c r="AH1023" s="650"/>
      <c r="AI1023" s="667"/>
    </row>
    <row r="1024" spans="12:35" ht="45" customHeight="1" thickBot="1" x14ac:dyDescent="0.25">
      <c r="L1024" s="645"/>
      <c r="M1024" s="616"/>
      <c r="N1024" s="616"/>
      <c r="O1024" s="616"/>
      <c r="P1024" s="615"/>
      <c r="Q1024" s="616"/>
      <c r="R1024" s="663"/>
      <c r="S1024" s="459"/>
      <c r="T1024" s="459"/>
      <c r="U1024" s="459"/>
      <c r="V1024" s="459"/>
      <c r="W1024" s="459"/>
      <c r="X1024" s="459"/>
      <c r="Y1024" s="666"/>
      <c r="Z1024" s="664"/>
      <c r="AA1024" s="665"/>
      <c r="AB1024" s="665"/>
      <c r="AC1024" s="665"/>
      <c r="AD1024" s="665"/>
      <c r="AE1024" s="665"/>
      <c r="AF1024" s="649"/>
      <c r="AG1024" s="650"/>
      <c r="AH1024" s="650"/>
      <c r="AI1024" s="667"/>
    </row>
    <row r="1025" spans="12:35" ht="45" customHeight="1" thickBot="1" x14ac:dyDescent="0.25">
      <c r="L1025" s="645"/>
      <c r="M1025" s="616"/>
      <c r="N1025" s="616"/>
      <c r="O1025" s="616"/>
      <c r="P1025" s="615"/>
      <c r="Q1025" s="616"/>
      <c r="R1025" s="663"/>
      <c r="S1025" s="459"/>
      <c r="T1025" s="459"/>
      <c r="U1025" s="459"/>
      <c r="V1025" s="459"/>
      <c r="W1025" s="459"/>
      <c r="X1025" s="459"/>
      <c r="Y1025" s="666"/>
      <c r="Z1025" s="664"/>
      <c r="AA1025" s="665"/>
      <c r="AB1025" s="665"/>
      <c r="AC1025" s="665"/>
      <c r="AD1025" s="665"/>
      <c r="AE1025" s="665"/>
      <c r="AF1025" s="649"/>
      <c r="AG1025" s="650"/>
      <c r="AH1025" s="650"/>
      <c r="AI1025" s="667"/>
    </row>
    <row r="1026" spans="12:35" ht="45" customHeight="1" thickBot="1" x14ac:dyDescent="0.25">
      <c r="L1026" s="645"/>
      <c r="M1026" s="616"/>
      <c r="N1026" s="616"/>
      <c r="O1026" s="616"/>
      <c r="P1026" s="615"/>
      <c r="Q1026" s="616"/>
      <c r="R1026" s="663"/>
      <c r="S1026" s="459"/>
      <c r="T1026" s="459"/>
      <c r="U1026" s="459"/>
      <c r="V1026" s="459"/>
      <c r="W1026" s="459"/>
      <c r="X1026" s="459"/>
      <c r="Y1026" s="666"/>
      <c r="Z1026" s="664"/>
      <c r="AA1026" s="665"/>
      <c r="AB1026" s="665"/>
      <c r="AC1026" s="665"/>
      <c r="AD1026" s="665"/>
      <c r="AE1026" s="665"/>
      <c r="AF1026" s="649"/>
      <c r="AG1026" s="650"/>
      <c r="AH1026" s="650"/>
      <c r="AI1026" s="667"/>
    </row>
    <row r="1027" spans="12:35" ht="45" customHeight="1" thickBot="1" x14ac:dyDescent="0.25">
      <c r="L1027" s="645"/>
      <c r="M1027" s="616"/>
      <c r="N1027" s="616"/>
      <c r="O1027" s="616"/>
      <c r="P1027" s="615"/>
      <c r="Q1027" s="616"/>
      <c r="R1027" s="663"/>
      <c r="S1027" s="459"/>
      <c r="T1027" s="459"/>
      <c r="U1027" s="459"/>
      <c r="V1027" s="459"/>
      <c r="W1027" s="459"/>
      <c r="X1027" s="459"/>
      <c r="Y1027" s="666"/>
      <c r="Z1027" s="664"/>
      <c r="AA1027" s="665"/>
      <c r="AB1027" s="665"/>
      <c r="AC1027" s="665"/>
      <c r="AD1027" s="665"/>
      <c r="AE1027" s="665"/>
      <c r="AF1027" s="649"/>
      <c r="AG1027" s="650"/>
      <c r="AH1027" s="650"/>
      <c r="AI1027" s="667"/>
    </row>
    <row r="1028" spans="12:35" ht="45" customHeight="1" thickBot="1" x14ac:dyDescent="0.25">
      <c r="L1028" s="645"/>
      <c r="M1028" s="616"/>
      <c r="N1028" s="616"/>
      <c r="O1028" s="616"/>
      <c r="P1028" s="615"/>
      <c r="Q1028" s="616"/>
      <c r="R1028" s="663"/>
      <c r="S1028" s="459"/>
      <c r="T1028" s="459"/>
      <c r="U1028" s="459"/>
      <c r="V1028" s="459"/>
      <c r="W1028" s="459"/>
      <c r="X1028" s="459"/>
      <c r="Y1028" s="666"/>
      <c r="Z1028" s="664"/>
      <c r="AA1028" s="665"/>
      <c r="AB1028" s="665"/>
      <c r="AC1028" s="665"/>
      <c r="AD1028" s="665"/>
      <c r="AE1028" s="665"/>
      <c r="AF1028" s="649"/>
      <c r="AG1028" s="650"/>
      <c r="AH1028" s="650"/>
      <c r="AI1028" s="667"/>
    </row>
    <row r="1029" spans="12:35" ht="45" customHeight="1" thickBot="1" x14ac:dyDescent="0.25">
      <c r="L1029" s="645"/>
      <c r="M1029" s="616"/>
      <c r="N1029" s="616"/>
      <c r="O1029" s="616"/>
      <c r="P1029" s="615"/>
      <c r="Q1029" s="616"/>
      <c r="R1029" s="663"/>
      <c r="S1029" s="459"/>
      <c r="T1029" s="459"/>
      <c r="U1029" s="459"/>
      <c r="V1029" s="459"/>
      <c r="W1029" s="459"/>
      <c r="X1029" s="459"/>
      <c r="Y1029" s="666"/>
      <c r="Z1029" s="664"/>
      <c r="AA1029" s="665"/>
      <c r="AB1029" s="665"/>
      <c r="AC1029" s="665"/>
      <c r="AD1029" s="665"/>
      <c r="AE1029" s="665"/>
      <c r="AF1029" s="649"/>
      <c r="AG1029" s="650"/>
      <c r="AH1029" s="650"/>
      <c r="AI1029" s="667"/>
    </row>
    <row r="1030" spans="12:35" ht="45" customHeight="1" thickBot="1" x14ac:dyDescent="0.25">
      <c r="L1030" s="645"/>
      <c r="M1030" s="616"/>
      <c r="N1030" s="616"/>
      <c r="O1030" s="616"/>
      <c r="P1030" s="615"/>
      <c r="Q1030" s="616"/>
      <c r="R1030" s="663"/>
      <c r="S1030" s="459"/>
      <c r="T1030" s="459"/>
      <c r="U1030" s="459"/>
      <c r="V1030" s="459"/>
      <c r="W1030" s="459"/>
      <c r="X1030" s="459"/>
      <c r="Y1030" s="666"/>
      <c r="Z1030" s="664"/>
      <c r="AA1030" s="665"/>
      <c r="AB1030" s="665"/>
      <c r="AC1030" s="665"/>
      <c r="AD1030" s="665"/>
      <c r="AE1030" s="665"/>
      <c r="AF1030" s="649"/>
      <c r="AG1030" s="650"/>
      <c r="AH1030" s="650"/>
      <c r="AI1030" s="667"/>
    </row>
    <row r="1031" spans="12:35" ht="45" customHeight="1" thickBot="1" x14ac:dyDescent="0.25">
      <c r="L1031" s="645"/>
      <c r="M1031" s="616"/>
      <c r="N1031" s="616"/>
      <c r="O1031" s="616"/>
      <c r="P1031" s="615"/>
      <c r="Q1031" s="616"/>
      <c r="R1031" s="663"/>
      <c r="S1031" s="459"/>
      <c r="T1031" s="459"/>
      <c r="U1031" s="459"/>
      <c r="V1031" s="459"/>
      <c r="W1031" s="459"/>
      <c r="X1031" s="459"/>
      <c r="Y1031" s="666"/>
      <c r="Z1031" s="664"/>
      <c r="AA1031" s="665"/>
      <c r="AB1031" s="665"/>
      <c r="AC1031" s="665"/>
      <c r="AD1031" s="665"/>
      <c r="AE1031" s="665"/>
      <c r="AF1031" s="649"/>
      <c r="AG1031" s="650"/>
      <c r="AH1031" s="650"/>
      <c r="AI1031" s="667"/>
    </row>
    <row r="1032" spans="12:35" ht="45" customHeight="1" thickBot="1" x14ac:dyDescent="0.25">
      <c r="L1032" s="645"/>
      <c r="M1032" s="616"/>
      <c r="N1032" s="616"/>
      <c r="O1032" s="616"/>
      <c r="P1032" s="615"/>
      <c r="Q1032" s="616"/>
      <c r="R1032" s="663"/>
      <c r="S1032" s="459"/>
      <c r="T1032" s="459"/>
      <c r="U1032" s="459"/>
      <c r="V1032" s="459"/>
      <c r="W1032" s="459"/>
      <c r="X1032" s="459"/>
      <c r="Y1032" s="666"/>
      <c r="Z1032" s="664"/>
      <c r="AA1032" s="665"/>
      <c r="AB1032" s="665"/>
      <c r="AC1032" s="665"/>
      <c r="AD1032" s="665"/>
      <c r="AE1032" s="665"/>
      <c r="AF1032" s="649"/>
      <c r="AG1032" s="650"/>
      <c r="AH1032" s="650"/>
      <c r="AI1032" s="667"/>
    </row>
    <row r="1033" spans="12:35" ht="45" customHeight="1" thickBot="1" x14ac:dyDescent="0.25">
      <c r="L1033" s="645"/>
      <c r="M1033" s="616"/>
      <c r="N1033" s="616"/>
      <c r="O1033" s="616"/>
      <c r="P1033" s="615"/>
      <c r="Q1033" s="616"/>
      <c r="R1033" s="663"/>
      <c r="S1033" s="459"/>
      <c r="T1033" s="459"/>
      <c r="U1033" s="459"/>
      <c r="V1033" s="459"/>
      <c r="W1033" s="459"/>
      <c r="X1033" s="459"/>
      <c r="Y1033" s="666"/>
      <c r="Z1033" s="664"/>
      <c r="AA1033" s="665"/>
      <c r="AB1033" s="665"/>
      <c r="AC1033" s="665"/>
      <c r="AD1033" s="665"/>
      <c r="AE1033" s="665"/>
      <c r="AF1033" s="649"/>
      <c r="AG1033" s="650"/>
      <c r="AH1033" s="650"/>
      <c r="AI1033" s="667"/>
    </row>
    <row r="1034" spans="12:35" ht="45" customHeight="1" thickBot="1" x14ac:dyDescent="0.25">
      <c r="L1034" s="645"/>
      <c r="M1034" s="616"/>
      <c r="N1034" s="616"/>
      <c r="O1034" s="616"/>
      <c r="P1034" s="615"/>
      <c r="Q1034" s="616"/>
      <c r="R1034" s="663"/>
      <c r="S1034" s="459"/>
      <c r="T1034" s="459"/>
      <c r="U1034" s="459"/>
      <c r="V1034" s="459"/>
      <c r="W1034" s="459"/>
      <c r="X1034" s="459"/>
      <c r="Y1034" s="666"/>
      <c r="Z1034" s="664"/>
      <c r="AA1034" s="665"/>
      <c r="AB1034" s="665"/>
      <c r="AC1034" s="665"/>
      <c r="AD1034" s="665"/>
      <c r="AE1034" s="665"/>
      <c r="AF1034" s="649"/>
      <c r="AG1034" s="650"/>
      <c r="AH1034" s="650"/>
      <c r="AI1034" s="667"/>
    </row>
    <row r="1035" spans="12:35" ht="45" customHeight="1" thickBot="1" x14ac:dyDescent="0.25">
      <c r="L1035" s="645"/>
      <c r="M1035" s="616"/>
      <c r="N1035" s="616"/>
      <c r="O1035" s="616"/>
      <c r="P1035" s="615"/>
      <c r="Q1035" s="616"/>
      <c r="R1035" s="663"/>
      <c r="S1035" s="459"/>
      <c r="T1035" s="459"/>
      <c r="U1035" s="459"/>
      <c r="V1035" s="459"/>
      <c r="W1035" s="459"/>
      <c r="X1035" s="459"/>
      <c r="Y1035" s="666"/>
      <c r="Z1035" s="664"/>
      <c r="AA1035" s="665"/>
      <c r="AB1035" s="665"/>
      <c r="AC1035" s="665"/>
      <c r="AD1035" s="665"/>
      <c r="AE1035" s="665"/>
      <c r="AF1035" s="649"/>
      <c r="AG1035" s="650"/>
      <c r="AH1035" s="650"/>
      <c r="AI1035" s="667"/>
    </row>
    <row r="1036" spans="12:35" ht="45" customHeight="1" thickBot="1" x14ac:dyDescent="0.25">
      <c r="L1036" s="645"/>
      <c r="M1036" s="616"/>
      <c r="N1036" s="616"/>
      <c r="O1036" s="616"/>
      <c r="P1036" s="615"/>
      <c r="Q1036" s="616"/>
      <c r="R1036" s="663"/>
      <c r="S1036" s="459"/>
      <c r="T1036" s="459"/>
      <c r="U1036" s="459"/>
      <c r="V1036" s="459"/>
      <c r="W1036" s="459"/>
      <c r="X1036" s="459"/>
      <c r="Y1036" s="666"/>
      <c r="Z1036" s="664"/>
      <c r="AA1036" s="665"/>
      <c r="AB1036" s="665"/>
      <c r="AC1036" s="665"/>
      <c r="AD1036" s="665"/>
      <c r="AE1036" s="665"/>
      <c r="AF1036" s="649"/>
      <c r="AG1036" s="650"/>
      <c r="AH1036" s="650"/>
      <c r="AI1036" s="667"/>
    </row>
    <row r="1037" spans="12:35" ht="45" customHeight="1" thickBot="1" x14ac:dyDescent="0.25">
      <c r="L1037" s="645"/>
      <c r="M1037" s="616"/>
      <c r="N1037" s="616"/>
      <c r="O1037" s="616"/>
      <c r="P1037" s="615"/>
      <c r="Q1037" s="616"/>
      <c r="R1037" s="663"/>
      <c r="S1037" s="459"/>
      <c r="T1037" s="459"/>
      <c r="U1037" s="459"/>
      <c r="V1037" s="459"/>
      <c r="W1037" s="459"/>
      <c r="X1037" s="459"/>
      <c r="Y1037" s="666"/>
      <c r="Z1037" s="664"/>
      <c r="AA1037" s="665"/>
      <c r="AB1037" s="665"/>
      <c r="AC1037" s="665"/>
      <c r="AD1037" s="665"/>
      <c r="AE1037" s="665"/>
      <c r="AF1037" s="649"/>
      <c r="AG1037" s="650"/>
      <c r="AH1037" s="650"/>
      <c r="AI1037" s="667"/>
    </row>
    <row r="1038" spans="12:35" ht="45" customHeight="1" thickBot="1" x14ac:dyDescent="0.25">
      <c r="L1038" s="645"/>
      <c r="M1038" s="616"/>
      <c r="N1038" s="616"/>
      <c r="O1038" s="616"/>
      <c r="P1038" s="615"/>
      <c r="Q1038" s="616"/>
      <c r="R1038" s="663"/>
      <c r="S1038" s="459"/>
      <c r="T1038" s="459"/>
      <c r="U1038" s="459"/>
      <c r="V1038" s="459"/>
      <c r="W1038" s="459"/>
      <c r="X1038" s="459"/>
      <c r="Y1038" s="666"/>
      <c r="Z1038" s="664"/>
      <c r="AA1038" s="665"/>
      <c r="AB1038" s="665"/>
      <c r="AC1038" s="665"/>
      <c r="AD1038" s="665"/>
      <c r="AE1038" s="665"/>
      <c r="AF1038" s="649"/>
      <c r="AG1038" s="650"/>
      <c r="AH1038" s="650"/>
      <c r="AI1038" s="667"/>
    </row>
    <row r="1039" spans="12:35" ht="45" customHeight="1" thickBot="1" x14ac:dyDescent="0.25">
      <c r="L1039" s="645"/>
      <c r="M1039" s="616"/>
      <c r="N1039" s="616"/>
      <c r="O1039" s="616"/>
      <c r="P1039" s="615"/>
      <c r="Q1039" s="616"/>
      <c r="R1039" s="663"/>
      <c r="S1039" s="459"/>
      <c r="T1039" s="459"/>
      <c r="U1039" s="459"/>
      <c r="V1039" s="459"/>
      <c r="W1039" s="459"/>
      <c r="X1039" s="459"/>
      <c r="Y1039" s="666"/>
      <c r="Z1039" s="664"/>
      <c r="AA1039" s="665"/>
      <c r="AB1039" s="665"/>
      <c r="AC1039" s="665"/>
      <c r="AD1039" s="665"/>
      <c r="AE1039" s="665"/>
      <c r="AF1039" s="649"/>
      <c r="AG1039" s="650"/>
      <c r="AH1039" s="650"/>
      <c r="AI1039" s="667"/>
    </row>
    <row r="1040" spans="12:35" ht="45" customHeight="1" thickBot="1" x14ac:dyDescent="0.25">
      <c r="L1040" s="645"/>
      <c r="M1040" s="616"/>
      <c r="N1040" s="616"/>
      <c r="O1040" s="616"/>
      <c r="P1040" s="615"/>
      <c r="Q1040" s="616"/>
      <c r="R1040" s="663"/>
      <c r="S1040" s="459"/>
      <c r="T1040" s="459"/>
      <c r="U1040" s="459"/>
      <c r="V1040" s="459"/>
      <c r="W1040" s="459"/>
      <c r="X1040" s="459"/>
      <c r="Y1040" s="666"/>
      <c r="Z1040" s="664"/>
      <c r="AA1040" s="665"/>
      <c r="AB1040" s="665"/>
      <c r="AC1040" s="665"/>
      <c r="AD1040" s="665"/>
      <c r="AE1040" s="665"/>
      <c r="AF1040" s="649"/>
      <c r="AG1040" s="650"/>
      <c r="AH1040" s="650"/>
      <c r="AI1040" s="667"/>
    </row>
    <row r="1041" spans="12:35" ht="45" customHeight="1" thickBot="1" x14ac:dyDescent="0.25">
      <c r="L1041" s="645"/>
      <c r="M1041" s="616"/>
      <c r="N1041" s="616"/>
      <c r="O1041" s="616"/>
      <c r="P1041" s="615"/>
      <c r="Q1041" s="616"/>
      <c r="R1041" s="663"/>
      <c r="S1041" s="459"/>
      <c r="T1041" s="459"/>
      <c r="U1041" s="459"/>
      <c r="V1041" s="459"/>
      <c r="W1041" s="459"/>
      <c r="X1041" s="459"/>
      <c r="Y1041" s="666"/>
      <c r="Z1041" s="664"/>
      <c r="AA1041" s="665"/>
      <c r="AB1041" s="665"/>
      <c r="AC1041" s="665"/>
      <c r="AD1041" s="665"/>
      <c r="AE1041" s="665"/>
      <c r="AF1041" s="649"/>
      <c r="AG1041" s="650"/>
      <c r="AH1041" s="650"/>
      <c r="AI1041" s="667"/>
    </row>
    <row r="1042" spans="12:35" ht="45" customHeight="1" thickBot="1" x14ac:dyDescent="0.25">
      <c r="L1042" s="645"/>
      <c r="M1042" s="616"/>
      <c r="N1042" s="616"/>
      <c r="O1042" s="616"/>
      <c r="P1042" s="615"/>
      <c r="Q1042" s="616"/>
      <c r="R1042" s="663"/>
      <c r="S1042" s="459"/>
      <c r="T1042" s="459"/>
      <c r="U1042" s="459"/>
      <c r="V1042" s="459"/>
      <c r="W1042" s="459"/>
      <c r="X1042" s="459"/>
      <c r="Y1042" s="666"/>
      <c r="Z1042" s="664"/>
      <c r="AA1042" s="665"/>
      <c r="AB1042" s="665"/>
      <c r="AC1042" s="665"/>
      <c r="AD1042" s="665"/>
      <c r="AE1042" s="665"/>
      <c r="AF1042" s="649"/>
      <c r="AG1042" s="650"/>
      <c r="AH1042" s="650"/>
      <c r="AI1042" s="667"/>
    </row>
    <row r="1043" spans="12:35" ht="45" customHeight="1" thickBot="1" x14ac:dyDescent="0.25">
      <c r="L1043" s="645"/>
      <c r="M1043" s="616"/>
      <c r="N1043" s="616"/>
      <c r="O1043" s="616"/>
      <c r="P1043" s="615"/>
      <c r="Q1043" s="616"/>
      <c r="R1043" s="663"/>
      <c r="S1043" s="459"/>
      <c r="T1043" s="459"/>
      <c r="U1043" s="459"/>
      <c r="V1043" s="459"/>
      <c r="W1043" s="459"/>
      <c r="X1043" s="459"/>
      <c r="Y1043" s="666"/>
      <c r="Z1043" s="664"/>
      <c r="AA1043" s="665"/>
      <c r="AB1043" s="665"/>
      <c r="AC1043" s="665"/>
      <c r="AD1043" s="665"/>
      <c r="AE1043" s="665"/>
      <c r="AF1043" s="649"/>
      <c r="AG1043" s="650"/>
      <c r="AH1043" s="650"/>
      <c r="AI1043" s="667"/>
    </row>
    <row r="1044" spans="12:35" ht="45" customHeight="1" thickBot="1" x14ac:dyDescent="0.25">
      <c r="L1044" s="645"/>
      <c r="M1044" s="616"/>
      <c r="N1044" s="616"/>
      <c r="O1044" s="616"/>
      <c r="P1044" s="615"/>
      <c r="Q1044" s="616"/>
      <c r="R1044" s="663"/>
      <c r="S1044" s="459"/>
      <c r="T1044" s="459"/>
      <c r="U1044" s="459"/>
      <c r="V1044" s="459"/>
      <c r="W1044" s="459"/>
      <c r="X1044" s="459"/>
      <c r="Y1044" s="666"/>
      <c r="Z1044" s="664"/>
      <c r="AA1044" s="665"/>
      <c r="AB1044" s="665"/>
      <c r="AC1044" s="665"/>
      <c r="AD1044" s="665"/>
      <c r="AE1044" s="665"/>
      <c r="AF1044" s="649"/>
      <c r="AG1044" s="650"/>
      <c r="AH1044" s="650"/>
      <c r="AI1044" s="667"/>
    </row>
    <row r="1045" spans="12:35" ht="45" customHeight="1" thickBot="1" x14ac:dyDescent="0.25">
      <c r="L1045" s="645"/>
      <c r="M1045" s="616"/>
      <c r="N1045" s="616"/>
      <c r="O1045" s="616"/>
      <c r="P1045" s="615"/>
      <c r="Q1045" s="616"/>
      <c r="R1045" s="663"/>
      <c r="S1045" s="459"/>
      <c r="T1045" s="459"/>
      <c r="U1045" s="459"/>
      <c r="V1045" s="459"/>
      <c r="W1045" s="459"/>
      <c r="X1045" s="459"/>
      <c r="Y1045" s="666"/>
      <c r="Z1045" s="664"/>
      <c r="AA1045" s="665"/>
      <c r="AB1045" s="665"/>
      <c r="AC1045" s="665"/>
      <c r="AD1045" s="665"/>
      <c r="AE1045" s="665"/>
      <c r="AF1045" s="649"/>
      <c r="AG1045" s="650"/>
      <c r="AH1045" s="650"/>
      <c r="AI1045" s="667"/>
    </row>
    <row r="1046" spans="12:35" ht="45" customHeight="1" thickBot="1" x14ac:dyDescent="0.25">
      <c r="L1046" s="645"/>
      <c r="M1046" s="616"/>
      <c r="N1046" s="616"/>
      <c r="O1046" s="616"/>
      <c r="P1046" s="615"/>
      <c r="Q1046" s="616"/>
      <c r="R1046" s="663"/>
      <c r="S1046" s="459"/>
      <c r="T1046" s="459"/>
      <c r="U1046" s="459"/>
      <c r="V1046" s="459"/>
      <c r="W1046" s="459"/>
      <c r="X1046" s="459"/>
      <c r="Y1046" s="666"/>
      <c r="Z1046" s="664"/>
      <c r="AA1046" s="665"/>
      <c r="AB1046" s="665"/>
      <c r="AC1046" s="665"/>
      <c r="AD1046" s="665"/>
      <c r="AE1046" s="665"/>
      <c r="AF1046" s="649"/>
      <c r="AG1046" s="650"/>
      <c r="AH1046" s="650"/>
      <c r="AI1046" s="667"/>
    </row>
    <row r="1047" spans="12:35" ht="45" customHeight="1" thickBot="1" x14ac:dyDescent="0.25">
      <c r="L1047" s="645"/>
      <c r="M1047" s="616"/>
      <c r="N1047" s="616"/>
      <c r="O1047" s="616"/>
      <c r="P1047" s="615"/>
      <c r="Q1047" s="616"/>
      <c r="R1047" s="663"/>
      <c r="S1047" s="459"/>
      <c r="T1047" s="459"/>
      <c r="U1047" s="459"/>
      <c r="V1047" s="459"/>
      <c r="W1047" s="459"/>
      <c r="X1047" s="459"/>
      <c r="Y1047" s="666"/>
      <c r="Z1047" s="664"/>
      <c r="AA1047" s="665"/>
      <c r="AB1047" s="665"/>
      <c r="AC1047" s="665"/>
      <c r="AD1047" s="665"/>
      <c r="AE1047" s="665"/>
      <c r="AF1047" s="649"/>
      <c r="AG1047" s="650"/>
      <c r="AH1047" s="650"/>
      <c r="AI1047" s="667"/>
    </row>
    <row r="1048" spans="12:35" ht="45" customHeight="1" thickBot="1" x14ac:dyDescent="0.25">
      <c r="L1048" s="645"/>
      <c r="M1048" s="616"/>
      <c r="N1048" s="616"/>
      <c r="O1048" s="616"/>
      <c r="P1048" s="615"/>
      <c r="Q1048" s="616"/>
      <c r="R1048" s="663"/>
      <c r="S1048" s="459"/>
      <c r="T1048" s="459"/>
      <c r="U1048" s="459"/>
      <c r="V1048" s="459"/>
      <c r="W1048" s="459"/>
      <c r="X1048" s="459"/>
      <c r="Y1048" s="666"/>
      <c r="Z1048" s="664"/>
      <c r="AA1048" s="665"/>
      <c r="AB1048" s="665"/>
      <c r="AC1048" s="665"/>
      <c r="AD1048" s="665"/>
      <c r="AE1048" s="665"/>
      <c r="AF1048" s="649"/>
      <c r="AG1048" s="650"/>
      <c r="AH1048" s="650"/>
      <c r="AI1048" s="667"/>
    </row>
    <row r="1049" spans="12:35" ht="45" customHeight="1" thickBot="1" x14ac:dyDescent="0.25">
      <c r="L1049" s="645"/>
      <c r="M1049" s="616"/>
      <c r="N1049" s="616"/>
      <c r="O1049" s="616"/>
      <c r="P1049" s="615"/>
      <c r="Q1049" s="616"/>
      <c r="R1049" s="663"/>
      <c r="S1049" s="459"/>
      <c r="T1049" s="459"/>
      <c r="U1049" s="459"/>
      <c r="V1049" s="459"/>
      <c r="W1049" s="459"/>
      <c r="X1049" s="459"/>
      <c r="Y1049" s="666"/>
      <c r="Z1049" s="664"/>
      <c r="AA1049" s="665"/>
      <c r="AB1049" s="665"/>
      <c r="AC1049" s="665"/>
      <c r="AD1049" s="665"/>
      <c r="AE1049" s="665"/>
      <c r="AF1049" s="649"/>
      <c r="AG1049" s="650"/>
      <c r="AH1049" s="650"/>
      <c r="AI1049" s="667"/>
    </row>
    <row r="1050" spans="12:35" ht="45" customHeight="1" thickBot="1" x14ac:dyDescent="0.25">
      <c r="L1050" s="645"/>
      <c r="M1050" s="616"/>
      <c r="N1050" s="616"/>
      <c r="O1050" s="616"/>
      <c r="P1050" s="615"/>
      <c r="Q1050" s="616"/>
      <c r="R1050" s="663"/>
      <c r="S1050" s="459"/>
      <c r="T1050" s="459"/>
      <c r="U1050" s="459"/>
      <c r="V1050" s="459"/>
      <c r="W1050" s="459"/>
      <c r="X1050" s="459"/>
      <c r="Y1050" s="666"/>
      <c r="Z1050" s="664"/>
      <c r="AA1050" s="665"/>
      <c r="AB1050" s="665"/>
      <c r="AC1050" s="665"/>
      <c r="AD1050" s="665"/>
      <c r="AE1050" s="665"/>
      <c r="AF1050" s="649"/>
      <c r="AG1050" s="650"/>
      <c r="AH1050" s="650"/>
      <c r="AI1050" s="667"/>
    </row>
    <row r="1051" spans="12:35" ht="45" customHeight="1" thickBot="1" x14ac:dyDescent="0.25">
      <c r="L1051" s="645"/>
      <c r="M1051" s="616"/>
      <c r="N1051" s="616"/>
      <c r="O1051" s="616"/>
      <c r="P1051" s="615"/>
      <c r="Q1051" s="616"/>
      <c r="R1051" s="663"/>
      <c r="S1051" s="459"/>
      <c r="T1051" s="459"/>
      <c r="U1051" s="459"/>
      <c r="V1051" s="459"/>
      <c r="W1051" s="459"/>
      <c r="X1051" s="459"/>
      <c r="Y1051" s="666"/>
      <c r="Z1051" s="664"/>
      <c r="AA1051" s="665"/>
      <c r="AB1051" s="665"/>
      <c r="AC1051" s="665"/>
      <c r="AD1051" s="665"/>
      <c r="AE1051" s="665"/>
      <c r="AF1051" s="649"/>
      <c r="AG1051" s="650"/>
      <c r="AH1051" s="650"/>
      <c r="AI1051" s="667"/>
    </row>
    <row r="1052" spans="12:35" ht="45" customHeight="1" thickBot="1" x14ac:dyDescent="0.25">
      <c r="L1052" s="645"/>
      <c r="M1052" s="616"/>
      <c r="N1052" s="616"/>
      <c r="O1052" s="616"/>
      <c r="P1052" s="615"/>
      <c r="Q1052" s="616"/>
      <c r="R1052" s="663"/>
      <c r="S1052" s="459"/>
      <c r="T1052" s="459"/>
      <c r="U1052" s="459"/>
      <c r="V1052" s="459"/>
      <c r="W1052" s="459"/>
      <c r="X1052" s="459"/>
      <c r="Y1052" s="666"/>
      <c r="Z1052" s="664"/>
      <c r="AA1052" s="665"/>
      <c r="AB1052" s="665"/>
      <c r="AC1052" s="665"/>
      <c r="AD1052" s="665"/>
      <c r="AE1052" s="665"/>
      <c r="AF1052" s="649"/>
      <c r="AG1052" s="650"/>
      <c r="AH1052" s="650"/>
      <c r="AI1052" s="667"/>
    </row>
    <row r="1053" spans="12:35" ht="45" customHeight="1" thickBot="1" x14ac:dyDescent="0.25">
      <c r="L1053" s="645"/>
      <c r="M1053" s="616"/>
      <c r="N1053" s="616"/>
      <c r="O1053" s="616"/>
      <c r="P1053" s="615"/>
      <c r="Q1053" s="616"/>
      <c r="R1053" s="663"/>
      <c r="S1053" s="459"/>
      <c r="T1053" s="459"/>
      <c r="U1053" s="459"/>
      <c r="V1053" s="459"/>
      <c r="W1053" s="459"/>
      <c r="X1053" s="459"/>
      <c r="Y1053" s="666"/>
      <c r="Z1053" s="664"/>
      <c r="AA1053" s="665"/>
      <c r="AB1053" s="665"/>
      <c r="AC1053" s="665"/>
      <c r="AD1053" s="665"/>
      <c r="AE1053" s="665"/>
      <c r="AF1053" s="649"/>
      <c r="AG1053" s="650"/>
      <c r="AH1053" s="650"/>
      <c r="AI1053" s="667"/>
    </row>
    <row r="1054" spans="12:35" ht="45" customHeight="1" thickBot="1" x14ac:dyDescent="0.25">
      <c r="L1054" s="645"/>
      <c r="M1054" s="616"/>
      <c r="N1054" s="616"/>
      <c r="O1054" s="616"/>
      <c r="P1054" s="615"/>
      <c r="Q1054" s="616"/>
      <c r="R1054" s="663"/>
      <c r="S1054" s="459"/>
      <c r="T1054" s="459"/>
      <c r="U1054" s="459"/>
      <c r="V1054" s="459"/>
      <c r="W1054" s="459"/>
      <c r="X1054" s="459"/>
      <c r="Y1054" s="666"/>
      <c r="Z1054" s="664"/>
      <c r="AA1054" s="665"/>
      <c r="AB1054" s="665"/>
      <c r="AC1054" s="665"/>
      <c r="AD1054" s="665"/>
      <c r="AE1054" s="665"/>
      <c r="AF1054" s="649"/>
      <c r="AG1054" s="650"/>
      <c r="AH1054" s="650"/>
      <c r="AI1054" s="667"/>
    </row>
    <row r="1055" spans="12:35" ht="45" customHeight="1" thickBot="1" x14ac:dyDescent="0.25">
      <c r="L1055" s="645"/>
      <c r="M1055" s="616"/>
      <c r="N1055" s="616"/>
      <c r="O1055" s="616"/>
      <c r="P1055" s="615"/>
      <c r="Q1055" s="616"/>
      <c r="R1055" s="663"/>
      <c r="S1055" s="459"/>
      <c r="T1055" s="459"/>
      <c r="U1055" s="459"/>
      <c r="V1055" s="459"/>
      <c r="W1055" s="459"/>
      <c r="X1055" s="459"/>
      <c r="Y1055" s="666"/>
      <c r="Z1055" s="664"/>
      <c r="AA1055" s="665"/>
      <c r="AB1055" s="665"/>
      <c r="AC1055" s="665"/>
      <c r="AD1055" s="665"/>
      <c r="AE1055" s="665"/>
      <c r="AF1055" s="649"/>
      <c r="AG1055" s="650"/>
      <c r="AH1055" s="650"/>
      <c r="AI1055" s="667"/>
    </row>
    <row r="1056" spans="12:35" ht="45" customHeight="1" thickBot="1" x14ac:dyDescent="0.25">
      <c r="L1056" s="645"/>
      <c r="M1056" s="616"/>
      <c r="N1056" s="616"/>
      <c r="O1056" s="616"/>
      <c r="P1056" s="615"/>
      <c r="Q1056" s="616"/>
      <c r="R1056" s="663"/>
      <c r="S1056" s="459"/>
      <c r="T1056" s="459"/>
      <c r="U1056" s="459"/>
      <c r="V1056" s="459"/>
      <c r="W1056" s="459"/>
      <c r="X1056" s="459"/>
      <c r="Y1056" s="666"/>
      <c r="Z1056" s="664"/>
      <c r="AA1056" s="665"/>
      <c r="AB1056" s="665"/>
      <c r="AC1056" s="665"/>
      <c r="AD1056" s="665"/>
      <c r="AE1056" s="665"/>
      <c r="AF1056" s="649"/>
      <c r="AG1056" s="650"/>
      <c r="AH1056" s="650"/>
      <c r="AI1056" s="667"/>
    </row>
    <row r="1057" spans="12:35" ht="45" customHeight="1" thickBot="1" x14ac:dyDescent="0.25">
      <c r="L1057" s="645"/>
      <c r="M1057" s="616"/>
      <c r="N1057" s="616"/>
      <c r="O1057" s="616"/>
      <c r="P1057" s="615"/>
      <c r="Q1057" s="616"/>
      <c r="R1057" s="663"/>
      <c r="S1057" s="459"/>
      <c r="T1057" s="459"/>
      <c r="U1057" s="459"/>
      <c r="V1057" s="459"/>
      <c r="W1057" s="459"/>
      <c r="X1057" s="459"/>
      <c r="Y1057" s="666"/>
      <c r="Z1057" s="664"/>
      <c r="AA1057" s="665"/>
      <c r="AB1057" s="665"/>
      <c r="AC1057" s="665"/>
      <c r="AD1057" s="665"/>
      <c r="AE1057" s="665"/>
      <c r="AF1057" s="649"/>
      <c r="AG1057" s="650"/>
      <c r="AH1057" s="650"/>
      <c r="AI1057" s="667"/>
    </row>
    <row r="1058" spans="12:35" ht="45" customHeight="1" thickBot="1" x14ac:dyDescent="0.25">
      <c r="L1058" s="645"/>
      <c r="M1058" s="616"/>
      <c r="N1058" s="616"/>
      <c r="O1058" s="616"/>
      <c r="P1058" s="615"/>
      <c r="Q1058" s="616"/>
      <c r="R1058" s="663"/>
      <c r="S1058" s="459"/>
      <c r="T1058" s="459"/>
      <c r="U1058" s="459"/>
      <c r="V1058" s="459"/>
      <c r="W1058" s="459"/>
      <c r="X1058" s="459"/>
      <c r="Y1058" s="666"/>
      <c r="Z1058" s="664"/>
      <c r="AA1058" s="665"/>
      <c r="AB1058" s="665"/>
      <c r="AC1058" s="665"/>
      <c r="AD1058" s="665"/>
      <c r="AE1058" s="665"/>
      <c r="AF1058" s="649"/>
      <c r="AG1058" s="650"/>
      <c r="AH1058" s="650"/>
      <c r="AI1058" s="667"/>
    </row>
    <row r="1059" spans="12:35" ht="45" customHeight="1" thickBot="1" x14ac:dyDescent="0.25">
      <c r="L1059" s="645"/>
      <c r="M1059" s="616"/>
      <c r="N1059" s="616"/>
      <c r="O1059" s="616"/>
      <c r="P1059" s="615"/>
      <c r="Q1059" s="616"/>
      <c r="R1059" s="663"/>
      <c r="S1059" s="459"/>
      <c r="T1059" s="459"/>
      <c r="U1059" s="459"/>
      <c r="V1059" s="459"/>
      <c r="W1059" s="459"/>
      <c r="X1059" s="459"/>
      <c r="Y1059" s="666"/>
      <c r="Z1059" s="664"/>
      <c r="AA1059" s="665"/>
      <c r="AB1059" s="665"/>
      <c r="AC1059" s="665"/>
      <c r="AD1059" s="665"/>
      <c r="AE1059" s="665"/>
      <c r="AF1059" s="649"/>
      <c r="AG1059" s="650"/>
      <c r="AH1059" s="650"/>
      <c r="AI1059" s="667"/>
    </row>
    <row r="1060" spans="12:35" ht="45" customHeight="1" thickBot="1" x14ac:dyDescent="0.25">
      <c r="L1060" s="645"/>
      <c r="M1060" s="616"/>
      <c r="N1060" s="616"/>
      <c r="O1060" s="616"/>
      <c r="P1060" s="615"/>
      <c r="Q1060" s="616"/>
      <c r="R1060" s="663"/>
      <c r="S1060" s="459"/>
      <c r="T1060" s="459"/>
      <c r="U1060" s="459"/>
      <c r="V1060" s="459"/>
      <c r="W1060" s="459"/>
      <c r="X1060" s="459"/>
      <c r="Y1060" s="666"/>
      <c r="Z1060" s="664"/>
      <c r="AA1060" s="665"/>
      <c r="AB1060" s="665"/>
      <c r="AC1060" s="665"/>
      <c r="AD1060" s="665"/>
      <c r="AE1060" s="665"/>
      <c r="AF1060" s="649"/>
      <c r="AG1060" s="650"/>
      <c r="AH1060" s="650"/>
      <c r="AI1060" s="667"/>
    </row>
    <row r="1061" spans="12:35" ht="45" customHeight="1" thickBot="1" x14ac:dyDescent="0.25">
      <c r="L1061" s="645"/>
      <c r="M1061" s="616"/>
      <c r="N1061" s="616"/>
      <c r="O1061" s="616"/>
      <c r="P1061" s="615"/>
      <c r="Q1061" s="616"/>
      <c r="R1061" s="663"/>
      <c r="S1061" s="459"/>
      <c r="T1061" s="459"/>
      <c r="U1061" s="459"/>
      <c r="V1061" s="459"/>
      <c r="W1061" s="459"/>
      <c r="X1061" s="459"/>
      <c r="Y1061" s="666"/>
      <c r="Z1061" s="664"/>
      <c r="AA1061" s="665"/>
      <c r="AB1061" s="665"/>
      <c r="AC1061" s="665"/>
      <c r="AD1061" s="665"/>
      <c r="AE1061" s="665"/>
      <c r="AF1061" s="649"/>
      <c r="AG1061" s="650"/>
      <c r="AH1061" s="650"/>
      <c r="AI1061" s="667"/>
    </row>
    <row r="1062" spans="12:35" ht="45" customHeight="1" thickBot="1" x14ac:dyDescent="0.25">
      <c r="L1062" s="645"/>
      <c r="M1062" s="616"/>
      <c r="N1062" s="616"/>
      <c r="O1062" s="616"/>
      <c r="P1062" s="615"/>
      <c r="Q1062" s="616"/>
      <c r="R1062" s="663"/>
      <c r="S1062" s="459"/>
      <c r="T1062" s="459"/>
      <c r="U1062" s="459"/>
      <c r="V1062" s="459"/>
      <c r="W1062" s="459"/>
      <c r="X1062" s="459"/>
      <c r="Y1062" s="666"/>
      <c r="Z1062" s="664"/>
      <c r="AA1062" s="665"/>
      <c r="AB1062" s="665"/>
      <c r="AC1062" s="665"/>
      <c r="AD1062" s="665"/>
      <c r="AE1062" s="665"/>
      <c r="AF1062" s="649"/>
      <c r="AG1062" s="650"/>
      <c r="AH1062" s="650"/>
      <c r="AI1062" s="667"/>
    </row>
    <row r="1063" spans="12:35" ht="45" customHeight="1" thickBot="1" x14ac:dyDescent="0.25">
      <c r="L1063" s="645"/>
      <c r="M1063" s="616"/>
      <c r="N1063" s="616"/>
      <c r="O1063" s="616"/>
      <c r="P1063" s="615"/>
      <c r="Q1063" s="616"/>
      <c r="R1063" s="663"/>
      <c r="S1063" s="459"/>
      <c r="T1063" s="459"/>
      <c r="U1063" s="459"/>
      <c r="V1063" s="459"/>
      <c r="W1063" s="459"/>
      <c r="X1063" s="459"/>
      <c r="Y1063" s="666"/>
      <c r="Z1063" s="664"/>
      <c r="AA1063" s="665"/>
      <c r="AB1063" s="665"/>
      <c r="AC1063" s="665"/>
      <c r="AD1063" s="665"/>
      <c r="AE1063" s="665"/>
      <c r="AF1063" s="649"/>
      <c r="AG1063" s="650"/>
      <c r="AH1063" s="650"/>
      <c r="AI1063" s="667"/>
    </row>
    <row r="1064" spans="12:35" ht="45" customHeight="1" thickBot="1" x14ac:dyDescent="0.25">
      <c r="L1064" s="645"/>
      <c r="M1064" s="616"/>
      <c r="N1064" s="616"/>
      <c r="O1064" s="616"/>
      <c r="P1064" s="615"/>
      <c r="Q1064" s="616"/>
      <c r="R1064" s="663"/>
      <c r="S1064" s="459"/>
      <c r="T1064" s="459"/>
      <c r="U1064" s="459"/>
      <c r="V1064" s="459"/>
      <c r="W1064" s="459"/>
      <c r="X1064" s="459"/>
      <c r="Y1064" s="666"/>
      <c r="Z1064" s="664"/>
      <c r="AA1064" s="665"/>
      <c r="AB1064" s="665"/>
      <c r="AC1064" s="665"/>
      <c r="AD1064" s="665"/>
      <c r="AE1064" s="665"/>
      <c r="AF1064" s="649"/>
      <c r="AG1064" s="650"/>
      <c r="AH1064" s="650"/>
      <c r="AI1064" s="667"/>
    </row>
    <row r="1065" spans="12:35" ht="45" customHeight="1" thickBot="1" x14ac:dyDescent="0.25">
      <c r="L1065" s="645"/>
      <c r="M1065" s="616"/>
      <c r="N1065" s="616"/>
      <c r="O1065" s="616"/>
      <c r="P1065" s="615"/>
      <c r="Q1065" s="616"/>
      <c r="R1065" s="663"/>
      <c r="S1065" s="459"/>
      <c r="T1065" s="459"/>
      <c r="U1065" s="459"/>
      <c r="V1065" s="459"/>
      <c r="W1065" s="459"/>
      <c r="X1065" s="459"/>
      <c r="Y1065" s="666"/>
      <c r="Z1065" s="664"/>
      <c r="AA1065" s="665"/>
      <c r="AB1065" s="665"/>
      <c r="AC1065" s="665"/>
      <c r="AD1065" s="665"/>
      <c r="AE1065" s="665"/>
      <c r="AF1065" s="649"/>
      <c r="AG1065" s="650"/>
      <c r="AH1065" s="650"/>
      <c r="AI1065" s="667"/>
    </row>
    <row r="1066" spans="12:35" ht="45" customHeight="1" thickBot="1" x14ac:dyDescent="0.25">
      <c r="L1066" s="645"/>
      <c r="M1066" s="616"/>
      <c r="N1066" s="616"/>
      <c r="O1066" s="616"/>
      <c r="P1066" s="615"/>
      <c r="Q1066" s="616"/>
      <c r="R1066" s="663"/>
      <c r="S1066" s="459"/>
      <c r="T1066" s="459"/>
      <c r="U1066" s="459"/>
      <c r="V1066" s="459"/>
      <c r="W1066" s="459"/>
      <c r="X1066" s="459"/>
      <c r="Y1066" s="666"/>
      <c r="Z1066" s="664"/>
      <c r="AA1066" s="665"/>
      <c r="AB1066" s="665"/>
      <c r="AC1066" s="665"/>
      <c r="AD1066" s="665"/>
      <c r="AE1066" s="665"/>
      <c r="AF1066" s="649"/>
      <c r="AG1066" s="650"/>
      <c r="AH1066" s="650"/>
      <c r="AI1066" s="667"/>
    </row>
    <row r="1067" spans="12:35" ht="45" customHeight="1" thickBot="1" x14ac:dyDescent="0.25">
      <c r="L1067" s="645"/>
      <c r="M1067" s="616"/>
      <c r="N1067" s="616"/>
      <c r="O1067" s="616"/>
      <c r="P1067" s="615"/>
      <c r="Q1067" s="616"/>
      <c r="R1067" s="663"/>
      <c r="S1067" s="459"/>
      <c r="T1067" s="459"/>
      <c r="U1067" s="459"/>
      <c r="V1067" s="459"/>
      <c r="W1067" s="459"/>
      <c r="X1067" s="459"/>
      <c r="Y1067" s="666"/>
      <c r="Z1067" s="664"/>
      <c r="AA1067" s="665"/>
      <c r="AB1067" s="665"/>
      <c r="AC1067" s="665"/>
      <c r="AD1067" s="665"/>
      <c r="AE1067" s="665"/>
      <c r="AF1067" s="649"/>
      <c r="AG1067" s="650"/>
      <c r="AH1067" s="650"/>
      <c r="AI1067" s="667"/>
    </row>
    <row r="1068" spans="12:35" ht="45" customHeight="1" thickBot="1" x14ac:dyDescent="0.25">
      <c r="L1068" s="645"/>
      <c r="M1068" s="616"/>
      <c r="N1068" s="616"/>
      <c r="O1068" s="616"/>
      <c r="P1068" s="615"/>
      <c r="Q1068" s="616"/>
      <c r="R1068" s="663"/>
      <c r="S1068" s="459"/>
      <c r="T1068" s="459"/>
      <c r="U1068" s="459"/>
      <c r="V1068" s="459"/>
      <c r="W1068" s="459"/>
      <c r="X1068" s="459"/>
      <c r="Y1068" s="666"/>
      <c r="Z1068" s="664"/>
      <c r="AA1068" s="665"/>
      <c r="AB1068" s="665"/>
      <c r="AC1068" s="665"/>
      <c r="AD1068" s="665"/>
      <c r="AE1068" s="665"/>
      <c r="AF1068" s="649"/>
      <c r="AG1068" s="650"/>
      <c r="AH1068" s="650"/>
      <c r="AI1068" s="667"/>
    </row>
    <row r="1069" spans="12:35" ht="45" customHeight="1" thickBot="1" x14ac:dyDescent="0.25">
      <c r="L1069" s="645"/>
      <c r="M1069" s="616"/>
      <c r="N1069" s="616"/>
      <c r="O1069" s="616"/>
      <c r="P1069" s="615"/>
      <c r="Q1069" s="616"/>
      <c r="R1069" s="663"/>
      <c r="S1069" s="459"/>
      <c r="T1069" s="459"/>
      <c r="U1069" s="459"/>
      <c r="V1069" s="459"/>
      <c r="W1069" s="459"/>
      <c r="X1069" s="459"/>
      <c r="Y1069" s="666"/>
      <c r="Z1069" s="664"/>
      <c r="AA1069" s="665"/>
      <c r="AB1069" s="665"/>
      <c r="AC1069" s="665"/>
      <c r="AD1069" s="665"/>
      <c r="AE1069" s="665"/>
      <c r="AF1069" s="649"/>
      <c r="AG1069" s="650"/>
      <c r="AH1069" s="650"/>
      <c r="AI1069" s="667"/>
    </row>
    <row r="1070" spans="12:35" ht="45" customHeight="1" thickBot="1" x14ac:dyDescent="0.25">
      <c r="L1070" s="645"/>
      <c r="M1070" s="616"/>
      <c r="N1070" s="616"/>
      <c r="O1070" s="616"/>
      <c r="P1070" s="615"/>
      <c r="Q1070" s="616"/>
      <c r="R1070" s="663"/>
      <c r="S1070" s="459"/>
      <c r="T1070" s="459"/>
      <c r="U1070" s="459"/>
      <c r="V1070" s="459"/>
      <c r="W1070" s="459"/>
      <c r="X1070" s="459"/>
      <c r="Y1070" s="666"/>
      <c r="Z1070" s="664"/>
      <c r="AA1070" s="665"/>
      <c r="AB1070" s="665"/>
      <c r="AC1070" s="665"/>
      <c r="AD1070" s="665"/>
      <c r="AE1070" s="665"/>
      <c r="AF1070" s="649"/>
      <c r="AG1070" s="650"/>
      <c r="AH1070" s="650"/>
      <c r="AI1070" s="667"/>
    </row>
    <row r="1071" spans="12:35" ht="45" customHeight="1" thickBot="1" x14ac:dyDescent="0.25">
      <c r="L1071" s="645"/>
      <c r="M1071" s="616"/>
      <c r="N1071" s="616"/>
      <c r="O1071" s="616"/>
      <c r="P1071" s="615"/>
      <c r="Q1071" s="616"/>
      <c r="R1071" s="663"/>
      <c r="S1071" s="459"/>
      <c r="T1071" s="459"/>
      <c r="U1071" s="459"/>
      <c r="V1071" s="459"/>
      <c r="W1071" s="459"/>
      <c r="X1071" s="459"/>
      <c r="Y1071" s="666"/>
      <c r="Z1071" s="664"/>
      <c r="AA1071" s="665"/>
      <c r="AB1071" s="665"/>
      <c r="AC1071" s="665"/>
      <c r="AD1071" s="665"/>
      <c r="AE1071" s="665"/>
      <c r="AF1071" s="649"/>
      <c r="AG1071" s="650"/>
      <c r="AH1071" s="650"/>
      <c r="AI1071" s="667"/>
    </row>
    <row r="1072" spans="12:35" ht="45" customHeight="1" thickBot="1" x14ac:dyDescent="0.25">
      <c r="L1072" s="645"/>
      <c r="M1072" s="616"/>
      <c r="N1072" s="616"/>
      <c r="O1072" s="616"/>
      <c r="P1072" s="615"/>
      <c r="Q1072" s="616"/>
      <c r="R1072" s="663"/>
      <c r="S1072" s="459"/>
      <c r="T1072" s="459"/>
      <c r="U1072" s="459"/>
      <c r="V1072" s="459"/>
      <c r="W1072" s="459"/>
      <c r="X1072" s="459"/>
      <c r="Y1072" s="666"/>
      <c r="Z1072" s="664"/>
      <c r="AA1072" s="665"/>
      <c r="AB1072" s="665"/>
      <c r="AC1072" s="665"/>
      <c r="AD1072" s="665"/>
      <c r="AE1072" s="665"/>
      <c r="AF1072" s="649"/>
      <c r="AG1072" s="650"/>
      <c r="AH1072" s="650"/>
      <c r="AI1072" s="667"/>
    </row>
    <row r="1073" spans="12:35" ht="45" customHeight="1" thickBot="1" x14ac:dyDescent="0.25">
      <c r="L1073" s="645"/>
      <c r="M1073" s="616"/>
      <c r="N1073" s="616"/>
      <c r="O1073" s="616"/>
      <c r="P1073" s="615"/>
      <c r="Q1073" s="616"/>
      <c r="R1073" s="663"/>
      <c r="S1073" s="459"/>
      <c r="T1073" s="459"/>
      <c r="U1073" s="459"/>
      <c r="V1073" s="459"/>
      <c r="W1073" s="459"/>
      <c r="X1073" s="459"/>
      <c r="Y1073" s="666"/>
      <c r="Z1073" s="664"/>
      <c r="AA1073" s="665"/>
      <c r="AB1073" s="665"/>
      <c r="AC1073" s="665"/>
      <c r="AD1073" s="665"/>
      <c r="AE1073" s="665"/>
      <c r="AF1073" s="649"/>
      <c r="AG1073" s="650"/>
      <c r="AH1073" s="650"/>
      <c r="AI1073" s="667"/>
    </row>
    <row r="1074" spans="12:35" ht="45" customHeight="1" thickBot="1" x14ac:dyDescent="0.25">
      <c r="L1074" s="645"/>
      <c r="M1074" s="616"/>
      <c r="N1074" s="616"/>
      <c r="O1074" s="616"/>
      <c r="P1074" s="615"/>
      <c r="Q1074" s="616"/>
      <c r="R1074" s="663"/>
      <c r="S1074" s="459"/>
      <c r="T1074" s="459"/>
      <c r="U1074" s="459"/>
      <c r="V1074" s="459"/>
      <c r="W1074" s="459"/>
      <c r="X1074" s="459"/>
      <c r="Y1074" s="666"/>
      <c r="Z1074" s="664"/>
      <c r="AA1074" s="665"/>
      <c r="AB1074" s="665"/>
      <c r="AC1074" s="665"/>
      <c r="AD1074" s="665"/>
      <c r="AE1074" s="665"/>
      <c r="AF1074" s="649"/>
      <c r="AG1074" s="650"/>
      <c r="AH1074" s="650"/>
      <c r="AI1074" s="667"/>
    </row>
    <row r="1075" spans="12:35" ht="45" customHeight="1" thickBot="1" x14ac:dyDescent="0.25">
      <c r="L1075" s="645"/>
      <c r="M1075" s="616"/>
      <c r="N1075" s="616"/>
      <c r="O1075" s="616"/>
      <c r="P1075" s="615"/>
      <c r="Q1075" s="616"/>
      <c r="R1075" s="663"/>
      <c r="S1075" s="459"/>
      <c r="T1075" s="459"/>
      <c r="U1075" s="459"/>
      <c r="V1075" s="459"/>
      <c r="W1075" s="459"/>
      <c r="X1075" s="459"/>
      <c r="Y1075" s="666"/>
      <c r="Z1075" s="664"/>
      <c r="AA1075" s="665"/>
      <c r="AB1075" s="665"/>
      <c r="AC1075" s="665"/>
      <c r="AD1075" s="665"/>
      <c r="AE1075" s="665"/>
      <c r="AF1075" s="649"/>
      <c r="AG1075" s="650"/>
      <c r="AH1075" s="650"/>
      <c r="AI1075" s="667"/>
    </row>
    <row r="1076" spans="12:35" ht="45" customHeight="1" thickBot="1" x14ac:dyDescent="0.25">
      <c r="L1076" s="645"/>
      <c r="M1076" s="616"/>
      <c r="N1076" s="616"/>
      <c r="O1076" s="616"/>
      <c r="P1076" s="615"/>
      <c r="Q1076" s="616"/>
      <c r="R1076" s="663"/>
      <c r="S1076" s="459"/>
      <c r="T1076" s="459"/>
      <c r="U1076" s="459"/>
      <c r="V1076" s="459"/>
      <c r="W1076" s="459"/>
      <c r="X1076" s="459"/>
      <c r="Y1076" s="666"/>
      <c r="Z1076" s="664"/>
      <c r="AA1076" s="665"/>
      <c r="AB1076" s="665"/>
      <c r="AC1076" s="665"/>
      <c r="AD1076" s="665"/>
      <c r="AE1076" s="665"/>
      <c r="AF1076" s="649"/>
      <c r="AG1076" s="650"/>
      <c r="AH1076" s="650"/>
      <c r="AI1076" s="667"/>
    </row>
    <row r="1077" spans="12:35" ht="45" customHeight="1" thickBot="1" x14ac:dyDescent="0.25">
      <c r="L1077" s="645"/>
      <c r="M1077" s="616"/>
      <c r="N1077" s="616"/>
      <c r="O1077" s="616"/>
      <c r="P1077" s="615"/>
      <c r="Q1077" s="616"/>
      <c r="R1077" s="663"/>
      <c r="S1077" s="459"/>
      <c r="T1077" s="459"/>
      <c r="U1077" s="459"/>
      <c r="V1077" s="459"/>
      <c r="W1077" s="459"/>
      <c r="X1077" s="459"/>
      <c r="Y1077" s="666"/>
      <c r="Z1077" s="664"/>
      <c r="AA1077" s="665"/>
      <c r="AB1077" s="665"/>
      <c r="AC1077" s="665"/>
      <c r="AD1077" s="665"/>
      <c r="AE1077" s="665"/>
      <c r="AF1077" s="649"/>
      <c r="AG1077" s="650"/>
      <c r="AH1077" s="650"/>
      <c r="AI1077" s="667"/>
    </row>
    <row r="1078" spans="12:35" ht="45" customHeight="1" thickBot="1" x14ac:dyDescent="0.25">
      <c r="L1078" s="645"/>
      <c r="M1078" s="616"/>
      <c r="N1078" s="616"/>
      <c r="O1078" s="616"/>
      <c r="P1078" s="615"/>
      <c r="Q1078" s="616"/>
      <c r="R1078" s="663"/>
      <c r="S1078" s="459"/>
      <c r="T1078" s="459"/>
      <c r="U1078" s="459"/>
      <c r="V1078" s="459"/>
      <c r="W1078" s="459"/>
      <c r="X1078" s="459"/>
      <c r="Y1078" s="666"/>
      <c r="Z1078" s="664"/>
      <c r="AA1078" s="665"/>
      <c r="AB1078" s="665"/>
      <c r="AC1078" s="665"/>
      <c r="AD1078" s="665"/>
      <c r="AE1078" s="665"/>
      <c r="AF1078" s="649"/>
      <c r="AG1078" s="650"/>
      <c r="AH1078" s="650"/>
      <c r="AI1078" s="667"/>
    </row>
    <row r="1079" spans="12:35" ht="45" customHeight="1" thickBot="1" x14ac:dyDescent="0.25">
      <c r="L1079" s="645"/>
      <c r="M1079" s="616"/>
      <c r="N1079" s="616"/>
      <c r="O1079" s="616"/>
      <c r="P1079" s="615"/>
      <c r="Q1079" s="616"/>
      <c r="R1079" s="663"/>
      <c r="S1079" s="459"/>
      <c r="T1079" s="459"/>
      <c r="U1079" s="459"/>
      <c r="V1079" s="459"/>
      <c r="W1079" s="459"/>
      <c r="X1079" s="459"/>
      <c r="Y1079" s="666"/>
      <c r="Z1079" s="664"/>
      <c r="AA1079" s="665"/>
      <c r="AB1079" s="665"/>
      <c r="AC1079" s="665"/>
      <c r="AD1079" s="665"/>
      <c r="AE1079" s="665"/>
      <c r="AF1079" s="649"/>
      <c r="AG1079" s="650"/>
      <c r="AH1079" s="650"/>
      <c r="AI1079" s="667"/>
    </row>
    <row r="1080" spans="12:35" ht="45" customHeight="1" thickBot="1" x14ac:dyDescent="0.25">
      <c r="L1080" s="645"/>
      <c r="M1080" s="616"/>
      <c r="N1080" s="616"/>
      <c r="O1080" s="616"/>
      <c r="P1080" s="615"/>
      <c r="Q1080" s="616"/>
      <c r="R1080" s="663"/>
      <c r="S1080" s="459"/>
      <c r="T1080" s="459"/>
      <c r="U1080" s="459"/>
      <c r="V1080" s="459"/>
      <c r="W1080" s="459"/>
      <c r="X1080" s="459"/>
      <c r="Y1080" s="666"/>
      <c r="Z1080" s="664"/>
      <c r="AA1080" s="665"/>
      <c r="AB1080" s="665"/>
      <c r="AC1080" s="665"/>
      <c r="AD1080" s="665"/>
      <c r="AE1080" s="665"/>
      <c r="AF1080" s="649"/>
      <c r="AG1080" s="650"/>
      <c r="AH1080" s="650"/>
      <c r="AI1080" s="667"/>
    </row>
    <row r="1081" spans="12:35" ht="45" customHeight="1" thickBot="1" x14ac:dyDescent="0.25">
      <c r="L1081" s="645"/>
      <c r="M1081" s="616"/>
      <c r="N1081" s="616"/>
      <c r="O1081" s="616"/>
      <c r="P1081" s="615"/>
      <c r="Q1081" s="616"/>
      <c r="R1081" s="663"/>
      <c r="S1081" s="459"/>
      <c r="T1081" s="459"/>
      <c r="U1081" s="459"/>
      <c r="V1081" s="459"/>
      <c r="W1081" s="459"/>
      <c r="X1081" s="459"/>
      <c r="Y1081" s="666"/>
      <c r="Z1081" s="664"/>
      <c r="AA1081" s="665"/>
      <c r="AB1081" s="665"/>
      <c r="AC1081" s="665"/>
      <c r="AD1081" s="665"/>
      <c r="AE1081" s="665"/>
      <c r="AF1081" s="649"/>
      <c r="AG1081" s="650"/>
      <c r="AH1081" s="650"/>
      <c r="AI1081" s="667"/>
    </row>
    <row r="1082" spans="12:35" ht="45" customHeight="1" thickBot="1" x14ac:dyDescent="0.25">
      <c r="L1082" s="645"/>
      <c r="M1082" s="616"/>
      <c r="N1082" s="616"/>
      <c r="O1082" s="616"/>
      <c r="P1082" s="615"/>
      <c r="Q1082" s="616"/>
      <c r="R1082" s="663"/>
      <c r="S1082" s="459"/>
      <c r="T1082" s="459"/>
      <c r="U1082" s="459"/>
      <c r="V1082" s="459"/>
      <c r="W1082" s="459"/>
      <c r="X1082" s="459"/>
      <c r="Y1082" s="666"/>
      <c r="Z1082" s="664"/>
      <c r="AA1082" s="665"/>
      <c r="AB1082" s="665"/>
      <c r="AC1082" s="665"/>
      <c r="AD1082" s="665"/>
      <c r="AE1082" s="665"/>
      <c r="AF1082" s="649"/>
      <c r="AG1082" s="650"/>
      <c r="AH1082" s="650"/>
      <c r="AI1082" s="667"/>
    </row>
    <row r="1083" spans="12:35" ht="45" customHeight="1" thickBot="1" x14ac:dyDescent="0.25">
      <c r="L1083" s="645"/>
      <c r="M1083" s="616"/>
      <c r="N1083" s="616"/>
      <c r="O1083" s="616"/>
      <c r="P1083" s="615"/>
      <c r="Q1083" s="616"/>
      <c r="R1083" s="663"/>
      <c r="S1083" s="459"/>
      <c r="T1083" s="459"/>
      <c r="U1083" s="459"/>
      <c r="V1083" s="459"/>
      <c r="W1083" s="459"/>
      <c r="X1083" s="459"/>
      <c r="Y1083" s="666"/>
      <c r="Z1083" s="664"/>
      <c r="AA1083" s="665"/>
      <c r="AB1083" s="665"/>
      <c r="AC1083" s="665"/>
      <c r="AD1083" s="665"/>
      <c r="AE1083" s="665"/>
      <c r="AF1083" s="649"/>
      <c r="AG1083" s="650"/>
      <c r="AH1083" s="650"/>
      <c r="AI1083" s="667"/>
    </row>
    <row r="1084" spans="12:35" ht="45" customHeight="1" thickBot="1" x14ac:dyDescent="0.25">
      <c r="L1084" s="645"/>
      <c r="M1084" s="616"/>
      <c r="N1084" s="616"/>
      <c r="O1084" s="616"/>
      <c r="P1084" s="615"/>
      <c r="Q1084" s="616"/>
      <c r="R1084" s="663"/>
      <c r="S1084" s="459"/>
      <c r="T1084" s="459"/>
      <c r="U1084" s="459"/>
      <c r="V1084" s="459"/>
      <c r="W1084" s="459"/>
      <c r="X1084" s="459"/>
      <c r="Y1084" s="666"/>
      <c r="Z1084" s="664"/>
      <c r="AA1084" s="665"/>
      <c r="AB1084" s="665"/>
      <c r="AC1084" s="665"/>
      <c r="AD1084" s="665"/>
      <c r="AE1084" s="665"/>
      <c r="AF1084" s="649"/>
      <c r="AG1084" s="650"/>
      <c r="AH1084" s="650"/>
      <c r="AI1084" s="667"/>
    </row>
    <row r="1085" spans="12:35" ht="45" customHeight="1" thickBot="1" x14ac:dyDescent="0.25">
      <c r="L1085" s="645"/>
      <c r="M1085" s="616"/>
      <c r="N1085" s="616"/>
      <c r="O1085" s="616"/>
      <c r="P1085" s="615"/>
      <c r="Q1085" s="616"/>
      <c r="R1085" s="663"/>
      <c r="S1085" s="459"/>
      <c r="T1085" s="459"/>
      <c r="U1085" s="459"/>
      <c r="V1085" s="459"/>
      <c r="W1085" s="459"/>
      <c r="X1085" s="459"/>
      <c r="Y1085" s="666"/>
      <c r="Z1085" s="664"/>
      <c r="AA1085" s="665"/>
      <c r="AB1085" s="665"/>
      <c r="AC1085" s="665"/>
      <c r="AD1085" s="665"/>
      <c r="AE1085" s="665"/>
      <c r="AF1085" s="649"/>
      <c r="AG1085" s="650"/>
      <c r="AH1085" s="650"/>
      <c r="AI1085" s="667"/>
    </row>
    <row r="1086" spans="12:35" ht="45" customHeight="1" thickBot="1" x14ac:dyDescent="0.25">
      <c r="L1086" s="645"/>
      <c r="M1086" s="616"/>
      <c r="N1086" s="616"/>
      <c r="O1086" s="616"/>
      <c r="P1086" s="615"/>
      <c r="Q1086" s="616"/>
      <c r="R1086" s="663"/>
      <c r="S1086" s="459"/>
      <c r="T1086" s="459"/>
      <c r="U1086" s="459"/>
      <c r="V1086" s="459"/>
      <c r="W1086" s="459"/>
      <c r="X1086" s="459"/>
      <c r="Y1086" s="666"/>
      <c r="Z1086" s="664"/>
      <c r="AA1086" s="665"/>
      <c r="AB1086" s="665"/>
      <c r="AC1086" s="665"/>
      <c r="AD1086" s="665"/>
      <c r="AE1086" s="665"/>
      <c r="AF1086" s="649"/>
      <c r="AG1086" s="650"/>
      <c r="AH1086" s="650"/>
      <c r="AI1086" s="667"/>
    </row>
    <row r="1087" spans="12:35" ht="45" customHeight="1" thickBot="1" x14ac:dyDescent="0.25">
      <c r="L1087" s="645"/>
      <c r="M1087" s="616"/>
      <c r="N1087" s="616"/>
      <c r="O1087" s="616"/>
      <c r="P1087" s="615"/>
      <c r="Q1087" s="616"/>
      <c r="R1087" s="663"/>
      <c r="S1087" s="459"/>
      <c r="T1087" s="459"/>
      <c r="U1087" s="459"/>
      <c r="V1087" s="459"/>
      <c r="W1087" s="459"/>
      <c r="X1087" s="459"/>
      <c r="Y1087" s="666"/>
      <c r="Z1087" s="664"/>
      <c r="AA1087" s="665"/>
      <c r="AB1087" s="665"/>
      <c r="AC1087" s="665"/>
      <c r="AD1087" s="665"/>
      <c r="AE1087" s="665"/>
      <c r="AF1087" s="649"/>
      <c r="AG1087" s="650"/>
      <c r="AH1087" s="650"/>
      <c r="AI1087" s="667"/>
    </row>
    <row r="1088" spans="12:35" ht="45" customHeight="1" thickBot="1" x14ac:dyDescent="0.25">
      <c r="L1088" s="645"/>
      <c r="M1088" s="616"/>
      <c r="N1088" s="616"/>
      <c r="O1088" s="616"/>
      <c r="P1088" s="615"/>
      <c r="Q1088" s="616"/>
      <c r="R1088" s="663"/>
      <c r="S1088" s="459"/>
      <c r="T1088" s="459"/>
      <c r="U1088" s="459"/>
      <c r="V1088" s="459"/>
      <c r="W1088" s="459"/>
      <c r="X1088" s="459"/>
      <c r="Y1088" s="666"/>
      <c r="Z1088" s="664"/>
      <c r="AA1088" s="665"/>
      <c r="AB1088" s="665"/>
      <c r="AC1088" s="665"/>
      <c r="AD1088" s="665"/>
      <c r="AE1088" s="665"/>
      <c r="AF1088" s="649"/>
      <c r="AG1088" s="650"/>
      <c r="AH1088" s="650"/>
      <c r="AI1088" s="667"/>
    </row>
    <row r="1089" spans="12:35" ht="45" customHeight="1" thickBot="1" x14ac:dyDescent="0.25">
      <c r="L1089" s="645"/>
      <c r="M1089" s="616"/>
      <c r="N1089" s="616"/>
      <c r="O1089" s="616"/>
      <c r="P1089" s="615"/>
      <c r="Q1089" s="616"/>
      <c r="R1089" s="663"/>
      <c r="S1089" s="459"/>
      <c r="T1089" s="459"/>
      <c r="U1089" s="459"/>
      <c r="V1089" s="459"/>
      <c r="W1089" s="459"/>
      <c r="X1089" s="459"/>
      <c r="Y1089" s="666"/>
      <c r="Z1089" s="664"/>
      <c r="AA1089" s="665"/>
      <c r="AB1089" s="665"/>
      <c r="AC1089" s="665"/>
      <c r="AD1089" s="665"/>
      <c r="AE1089" s="665"/>
      <c r="AF1089" s="649"/>
      <c r="AG1089" s="650"/>
      <c r="AH1089" s="650"/>
      <c r="AI1089" s="667"/>
    </row>
    <row r="1090" spans="12:35" ht="45" customHeight="1" thickBot="1" x14ac:dyDescent="0.25">
      <c r="L1090" s="645"/>
      <c r="M1090" s="616"/>
      <c r="N1090" s="616"/>
      <c r="O1090" s="616"/>
      <c r="P1090" s="615"/>
      <c r="Q1090" s="616"/>
      <c r="R1090" s="663"/>
      <c r="S1090" s="459"/>
      <c r="T1090" s="459"/>
      <c r="U1090" s="459"/>
      <c r="V1090" s="459"/>
      <c r="W1090" s="459"/>
      <c r="X1090" s="459"/>
      <c r="Y1090" s="666"/>
      <c r="Z1090" s="664"/>
      <c r="AA1090" s="665"/>
      <c r="AB1090" s="665"/>
      <c r="AC1090" s="665"/>
      <c r="AD1090" s="665"/>
      <c r="AE1090" s="665"/>
      <c r="AF1090" s="649"/>
      <c r="AG1090" s="650"/>
      <c r="AH1090" s="650"/>
      <c r="AI1090" s="667"/>
    </row>
    <row r="1091" spans="12:35" ht="45" customHeight="1" thickBot="1" x14ac:dyDescent="0.25">
      <c r="L1091" s="645"/>
      <c r="M1091" s="616"/>
      <c r="N1091" s="616"/>
      <c r="O1091" s="616"/>
      <c r="P1091" s="615"/>
      <c r="Q1091" s="616"/>
      <c r="R1091" s="663"/>
      <c r="S1091" s="459"/>
      <c r="T1091" s="459"/>
      <c r="U1091" s="459"/>
      <c r="V1091" s="459"/>
      <c r="W1091" s="459"/>
      <c r="X1091" s="459"/>
      <c r="Y1091" s="666"/>
      <c r="Z1091" s="664"/>
      <c r="AA1091" s="665"/>
      <c r="AB1091" s="665"/>
      <c r="AC1091" s="665"/>
      <c r="AD1091" s="665"/>
      <c r="AE1091" s="665"/>
      <c r="AF1091" s="649"/>
      <c r="AG1091" s="650"/>
      <c r="AH1091" s="650"/>
      <c r="AI1091" s="667"/>
    </row>
    <row r="1092" spans="12:35" ht="45" customHeight="1" thickBot="1" x14ac:dyDescent="0.25">
      <c r="L1092" s="645"/>
      <c r="M1092" s="616"/>
      <c r="N1092" s="616"/>
      <c r="O1092" s="616"/>
      <c r="P1092" s="615"/>
      <c r="Q1092" s="616"/>
      <c r="R1092" s="663"/>
      <c r="S1092" s="459"/>
      <c r="T1092" s="459"/>
      <c r="U1092" s="459"/>
      <c r="V1092" s="459"/>
      <c r="W1092" s="459"/>
      <c r="X1092" s="459"/>
      <c r="Y1092" s="666"/>
      <c r="Z1092" s="664"/>
      <c r="AA1092" s="665"/>
      <c r="AB1092" s="665"/>
      <c r="AC1092" s="665"/>
      <c r="AD1092" s="665"/>
      <c r="AE1092" s="665"/>
      <c r="AF1092" s="649"/>
      <c r="AG1092" s="650"/>
      <c r="AH1092" s="650"/>
      <c r="AI1092" s="667"/>
    </row>
    <row r="1093" spans="12:35" ht="45" customHeight="1" thickBot="1" x14ac:dyDescent="0.25">
      <c r="L1093" s="645"/>
      <c r="M1093" s="616"/>
      <c r="N1093" s="616"/>
      <c r="O1093" s="616"/>
      <c r="P1093" s="615"/>
      <c r="Q1093" s="616"/>
      <c r="R1093" s="663"/>
      <c r="S1093" s="459"/>
      <c r="T1093" s="459"/>
      <c r="U1093" s="459"/>
      <c r="V1093" s="459"/>
      <c r="W1093" s="459"/>
      <c r="X1093" s="459"/>
      <c r="Y1093" s="666"/>
      <c r="Z1093" s="664"/>
      <c r="AA1093" s="665"/>
      <c r="AB1093" s="665"/>
      <c r="AC1093" s="665"/>
      <c r="AD1093" s="665"/>
      <c r="AE1093" s="665"/>
      <c r="AF1093" s="649"/>
      <c r="AG1093" s="650"/>
      <c r="AH1093" s="650"/>
      <c r="AI1093" s="667"/>
    </row>
    <row r="1094" spans="12:35" ht="45" customHeight="1" thickBot="1" x14ac:dyDescent="0.25">
      <c r="L1094" s="645"/>
      <c r="M1094" s="616"/>
      <c r="N1094" s="616"/>
      <c r="O1094" s="616"/>
      <c r="P1094" s="615"/>
      <c r="Q1094" s="616"/>
      <c r="R1094" s="663"/>
      <c r="S1094" s="459"/>
      <c r="T1094" s="459"/>
      <c r="U1094" s="459"/>
      <c r="V1094" s="459"/>
      <c r="W1094" s="459"/>
      <c r="X1094" s="459"/>
      <c r="Y1094" s="666"/>
      <c r="Z1094" s="664"/>
      <c r="AA1094" s="665"/>
      <c r="AB1094" s="665"/>
      <c r="AC1094" s="665"/>
      <c r="AD1094" s="665"/>
      <c r="AE1094" s="665"/>
      <c r="AF1094" s="649"/>
      <c r="AG1094" s="650"/>
      <c r="AH1094" s="650"/>
      <c r="AI1094" s="667"/>
    </row>
    <row r="1095" spans="12:35" ht="45" customHeight="1" thickBot="1" x14ac:dyDescent="0.25">
      <c r="L1095" s="645"/>
      <c r="M1095" s="616"/>
      <c r="N1095" s="616"/>
      <c r="O1095" s="616"/>
      <c r="P1095" s="615"/>
      <c r="Q1095" s="616"/>
      <c r="R1095" s="663"/>
      <c r="S1095" s="459"/>
      <c r="T1095" s="459"/>
      <c r="U1095" s="459"/>
      <c r="V1095" s="459"/>
      <c r="W1095" s="459"/>
      <c r="X1095" s="459"/>
      <c r="Y1095" s="666"/>
      <c r="Z1095" s="664"/>
      <c r="AA1095" s="665"/>
      <c r="AB1095" s="665"/>
      <c r="AC1095" s="665"/>
      <c r="AD1095" s="665"/>
      <c r="AE1095" s="665"/>
      <c r="AF1095" s="649"/>
      <c r="AG1095" s="650"/>
      <c r="AH1095" s="650"/>
      <c r="AI1095" s="667"/>
    </row>
    <row r="1096" spans="12:35" ht="45" customHeight="1" thickBot="1" x14ac:dyDescent="0.25">
      <c r="L1096" s="645"/>
      <c r="M1096" s="616"/>
      <c r="N1096" s="616"/>
      <c r="O1096" s="616"/>
      <c r="P1096" s="615"/>
      <c r="Q1096" s="616"/>
      <c r="R1096" s="663"/>
      <c r="S1096" s="459"/>
      <c r="T1096" s="459"/>
      <c r="U1096" s="459"/>
      <c r="V1096" s="459"/>
      <c r="W1096" s="459"/>
      <c r="X1096" s="459"/>
      <c r="Y1096" s="666"/>
      <c r="Z1096" s="664"/>
      <c r="AA1096" s="665"/>
      <c r="AB1096" s="665"/>
      <c r="AC1096" s="665"/>
      <c r="AD1096" s="665"/>
      <c r="AE1096" s="665"/>
      <c r="AF1096" s="649"/>
      <c r="AG1096" s="650"/>
      <c r="AH1096" s="650"/>
      <c r="AI1096" s="667"/>
    </row>
    <row r="1097" spans="12:35" ht="45" customHeight="1" thickBot="1" x14ac:dyDescent="0.25">
      <c r="L1097" s="645"/>
      <c r="M1097" s="616"/>
      <c r="N1097" s="616"/>
      <c r="O1097" s="616"/>
      <c r="P1097" s="615"/>
      <c r="Q1097" s="616"/>
      <c r="R1097" s="663"/>
      <c r="S1097" s="459"/>
      <c r="T1097" s="459"/>
      <c r="U1097" s="459"/>
      <c r="V1097" s="459"/>
      <c r="W1097" s="459"/>
      <c r="X1097" s="459"/>
      <c r="Y1097" s="666"/>
      <c r="Z1097" s="664"/>
      <c r="AA1097" s="665"/>
      <c r="AB1097" s="665"/>
      <c r="AC1097" s="665"/>
      <c r="AD1097" s="665"/>
      <c r="AE1097" s="665"/>
      <c r="AF1097" s="649"/>
      <c r="AG1097" s="650"/>
      <c r="AH1097" s="650"/>
      <c r="AI1097" s="667"/>
    </row>
    <row r="1098" spans="12:35" ht="45" customHeight="1" thickBot="1" x14ac:dyDescent="0.25">
      <c r="L1098" s="645"/>
      <c r="M1098" s="616"/>
      <c r="N1098" s="616"/>
      <c r="O1098" s="616"/>
      <c r="P1098" s="615"/>
      <c r="Q1098" s="616"/>
      <c r="R1098" s="663"/>
      <c r="S1098" s="459"/>
      <c r="T1098" s="459"/>
      <c r="U1098" s="459"/>
      <c r="V1098" s="459"/>
      <c r="W1098" s="459"/>
      <c r="X1098" s="459"/>
      <c r="Y1098" s="666"/>
      <c r="Z1098" s="664"/>
      <c r="AA1098" s="665"/>
      <c r="AB1098" s="665"/>
      <c r="AC1098" s="665"/>
      <c r="AD1098" s="665"/>
      <c r="AE1098" s="665"/>
      <c r="AF1098" s="649"/>
      <c r="AG1098" s="650"/>
      <c r="AH1098" s="650"/>
      <c r="AI1098" s="667"/>
    </row>
    <row r="1099" spans="12:35" ht="45" customHeight="1" thickBot="1" x14ac:dyDescent="0.25">
      <c r="L1099" s="645"/>
      <c r="M1099" s="616"/>
      <c r="N1099" s="616"/>
      <c r="O1099" s="616"/>
      <c r="P1099" s="615"/>
      <c r="Q1099" s="616"/>
      <c r="R1099" s="663"/>
      <c r="S1099" s="459"/>
      <c r="T1099" s="459"/>
      <c r="U1099" s="459"/>
      <c r="V1099" s="459"/>
      <c r="W1099" s="459"/>
      <c r="X1099" s="459"/>
      <c r="Y1099" s="666"/>
      <c r="Z1099" s="664"/>
      <c r="AA1099" s="665"/>
      <c r="AB1099" s="665"/>
      <c r="AC1099" s="665"/>
      <c r="AD1099" s="665"/>
      <c r="AE1099" s="665"/>
      <c r="AF1099" s="649"/>
      <c r="AG1099" s="650"/>
      <c r="AH1099" s="650"/>
      <c r="AI1099" s="667"/>
    </row>
    <row r="1100" spans="12:35" ht="45" customHeight="1" thickBot="1" x14ac:dyDescent="0.25">
      <c r="L1100" s="645"/>
      <c r="M1100" s="616"/>
      <c r="N1100" s="616"/>
      <c r="O1100" s="616"/>
      <c r="P1100" s="615"/>
      <c r="Q1100" s="616"/>
      <c r="R1100" s="663"/>
      <c r="S1100" s="459"/>
      <c r="T1100" s="459"/>
      <c r="U1100" s="459"/>
      <c r="V1100" s="459"/>
      <c r="W1100" s="459"/>
      <c r="X1100" s="459"/>
      <c r="Y1100" s="666"/>
      <c r="Z1100" s="664"/>
      <c r="AA1100" s="665"/>
      <c r="AB1100" s="665"/>
      <c r="AC1100" s="665"/>
      <c r="AD1100" s="665"/>
      <c r="AE1100" s="665"/>
      <c r="AF1100" s="649"/>
      <c r="AG1100" s="650"/>
      <c r="AH1100" s="650"/>
      <c r="AI1100" s="667"/>
    </row>
    <row r="1101" spans="12:35" ht="45" customHeight="1" thickBot="1" x14ac:dyDescent="0.25">
      <c r="L1101" s="645"/>
      <c r="M1101" s="616"/>
      <c r="N1101" s="616"/>
      <c r="O1101" s="616"/>
      <c r="P1101" s="615"/>
      <c r="Q1101" s="616"/>
      <c r="R1101" s="663"/>
      <c r="S1101" s="459"/>
      <c r="T1101" s="459"/>
      <c r="U1101" s="459"/>
      <c r="V1101" s="459"/>
      <c r="W1101" s="459"/>
      <c r="X1101" s="459"/>
      <c r="Y1101" s="666"/>
      <c r="Z1101" s="664"/>
      <c r="AA1101" s="665"/>
      <c r="AB1101" s="665"/>
      <c r="AC1101" s="665"/>
      <c r="AD1101" s="665"/>
      <c r="AE1101" s="665"/>
      <c r="AF1101" s="649"/>
      <c r="AG1101" s="650"/>
      <c r="AH1101" s="650"/>
      <c r="AI1101" s="667"/>
    </row>
    <row r="1102" spans="12:35" ht="45" customHeight="1" thickBot="1" x14ac:dyDescent="0.25">
      <c r="L1102" s="645"/>
      <c r="M1102" s="616"/>
      <c r="N1102" s="616"/>
      <c r="O1102" s="616"/>
      <c r="P1102" s="615"/>
      <c r="Q1102" s="616"/>
      <c r="R1102" s="663"/>
      <c r="S1102" s="459"/>
      <c r="T1102" s="459"/>
      <c r="U1102" s="459"/>
      <c r="V1102" s="459"/>
      <c r="W1102" s="459"/>
      <c r="X1102" s="459"/>
      <c r="Y1102" s="666"/>
      <c r="Z1102" s="664"/>
      <c r="AA1102" s="665"/>
      <c r="AB1102" s="665"/>
      <c r="AC1102" s="665"/>
      <c r="AD1102" s="665"/>
      <c r="AE1102" s="665"/>
      <c r="AF1102" s="649"/>
      <c r="AG1102" s="650"/>
      <c r="AH1102" s="650"/>
      <c r="AI1102" s="667"/>
    </row>
    <row r="1103" spans="12:35" ht="45" customHeight="1" thickBot="1" x14ac:dyDescent="0.25">
      <c r="L1103" s="645"/>
      <c r="M1103" s="616"/>
      <c r="N1103" s="616"/>
      <c r="O1103" s="616"/>
      <c r="P1103" s="615"/>
      <c r="Q1103" s="616"/>
      <c r="R1103" s="663"/>
      <c r="S1103" s="459"/>
      <c r="T1103" s="459"/>
      <c r="U1103" s="459"/>
      <c r="V1103" s="459"/>
      <c r="W1103" s="459"/>
      <c r="X1103" s="459"/>
      <c r="Y1103" s="666"/>
      <c r="Z1103" s="664"/>
      <c r="AA1103" s="665"/>
      <c r="AB1103" s="665"/>
      <c r="AC1103" s="665"/>
      <c r="AD1103" s="665"/>
      <c r="AE1103" s="665"/>
      <c r="AF1103" s="649"/>
      <c r="AG1103" s="650"/>
      <c r="AH1103" s="650"/>
      <c r="AI1103" s="667"/>
    </row>
    <row r="1104" spans="12:35" ht="45" customHeight="1" thickBot="1" x14ac:dyDescent="0.25">
      <c r="L1104" s="645"/>
      <c r="M1104" s="616"/>
      <c r="N1104" s="616"/>
      <c r="O1104" s="616"/>
      <c r="P1104" s="615"/>
      <c r="Q1104" s="616"/>
      <c r="R1104" s="663"/>
      <c r="S1104" s="459"/>
      <c r="T1104" s="459"/>
      <c r="U1104" s="459"/>
      <c r="V1104" s="459"/>
      <c r="W1104" s="459"/>
      <c r="X1104" s="459"/>
      <c r="Y1104" s="666"/>
      <c r="Z1104" s="664"/>
      <c r="AA1104" s="665"/>
      <c r="AB1104" s="665"/>
      <c r="AC1104" s="665"/>
      <c r="AD1104" s="665"/>
      <c r="AE1104" s="665"/>
      <c r="AF1104" s="649"/>
      <c r="AG1104" s="650"/>
      <c r="AH1104" s="650"/>
      <c r="AI1104" s="667"/>
    </row>
    <row r="1105" spans="12:35" ht="45" customHeight="1" thickBot="1" x14ac:dyDescent="0.25">
      <c r="L1105" s="645"/>
      <c r="M1105" s="616"/>
      <c r="N1105" s="616"/>
      <c r="O1105" s="616"/>
      <c r="P1105" s="615"/>
      <c r="Q1105" s="616"/>
      <c r="R1105" s="663"/>
      <c r="S1105" s="459"/>
      <c r="T1105" s="459"/>
      <c r="U1105" s="459"/>
      <c r="V1105" s="459"/>
      <c r="W1105" s="459"/>
      <c r="X1105" s="459"/>
      <c r="Y1105" s="666"/>
      <c r="Z1105" s="664"/>
      <c r="AA1105" s="665"/>
      <c r="AB1105" s="665"/>
      <c r="AC1105" s="665"/>
      <c r="AD1105" s="665"/>
      <c r="AE1105" s="665"/>
      <c r="AF1105" s="649"/>
      <c r="AG1105" s="650"/>
      <c r="AH1105" s="650"/>
      <c r="AI1105" s="667"/>
    </row>
    <row r="1106" spans="12:35" ht="45" customHeight="1" thickBot="1" x14ac:dyDescent="0.25">
      <c r="L1106" s="645"/>
      <c r="M1106" s="616"/>
      <c r="N1106" s="616"/>
      <c r="O1106" s="616"/>
      <c r="P1106" s="615"/>
      <c r="Q1106" s="616"/>
      <c r="R1106" s="663"/>
      <c r="S1106" s="459"/>
      <c r="T1106" s="459"/>
      <c r="U1106" s="459"/>
      <c r="V1106" s="459"/>
      <c r="W1106" s="459"/>
      <c r="X1106" s="459"/>
      <c r="Y1106" s="666"/>
      <c r="Z1106" s="664"/>
      <c r="AA1106" s="665"/>
      <c r="AB1106" s="665"/>
      <c r="AC1106" s="665"/>
      <c r="AD1106" s="665"/>
      <c r="AE1106" s="665"/>
      <c r="AF1106" s="649"/>
      <c r="AG1106" s="650"/>
      <c r="AH1106" s="650"/>
      <c r="AI1106" s="667"/>
    </row>
    <row r="1107" spans="12:35" ht="45" customHeight="1" thickBot="1" x14ac:dyDescent="0.25">
      <c r="L1107" s="645"/>
      <c r="M1107" s="616"/>
      <c r="N1107" s="616"/>
      <c r="O1107" s="616"/>
      <c r="P1107" s="615"/>
      <c r="Q1107" s="616"/>
      <c r="R1107" s="663"/>
      <c r="S1107" s="459"/>
      <c r="T1107" s="459"/>
      <c r="U1107" s="459"/>
      <c r="V1107" s="459"/>
      <c r="W1107" s="459"/>
      <c r="X1107" s="459"/>
      <c r="Y1107" s="666"/>
      <c r="Z1107" s="664"/>
      <c r="AA1107" s="665"/>
      <c r="AB1107" s="665"/>
      <c r="AC1107" s="665"/>
      <c r="AD1107" s="665"/>
      <c r="AE1107" s="665"/>
      <c r="AF1107" s="649"/>
      <c r="AG1107" s="650"/>
      <c r="AH1107" s="650"/>
      <c r="AI1107" s="667"/>
    </row>
    <row r="1108" spans="12:35" ht="45" customHeight="1" thickBot="1" x14ac:dyDescent="0.25">
      <c r="L1108" s="645"/>
      <c r="M1108" s="616"/>
      <c r="N1108" s="616"/>
      <c r="O1108" s="616"/>
      <c r="P1108" s="615"/>
      <c r="Q1108" s="616"/>
      <c r="R1108" s="663"/>
      <c r="S1108" s="459"/>
      <c r="T1108" s="459"/>
      <c r="U1108" s="459"/>
      <c r="V1108" s="459"/>
      <c r="W1108" s="459"/>
      <c r="X1108" s="459"/>
      <c r="Y1108" s="666"/>
      <c r="Z1108" s="664"/>
      <c r="AA1108" s="665"/>
      <c r="AB1108" s="665"/>
      <c r="AC1108" s="665"/>
      <c r="AD1108" s="665"/>
      <c r="AE1108" s="665"/>
      <c r="AF1108" s="649"/>
      <c r="AG1108" s="650"/>
      <c r="AH1108" s="650"/>
      <c r="AI1108" s="667"/>
    </row>
    <row r="1109" spans="12:35" ht="45" customHeight="1" thickBot="1" x14ac:dyDescent="0.25">
      <c r="L1109" s="645"/>
      <c r="M1109" s="616"/>
      <c r="N1109" s="616"/>
      <c r="O1109" s="616"/>
      <c r="P1109" s="615"/>
      <c r="Q1109" s="616"/>
      <c r="R1109" s="663"/>
      <c r="S1109" s="459"/>
      <c r="T1109" s="459"/>
      <c r="U1109" s="459"/>
      <c r="V1109" s="459"/>
      <c r="W1109" s="459"/>
      <c r="X1109" s="459"/>
      <c r="Y1109" s="666"/>
      <c r="Z1109" s="664"/>
      <c r="AA1109" s="665"/>
      <c r="AB1109" s="665"/>
      <c r="AC1109" s="665"/>
      <c r="AD1109" s="665"/>
      <c r="AE1109" s="665"/>
      <c r="AF1109" s="649"/>
      <c r="AG1109" s="650"/>
      <c r="AH1109" s="650"/>
      <c r="AI1109" s="667"/>
    </row>
    <row r="1110" spans="12:35" ht="45" customHeight="1" thickBot="1" x14ac:dyDescent="0.25">
      <c r="L1110" s="645"/>
      <c r="M1110" s="616"/>
      <c r="N1110" s="616"/>
      <c r="O1110" s="616"/>
      <c r="P1110" s="615"/>
      <c r="Q1110" s="616"/>
      <c r="R1110" s="663"/>
      <c r="S1110" s="459"/>
      <c r="T1110" s="459"/>
      <c r="U1110" s="459"/>
      <c r="V1110" s="459"/>
      <c r="W1110" s="459"/>
      <c r="X1110" s="459"/>
      <c r="Y1110" s="666"/>
      <c r="Z1110" s="664"/>
      <c r="AA1110" s="665"/>
      <c r="AB1110" s="665"/>
      <c r="AC1110" s="665"/>
      <c r="AD1110" s="665"/>
      <c r="AE1110" s="665"/>
      <c r="AF1110" s="649"/>
      <c r="AG1110" s="650"/>
      <c r="AH1110" s="650"/>
      <c r="AI1110" s="667"/>
    </row>
    <row r="1111" spans="12:35" ht="45" customHeight="1" thickBot="1" x14ac:dyDescent="0.25">
      <c r="L1111" s="645"/>
      <c r="M1111" s="616"/>
      <c r="N1111" s="616"/>
      <c r="O1111" s="616"/>
      <c r="P1111" s="615"/>
      <c r="Q1111" s="616"/>
      <c r="R1111" s="663"/>
      <c r="S1111" s="459"/>
      <c r="T1111" s="459"/>
      <c r="U1111" s="459"/>
      <c r="V1111" s="459"/>
      <c r="W1111" s="459"/>
      <c r="X1111" s="459"/>
      <c r="Y1111" s="666"/>
      <c r="Z1111" s="664"/>
      <c r="AA1111" s="665"/>
      <c r="AB1111" s="665"/>
      <c r="AC1111" s="665"/>
      <c r="AD1111" s="665"/>
      <c r="AE1111" s="665"/>
      <c r="AF1111" s="649"/>
      <c r="AG1111" s="650"/>
      <c r="AH1111" s="650"/>
      <c r="AI1111" s="667"/>
    </row>
    <row r="1112" spans="12:35" ht="45" customHeight="1" thickBot="1" x14ac:dyDescent="0.25">
      <c r="L1112" s="645"/>
      <c r="M1112" s="616"/>
      <c r="N1112" s="616"/>
      <c r="O1112" s="616"/>
      <c r="P1112" s="615"/>
      <c r="Q1112" s="616"/>
      <c r="R1112" s="663"/>
      <c r="S1112" s="459"/>
      <c r="T1112" s="459"/>
      <c r="U1112" s="459"/>
      <c r="V1112" s="459"/>
      <c r="W1112" s="459"/>
      <c r="X1112" s="459"/>
      <c r="Y1112" s="666"/>
      <c r="Z1112" s="664"/>
      <c r="AA1112" s="665"/>
      <c r="AB1112" s="665"/>
      <c r="AC1112" s="665"/>
      <c r="AD1112" s="665"/>
      <c r="AE1112" s="665"/>
      <c r="AF1112" s="649"/>
      <c r="AG1112" s="650"/>
      <c r="AH1112" s="650"/>
      <c r="AI1112" s="667"/>
    </row>
    <row r="1113" spans="12:35" ht="45" customHeight="1" thickBot="1" x14ac:dyDescent="0.25">
      <c r="L1113" s="645"/>
      <c r="M1113" s="616"/>
      <c r="N1113" s="616"/>
      <c r="O1113" s="616"/>
      <c r="P1113" s="615"/>
      <c r="Q1113" s="616"/>
      <c r="R1113" s="663"/>
      <c r="S1113" s="459"/>
      <c r="T1113" s="459"/>
      <c r="U1113" s="459"/>
      <c r="V1113" s="459"/>
      <c r="W1113" s="459"/>
      <c r="X1113" s="459"/>
      <c r="Y1113" s="666"/>
      <c r="Z1113" s="664"/>
      <c r="AA1113" s="665"/>
      <c r="AB1113" s="665"/>
      <c r="AC1113" s="665"/>
      <c r="AD1113" s="665"/>
      <c r="AE1113" s="665"/>
      <c r="AF1113" s="649"/>
      <c r="AG1113" s="650"/>
      <c r="AH1113" s="650"/>
      <c r="AI1113" s="667"/>
    </row>
    <row r="1114" spans="12:35" ht="45" customHeight="1" thickBot="1" x14ac:dyDescent="0.25">
      <c r="L1114" s="645"/>
      <c r="M1114" s="616"/>
      <c r="N1114" s="616"/>
      <c r="O1114" s="616"/>
      <c r="P1114" s="615"/>
      <c r="Q1114" s="616"/>
      <c r="R1114" s="663"/>
      <c r="S1114" s="459"/>
      <c r="T1114" s="459"/>
      <c r="U1114" s="459"/>
      <c r="V1114" s="459"/>
      <c r="W1114" s="459"/>
      <c r="X1114" s="459"/>
      <c r="Y1114" s="666"/>
      <c r="Z1114" s="664"/>
      <c r="AA1114" s="665"/>
      <c r="AB1114" s="665"/>
      <c r="AC1114" s="665"/>
      <c r="AD1114" s="665"/>
      <c r="AE1114" s="665"/>
      <c r="AF1114" s="649"/>
      <c r="AG1114" s="650"/>
      <c r="AH1114" s="650"/>
      <c r="AI1114" s="667"/>
    </row>
    <row r="1115" spans="12:35" ht="45" customHeight="1" thickBot="1" x14ac:dyDescent="0.25">
      <c r="L1115" s="645"/>
      <c r="M1115" s="616"/>
      <c r="N1115" s="616"/>
      <c r="O1115" s="616"/>
      <c r="P1115" s="615"/>
      <c r="Q1115" s="616"/>
      <c r="R1115" s="663"/>
      <c r="S1115" s="459"/>
      <c r="T1115" s="459"/>
      <c r="U1115" s="459"/>
      <c r="V1115" s="459"/>
      <c r="W1115" s="459"/>
      <c r="X1115" s="459"/>
      <c r="Y1115" s="666"/>
      <c r="Z1115" s="664"/>
      <c r="AA1115" s="665"/>
      <c r="AB1115" s="665"/>
      <c r="AC1115" s="665"/>
      <c r="AD1115" s="665"/>
      <c r="AE1115" s="665"/>
      <c r="AF1115" s="649"/>
      <c r="AG1115" s="650"/>
      <c r="AH1115" s="650"/>
      <c r="AI1115" s="667"/>
    </row>
    <row r="1116" spans="12:35" ht="45" customHeight="1" thickBot="1" x14ac:dyDescent="0.25">
      <c r="L1116" s="645"/>
      <c r="M1116" s="616"/>
      <c r="N1116" s="616"/>
      <c r="O1116" s="616"/>
      <c r="P1116" s="615"/>
      <c r="Q1116" s="616"/>
      <c r="R1116" s="663"/>
      <c r="S1116" s="459"/>
      <c r="T1116" s="459"/>
      <c r="U1116" s="459"/>
      <c r="V1116" s="459"/>
      <c r="W1116" s="459"/>
      <c r="X1116" s="459"/>
      <c r="Y1116" s="666"/>
      <c r="Z1116" s="664"/>
      <c r="AA1116" s="665"/>
      <c r="AB1116" s="665"/>
      <c r="AC1116" s="665"/>
      <c r="AD1116" s="665"/>
      <c r="AE1116" s="665"/>
      <c r="AF1116" s="649"/>
      <c r="AG1116" s="650"/>
      <c r="AH1116" s="650"/>
      <c r="AI1116" s="667"/>
    </row>
    <row r="1117" spans="12:35" ht="45" customHeight="1" thickBot="1" x14ac:dyDescent="0.25">
      <c r="L1117" s="645"/>
      <c r="M1117" s="616"/>
      <c r="N1117" s="616"/>
      <c r="O1117" s="616"/>
      <c r="P1117" s="615"/>
      <c r="Q1117" s="616"/>
      <c r="R1117" s="663"/>
      <c r="S1117" s="459"/>
      <c r="T1117" s="459"/>
      <c r="U1117" s="459"/>
      <c r="V1117" s="459"/>
      <c r="W1117" s="459"/>
      <c r="X1117" s="459"/>
      <c r="Y1117" s="666"/>
      <c r="Z1117" s="664"/>
      <c r="AA1117" s="665"/>
      <c r="AB1117" s="665"/>
      <c r="AC1117" s="665"/>
      <c r="AD1117" s="665"/>
      <c r="AE1117" s="665"/>
      <c r="AF1117" s="649"/>
      <c r="AG1117" s="650"/>
      <c r="AH1117" s="650"/>
      <c r="AI1117" s="667"/>
    </row>
    <row r="1118" spans="12:35" ht="45" customHeight="1" thickBot="1" x14ac:dyDescent="0.25">
      <c r="L1118" s="645"/>
      <c r="M1118" s="616"/>
      <c r="N1118" s="616"/>
      <c r="O1118" s="616"/>
      <c r="P1118" s="615"/>
      <c r="Q1118" s="616"/>
      <c r="R1118" s="663"/>
      <c r="S1118" s="459"/>
      <c r="T1118" s="459"/>
      <c r="U1118" s="459"/>
      <c r="V1118" s="459"/>
      <c r="W1118" s="459"/>
      <c r="X1118" s="459"/>
      <c r="Y1118" s="666"/>
      <c r="Z1118" s="664"/>
      <c r="AA1118" s="665"/>
      <c r="AB1118" s="665"/>
      <c r="AC1118" s="665"/>
      <c r="AD1118" s="665"/>
      <c r="AE1118" s="665"/>
      <c r="AF1118" s="649"/>
      <c r="AG1118" s="650"/>
      <c r="AH1118" s="650"/>
      <c r="AI1118" s="667"/>
    </row>
    <row r="1119" spans="12:35" ht="45" customHeight="1" thickBot="1" x14ac:dyDescent="0.25">
      <c r="L1119" s="645"/>
      <c r="M1119" s="616"/>
      <c r="N1119" s="616"/>
      <c r="O1119" s="616"/>
      <c r="P1119" s="615"/>
      <c r="Q1119" s="616"/>
      <c r="R1119" s="663"/>
      <c r="S1119" s="459"/>
      <c r="T1119" s="459"/>
      <c r="U1119" s="459"/>
      <c r="V1119" s="459"/>
      <c r="W1119" s="459"/>
      <c r="X1119" s="459"/>
      <c r="Y1119" s="666"/>
      <c r="Z1119" s="664"/>
      <c r="AA1119" s="665"/>
      <c r="AB1119" s="665"/>
      <c r="AC1119" s="665"/>
      <c r="AD1119" s="665"/>
      <c r="AE1119" s="665"/>
      <c r="AF1119" s="649"/>
      <c r="AG1119" s="650"/>
      <c r="AH1119" s="650"/>
      <c r="AI1119" s="667"/>
    </row>
    <row r="1120" spans="12:35" ht="45" customHeight="1" thickBot="1" x14ac:dyDescent="0.25">
      <c r="L1120" s="645"/>
      <c r="M1120" s="616"/>
      <c r="N1120" s="616"/>
      <c r="O1120" s="616"/>
      <c r="P1120" s="615"/>
      <c r="Q1120" s="616"/>
      <c r="R1120" s="663"/>
      <c r="S1120" s="459"/>
      <c r="T1120" s="459"/>
      <c r="U1120" s="459"/>
      <c r="V1120" s="459"/>
      <c r="W1120" s="459"/>
      <c r="X1120" s="459"/>
      <c r="Y1120" s="666"/>
      <c r="Z1120" s="664"/>
      <c r="AA1120" s="665"/>
      <c r="AB1120" s="665"/>
      <c r="AC1120" s="665"/>
      <c r="AD1120" s="665"/>
      <c r="AE1120" s="665"/>
      <c r="AF1120" s="649"/>
      <c r="AG1120" s="650"/>
      <c r="AH1120" s="650"/>
      <c r="AI1120" s="667"/>
    </row>
    <row r="1121" spans="12:35" ht="45" customHeight="1" thickBot="1" x14ac:dyDescent="0.25">
      <c r="L1121" s="645"/>
      <c r="M1121" s="616"/>
      <c r="N1121" s="616"/>
      <c r="O1121" s="616"/>
      <c r="P1121" s="615"/>
      <c r="Q1121" s="616"/>
      <c r="R1121" s="663"/>
      <c r="S1121" s="459"/>
      <c r="T1121" s="459"/>
      <c r="U1121" s="459"/>
      <c r="V1121" s="459"/>
      <c r="W1121" s="459"/>
      <c r="X1121" s="459"/>
      <c r="Y1121" s="666"/>
      <c r="Z1121" s="664"/>
      <c r="AA1121" s="665"/>
      <c r="AB1121" s="665"/>
      <c r="AC1121" s="665"/>
      <c r="AD1121" s="665"/>
      <c r="AE1121" s="665"/>
      <c r="AF1121" s="649"/>
      <c r="AG1121" s="650"/>
      <c r="AH1121" s="650"/>
      <c r="AI1121" s="667"/>
    </row>
    <row r="1122" spans="12:35" ht="45" customHeight="1" thickBot="1" x14ac:dyDescent="0.25">
      <c r="L1122" s="645"/>
      <c r="M1122" s="616"/>
      <c r="N1122" s="616"/>
      <c r="O1122" s="616"/>
      <c r="P1122" s="615"/>
      <c r="Q1122" s="616"/>
      <c r="R1122" s="663"/>
      <c r="S1122" s="459"/>
      <c r="T1122" s="459"/>
      <c r="U1122" s="459"/>
      <c r="V1122" s="459"/>
      <c r="W1122" s="459"/>
      <c r="X1122" s="459"/>
      <c r="Y1122" s="666"/>
      <c r="Z1122" s="664"/>
      <c r="AA1122" s="665"/>
      <c r="AB1122" s="665"/>
      <c r="AC1122" s="665"/>
      <c r="AD1122" s="665"/>
      <c r="AE1122" s="665"/>
      <c r="AF1122" s="649"/>
      <c r="AG1122" s="650"/>
      <c r="AH1122" s="650"/>
      <c r="AI1122" s="667"/>
    </row>
    <row r="1123" spans="12:35" ht="45" customHeight="1" thickBot="1" x14ac:dyDescent="0.25">
      <c r="L1123" s="645"/>
      <c r="M1123" s="616"/>
      <c r="N1123" s="616"/>
      <c r="O1123" s="616"/>
      <c r="P1123" s="615"/>
      <c r="Q1123" s="616"/>
      <c r="R1123" s="663"/>
      <c r="S1123" s="459"/>
      <c r="T1123" s="459"/>
      <c r="U1123" s="459"/>
      <c r="V1123" s="459"/>
      <c r="W1123" s="459"/>
      <c r="X1123" s="459"/>
      <c r="Y1123" s="666"/>
      <c r="Z1123" s="664"/>
      <c r="AA1123" s="665"/>
      <c r="AB1123" s="665"/>
      <c r="AC1123" s="665"/>
      <c r="AD1123" s="665"/>
      <c r="AE1123" s="665"/>
      <c r="AF1123" s="649"/>
      <c r="AG1123" s="650"/>
      <c r="AH1123" s="650"/>
      <c r="AI1123" s="667"/>
    </row>
    <row r="1124" spans="12:35" ht="45" customHeight="1" thickBot="1" x14ac:dyDescent="0.25">
      <c r="L1124" s="645"/>
      <c r="M1124" s="616"/>
      <c r="N1124" s="616"/>
      <c r="O1124" s="616"/>
      <c r="P1124" s="615"/>
      <c r="Q1124" s="616"/>
      <c r="R1124" s="663"/>
      <c r="S1124" s="459"/>
      <c r="T1124" s="459"/>
      <c r="U1124" s="459"/>
      <c r="V1124" s="459"/>
      <c r="W1124" s="459"/>
      <c r="X1124" s="459"/>
      <c r="Y1124" s="666"/>
      <c r="Z1124" s="664"/>
      <c r="AA1124" s="665"/>
      <c r="AB1124" s="665"/>
      <c r="AC1124" s="665"/>
      <c r="AD1124" s="665"/>
      <c r="AE1124" s="665"/>
      <c r="AF1124" s="649"/>
      <c r="AG1124" s="650"/>
      <c r="AH1124" s="650"/>
      <c r="AI1124" s="667"/>
    </row>
    <row r="1125" spans="12:35" ht="45" customHeight="1" thickBot="1" x14ac:dyDescent="0.25">
      <c r="L1125" s="645"/>
      <c r="M1125" s="616"/>
      <c r="N1125" s="616"/>
      <c r="O1125" s="616"/>
      <c r="P1125" s="615"/>
      <c r="Q1125" s="616"/>
      <c r="R1125" s="663"/>
      <c r="S1125" s="459"/>
      <c r="T1125" s="459"/>
      <c r="U1125" s="459"/>
      <c r="V1125" s="459"/>
      <c r="W1125" s="459"/>
      <c r="X1125" s="459"/>
      <c r="Y1125" s="666"/>
      <c r="Z1125" s="664"/>
      <c r="AA1125" s="665"/>
      <c r="AB1125" s="665"/>
      <c r="AC1125" s="665"/>
      <c r="AD1125" s="665"/>
      <c r="AE1125" s="665"/>
      <c r="AF1125" s="649"/>
      <c r="AG1125" s="650"/>
      <c r="AH1125" s="650"/>
      <c r="AI1125" s="667"/>
    </row>
    <row r="1126" spans="12:35" ht="45" customHeight="1" thickBot="1" x14ac:dyDescent="0.25">
      <c r="L1126" s="645"/>
      <c r="M1126" s="616"/>
      <c r="N1126" s="616"/>
      <c r="O1126" s="616"/>
      <c r="P1126" s="615"/>
      <c r="Q1126" s="616"/>
      <c r="R1126" s="663"/>
      <c r="S1126" s="459"/>
      <c r="T1126" s="459"/>
      <c r="U1126" s="459"/>
      <c r="V1126" s="459"/>
      <c r="W1126" s="459"/>
      <c r="X1126" s="459"/>
      <c r="Y1126" s="666"/>
      <c r="Z1126" s="664"/>
      <c r="AA1126" s="665"/>
      <c r="AB1126" s="665"/>
      <c r="AC1126" s="665"/>
      <c r="AD1126" s="665"/>
      <c r="AE1126" s="665"/>
      <c r="AF1126" s="649"/>
      <c r="AG1126" s="650"/>
      <c r="AH1126" s="650"/>
      <c r="AI1126" s="667"/>
    </row>
    <row r="1127" spans="12:35" ht="45" customHeight="1" thickBot="1" x14ac:dyDescent="0.25">
      <c r="L1127" s="645"/>
      <c r="M1127" s="616"/>
      <c r="N1127" s="616"/>
      <c r="O1127" s="616"/>
      <c r="P1127" s="615"/>
      <c r="Q1127" s="616"/>
      <c r="R1127" s="663"/>
      <c r="S1127" s="459"/>
      <c r="T1127" s="459"/>
      <c r="U1127" s="459"/>
      <c r="V1127" s="459"/>
      <c r="W1127" s="459"/>
      <c r="X1127" s="459"/>
      <c r="Y1127" s="666"/>
      <c r="Z1127" s="664"/>
      <c r="AA1127" s="665"/>
      <c r="AB1127" s="665"/>
      <c r="AC1127" s="665"/>
      <c r="AD1127" s="665"/>
      <c r="AE1127" s="665"/>
      <c r="AF1127" s="649"/>
      <c r="AG1127" s="650"/>
      <c r="AH1127" s="650"/>
      <c r="AI1127" s="667"/>
    </row>
    <row r="1128" spans="12:35" ht="45" customHeight="1" thickBot="1" x14ac:dyDescent="0.25">
      <c r="L1128" s="645"/>
      <c r="M1128" s="616"/>
      <c r="N1128" s="616"/>
      <c r="O1128" s="616"/>
      <c r="P1128" s="615"/>
      <c r="Q1128" s="616"/>
      <c r="R1128" s="663"/>
      <c r="S1128" s="459"/>
      <c r="T1128" s="459"/>
      <c r="U1128" s="459"/>
      <c r="V1128" s="459"/>
      <c r="W1128" s="459"/>
      <c r="X1128" s="459"/>
      <c r="Y1128" s="666"/>
      <c r="Z1128" s="664"/>
      <c r="AA1128" s="665"/>
      <c r="AB1128" s="665"/>
      <c r="AC1128" s="665"/>
      <c r="AD1128" s="665"/>
      <c r="AE1128" s="665"/>
      <c r="AF1128" s="649"/>
      <c r="AG1128" s="650"/>
      <c r="AH1128" s="650"/>
      <c r="AI1128" s="667"/>
    </row>
    <row r="1129" spans="12:35" ht="45" customHeight="1" thickBot="1" x14ac:dyDescent="0.25">
      <c r="L1129" s="645"/>
      <c r="M1129" s="616"/>
      <c r="N1129" s="616"/>
      <c r="O1129" s="616"/>
      <c r="P1129" s="615"/>
      <c r="Q1129" s="616"/>
      <c r="R1129" s="663"/>
      <c r="S1129" s="459"/>
      <c r="T1129" s="459"/>
      <c r="U1129" s="459"/>
      <c r="V1129" s="459"/>
      <c r="W1129" s="459"/>
      <c r="X1129" s="459"/>
      <c r="Y1129" s="666"/>
      <c r="Z1129" s="664"/>
      <c r="AA1129" s="665"/>
      <c r="AB1129" s="665"/>
      <c r="AC1129" s="665"/>
      <c r="AD1129" s="665"/>
      <c r="AE1129" s="665"/>
      <c r="AF1129" s="649"/>
      <c r="AG1129" s="650"/>
      <c r="AH1129" s="650"/>
      <c r="AI1129" s="667"/>
    </row>
    <row r="1130" spans="12:35" ht="45" customHeight="1" thickBot="1" x14ac:dyDescent="0.25">
      <c r="L1130" s="645"/>
      <c r="M1130" s="616"/>
      <c r="N1130" s="616"/>
      <c r="O1130" s="616"/>
      <c r="P1130" s="615"/>
      <c r="Q1130" s="616"/>
      <c r="R1130" s="663"/>
      <c r="S1130" s="459"/>
      <c r="T1130" s="459"/>
      <c r="U1130" s="459"/>
      <c r="V1130" s="459"/>
      <c r="W1130" s="459"/>
      <c r="X1130" s="459"/>
      <c r="Y1130" s="666"/>
      <c r="Z1130" s="664"/>
      <c r="AA1130" s="665"/>
      <c r="AB1130" s="665"/>
      <c r="AC1130" s="665"/>
      <c r="AD1130" s="665"/>
      <c r="AE1130" s="665"/>
      <c r="AF1130" s="649"/>
      <c r="AG1130" s="650"/>
      <c r="AH1130" s="650"/>
      <c r="AI1130" s="667"/>
    </row>
    <row r="1131" spans="12:35" ht="45" customHeight="1" thickBot="1" x14ac:dyDescent="0.25">
      <c r="L1131" s="645"/>
      <c r="M1131" s="616"/>
      <c r="N1131" s="616"/>
      <c r="O1131" s="616"/>
      <c r="P1131" s="615"/>
      <c r="Q1131" s="616"/>
      <c r="R1131" s="663"/>
      <c r="S1131" s="459"/>
      <c r="T1131" s="459"/>
      <c r="U1131" s="459"/>
      <c r="V1131" s="459"/>
      <c r="W1131" s="459"/>
      <c r="X1131" s="459"/>
      <c r="Y1131" s="666"/>
      <c r="Z1131" s="664"/>
      <c r="AA1131" s="665"/>
      <c r="AB1131" s="665"/>
      <c r="AC1131" s="665"/>
      <c r="AD1131" s="665"/>
      <c r="AE1131" s="665"/>
      <c r="AF1131" s="649"/>
      <c r="AG1131" s="650"/>
      <c r="AH1131" s="650"/>
      <c r="AI1131" s="667"/>
    </row>
    <row r="1132" spans="12:35" ht="45" customHeight="1" thickBot="1" x14ac:dyDescent="0.25">
      <c r="L1132" s="645"/>
      <c r="M1132" s="616"/>
      <c r="N1132" s="616"/>
      <c r="O1132" s="616"/>
      <c r="P1132" s="615"/>
      <c r="Q1132" s="616"/>
      <c r="R1132" s="663"/>
      <c r="S1132" s="459"/>
      <c r="T1132" s="459"/>
      <c r="U1132" s="459"/>
      <c r="V1132" s="459"/>
      <c r="W1132" s="459"/>
      <c r="X1132" s="459"/>
      <c r="Y1132" s="666"/>
      <c r="Z1132" s="664"/>
      <c r="AA1132" s="665"/>
      <c r="AB1132" s="665"/>
      <c r="AC1132" s="665"/>
      <c r="AD1132" s="665"/>
      <c r="AE1132" s="665"/>
      <c r="AF1132" s="649"/>
      <c r="AG1132" s="650"/>
      <c r="AH1132" s="650"/>
      <c r="AI1132" s="667"/>
    </row>
    <row r="1133" spans="12:35" ht="45" customHeight="1" thickBot="1" x14ac:dyDescent="0.25">
      <c r="L1133" s="645"/>
      <c r="M1133" s="616"/>
      <c r="N1133" s="616"/>
      <c r="O1133" s="616"/>
      <c r="P1133" s="615"/>
      <c r="Q1133" s="616"/>
      <c r="R1133" s="663"/>
      <c r="S1133" s="459"/>
      <c r="T1133" s="459"/>
      <c r="U1133" s="459"/>
      <c r="V1133" s="459"/>
      <c r="W1133" s="459"/>
      <c r="X1133" s="459"/>
      <c r="Y1133" s="666"/>
      <c r="Z1133" s="664"/>
      <c r="AA1133" s="665"/>
      <c r="AB1133" s="665"/>
      <c r="AC1133" s="665"/>
      <c r="AD1133" s="665"/>
      <c r="AE1133" s="665"/>
      <c r="AF1133" s="649"/>
      <c r="AG1133" s="650"/>
      <c r="AH1133" s="650"/>
      <c r="AI1133" s="667"/>
    </row>
    <row r="1134" spans="12:35" ht="45" customHeight="1" thickBot="1" x14ac:dyDescent="0.25">
      <c r="L1134" s="645"/>
      <c r="M1134" s="616"/>
      <c r="N1134" s="616"/>
      <c r="O1134" s="616"/>
      <c r="P1134" s="615"/>
      <c r="Q1134" s="616"/>
      <c r="R1134" s="663"/>
      <c r="S1134" s="459"/>
      <c r="T1134" s="459"/>
      <c r="U1134" s="459"/>
      <c r="V1134" s="459"/>
      <c r="W1134" s="459"/>
      <c r="X1134" s="459"/>
      <c r="Y1134" s="666"/>
      <c r="Z1134" s="664"/>
      <c r="AA1134" s="665"/>
      <c r="AB1134" s="665"/>
      <c r="AC1134" s="665"/>
      <c r="AD1134" s="665"/>
      <c r="AE1134" s="665"/>
      <c r="AF1134" s="649"/>
      <c r="AG1134" s="650"/>
      <c r="AH1134" s="650"/>
      <c r="AI1134" s="667"/>
    </row>
    <row r="1135" spans="12:35" ht="45" customHeight="1" thickBot="1" x14ac:dyDescent="0.25">
      <c r="L1135" s="645"/>
      <c r="M1135" s="616"/>
      <c r="N1135" s="616"/>
      <c r="O1135" s="616"/>
      <c r="P1135" s="615"/>
      <c r="Q1135" s="616"/>
      <c r="R1135" s="663"/>
      <c r="S1135" s="459"/>
      <c r="T1135" s="459"/>
      <c r="U1135" s="459"/>
      <c r="V1135" s="459"/>
      <c r="W1135" s="459"/>
      <c r="X1135" s="459"/>
      <c r="Y1135" s="666"/>
      <c r="Z1135" s="664"/>
      <c r="AA1135" s="665"/>
      <c r="AB1135" s="665"/>
      <c r="AC1135" s="665"/>
      <c r="AD1135" s="665"/>
      <c r="AE1135" s="665"/>
      <c r="AF1135" s="649"/>
      <c r="AG1135" s="650"/>
      <c r="AH1135" s="650"/>
      <c r="AI1135" s="667"/>
    </row>
    <row r="1136" spans="12:35" ht="45" customHeight="1" thickBot="1" x14ac:dyDescent="0.25">
      <c r="L1136" s="645"/>
      <c r="M1136" s="616"/>
      <c r="N1136" s="616"/>
      <c r="O1136" s="616"/>
      <c r="P1136" s="615"/>
      <c r="Q1136" s="616"/>
      <c r="R1136" s="663"/>
      <c r="S1136" s="459"/>
      <c r="T1136" s="459"/>
      <c r="U1136" s="459"/>
      <c r="V1136" s="459"/>
      <c r="W1136" s="459"/>
      <c r="X1136" s="459"/>
      <c r="Y1136" s="666"/>
      <c r="Z1136" s="664"/>
      <c r="AA1136" s="665"/>
      <c r="AB1136" s="665"/>
      <c r="AC1136" s="665"/>
      <c r="AD1136" s="665"/>
      <c r="AE1136" s="665"/>
      <c r="AF1136" s="649"/>
      <c r="AG1136" s="650"/>
      <c r="AH1136" s="650"/>
      <c r="AI1136" s="667"/>
    </row>
    <row r="1137" spans="12:35" ht="45" customHeight="1" thickBot="1" x14ac:dyDescent="0.25">
      <c r="L1137" s="645"/>
      <c r="M1137" s="616"/>
      <c r="N1137" s="616"/>
      <c r="O1137" s="616"/>
      <c r="P1137" s="615"/>
      <c r="Q1137" s="616"/>
      <c r="R1137" s="663"/>
      <c r="S1137" s="459"/>
      <c r="T1137" s="459"/>
      <c r="U1137" s="459"/>
      <c r="V1137" s="459"/>
      <c r="W1137" s="459"/>
      <c r="X1137" s="459"/>
      <c r="Y1137" s="666"/>
      <c r="Z1137" s="664"/>
      <c r="AA1137" s="665"/>
      <c r="AB1137" s="665"/>
      <c r="AC1137" s="665"/>
      <c r="AD1137" s="665"/>
      <c r="AE1137" s="665"/>
      <c r="AF1137" s="649"/>
      <c r="AG1137" s="650"/>
      <c r="AH1137" s="650"/>
      <c r="AI1137" s="667"/>
    </row>
    <row r="1138" spans="12:35" ht="45" customHeight="1" thickBot="1" x14ac:dyDescent="0.25">
      <c r="L1138" s="645"/>
      <c r="M1138" s="616"/>
      <c r="N1138" s="616"/>
      <c r="O1138" s="616"/>
      <c r="P1138" s="615"/>
      <c r="Q1138" s="616"/>
      <c r="R1138" s="663"/>
      <c r="S1138" s="459"/>
      <c r="T1138" s="459"/>
      <c r="U1138" s="459"/>
      <c r="V1138" s="459"/>
      <c r="W1138" s="459"/>
      <c r="X1138" s="459"/>
      <c r="Y1138" s="666"/>
      <c r="Z1138" s="664"/>
      <c r="AA1138" s="665"/>
      <c r="AB1138" s="665"/>
      <c r="AC1138" s="665"/>
      <c r="AD1138" s="665"/>
      <c r="AE1138" s="665"/>
      <c r="AF1138" s="649"/>
      <c r="AG1138" s="650"/>
      <c r="AH1138" s="650"/>
      <c r="AI1138" s="667"/>
    </row>
    <row r="1139" spans="12:35" ht="45" customHeight="1" thickBot="1" x14ac:dyDescent="0.25">
      <c r="L1139" s="645"/>
      <c r="M1139" s="616"/>
      <c r="N1139" s="616"/>
      <c r="O1139" s="616"/>
      <c r="P1139" s="615"/>
      <c r="Q1139" s="616"/>
      <c r="R1139" s="663"/>
      <c r="S1139" s="459"/>
      <c r="T1139" s="459"/>
      <c r="U1139" s="459"/>
      <c r="V1139" s="459"/>
      <c r="W1139" s="459"/>
      <c r="X1139" s="459"/>
      <c r="Y1139" s="666"/>
      <c r="Z1139" s="664"/>
      <c r="AA1139" s="665"/>
      <c r="AB1139" s="665"/>
      <c r="AC1139" s="665"/>
      <c r="AD1139" s="665"/>
      <c r="AE1139" s="665"/>
      <c r="AF1139" s="649"/>
      <c r="AG1139" s="650"/>
      <c r="AH1139" s="650"/>
      <c r="AI1139" s="667"/>
    </row>
    <row r="1140" spans="12:35" ht="45" customHeight="1" thickBot="1" x14ac:dyDescent="0.25">
      <c r="L1140" s="645"/>
      <c r="M1140" s="616"/>
      <c r="N1140" s="616"/>
      <c r="O1140" s="616"/>
      <c r="P1140" s="615"/>
      <c r="Q1140" s="616"/>
      <c r="R1140" s="663"/>
      <c r="S1140" s="459"/>
      <c r="T1140" s="459"/>
      <c r="U1140" s="459"/>
      <c r="V1140" s="459"/>
      <c r="W1140" s="459"/>
      <c r="X1140" s="459"/>
      <c r="Y1140" s="666"/>
      <c r="Z1140" s="664"/>
      <c r="AA1140" s="665"/>
      <c r="AB1140" s="665"/>
      <c r="AC1140" s="665"/>
      <c r="AD1140" s="665"/>
      <c r="AE1140" s="665"/>
      <c r="AF1140" s="649"/>
      <c r="AG1140" s="650"/>
      <c r="AH1140" s="650"/>
      <c r="AI1140" s="667"/>
    </row>
    <row r="1141" spans="12:35" ht="45" customHeight="1" thickBot="1" x14ac:dyDescent="0.25">
      <c r="L1141" s="645"/>
      <c r="M1141" s="616"/>
      <c r="N1141" s="616"/>
      <c r="O1141" s="616"/>
      <c r="P1141" s="615"/>
      <c r="Q1141" s="616"/>
      <c r="R1141" s="663"/>
      <c r="S1141" s="459"/>
      <c r="T1141" s="459"/>
      <c r="U1141" s="459"/>
      <c r="V1141" s="459"/>
      <c r="W1141" s="459"/>
      <c r="X1141" s="459"/>
      <c r="Y1141" s="666"/>
      <c r="Z1141" s="664"/>
      <c r="AA1141" s="665"/>
      <c r="AB1141" s="665"/>
      <c r="AC1141" s="665"/>
      <c r="AD1141" s="665"/>
      <c r="AE1141" s="665"/>
      <c r="AF1141" s="649"/>
      <c r="AG1141" s="650"/>
      <c r="AH1141" s="650"/>
      <c r="AI1141" s="667"/>
    </row>
    <row r="1142" spans="12:35" ht="45" customHeight="1" thickBot="1" x14ac:dyDescent="0.25">
      <c r="L1142" s="645"/>
      <c r="M1142" s="616"/>
      <c r="N1142" s="616"/>
      <c r="O1142" s="616"/>
      <c r="P1142" s="615"/>
      <c r="Q1142" s="616"/>
      <c r="R1142" s="663"/>
      <c r="S1142" s="459"/>
      <c r="T1142" s="459"/>
      <c r="U1142" s="459"/>
      <c r="V1142" s="459"/>
      <c r="W1142" s="459"/>
      <c r="X1142" s="459"/>
      <c r="Y1142" s="666"/>
      <c r="Z1142" s="664"/>
      <c r="AA1142" s="665"/>
      <c r="AB1142" s="665"/>
      <c r="AC1142" s="665"/>
      <c r="AD1142" s="665"/>
      <c r="AE1142" s="665"/>
      <c r="AF1142" s="649"/>
      <c r="AG1142" s="650"/>
      <c r="AH1142" s="650"/>
      <c r="AI1142" s="667"/>
    </row>
    <row r="1143" spans="12:35" ht="45" customHeight="1" thickBot="1" x14ac:dyDescent="0.25">
      <c r="L1143" s="645"/>
      <c r="M1143" s="616"/>
      <c r="N1143" s="616"/>
      <c r="O1143" s="616"/>
      <c r="P1143" s="615"/>
      <c r="Q1143" s="616"/>
      <c r="R1143" s="663"/>
      <c r="S1143" s="459"/>
      <c r="T1143" s="459"/>
      <c r="U1143" s="459"/>
      <c r="V1143" s="459"/>
      <c r="W1143" s="459"/>
      <c r="X1143" s="459"/>
      <c r="Y1143" s="666"/>
      <c r="Z1143" s="664"/>
      <c r="AA1143" s="665"/>
      <c r="AB1143" s="665"/>
      <c r="AC1143" s="665"/>
      <c r="AD1143" s="665"/>
      <c r="AE1143" s="665"/>
      <c r="AF1143" s="649"/>
      <c r="AG1143" s="650"/>
      <c r="AH1143" s="650"/>
      <c r="AI1143" s="667"/>
    </row>
    <row r="1144" spans="12:35" ht="45" customHeight="1" thickBot="1" x14ac:dyDescent="0.25">
      <c r="L1144" s="645"/>
      <c r="M1144" s="616"/>
      <c r="N1144" s="616"/>
      <c r="O1144" s="616"/>
      <c r="P1144" s="615"/>
      <c r="Q1144" s="616"/>
      <c r="R1144" s="663"/>
      <c r="S1144" s="459"/>
      <c r="T1144" s="459"/>
      <c r="U1144" s="459"/>
      <c r="V1144" s="459"/>
      <c r="W1144" s="459"/>
      <c r="X1144" s="459"/>
      <c r="Y1144" s="666"/>
      <c r="Z1144" s="664"/>
      <c r="AA1144" s="665"/>
      <c r="AB1144" s="665"/>
      <c r="AC1144" s="665"/>
      <c r="AD1144" s="665"/>
      <c r="AE1144" s="665"/>
      <c r="AF1144" s="649"/>
      <c r="AG1144" s="650"/>
      <c r="AH1144" s="650"/>
      <c r="AI1144" s="667"/>
    </row>
    <row r="1145" spans="12:35" ht="45" customHeight="1" thickBot="1" x14ac:dyDescent="0.25">
      <c r="L1145" s="645"/>
      <c r="M1145" s="616"/>
      <c r="N1145" s="616"/>
      <c r="O1145" s="616"/>
      <c r="P1145" s="615"/>
      <c r="Q1145" s="616"/>
      <c r="R1145" s="663"/>
      <c r="S1145" s="459"/>
      <c r="T1145" s="459"/>
      <c r="U1145" s="459"/>
      <c r="V1145" s="459"/>
      <c r="W1145" s="459"/>
      <c r="X1145" s="459"/>
      <c r="Y1145" s="666"/>
      <c r="Z1145" s="664"/>
      <c r="AA1145" s="665"/>
      <c r="AB1145" s="665"/>
      <c r="AC1145" s="665"/>
      <c r="AD1145" s="665"/>
      <c r="AE1145" s="665"/>
      <c r="AF1145" s="649"/>
      <c r="AG1145" s="650"/>
      <c r="AH1145" s="650"/>
      <c r="AI1145" s="667"/>
    </row>
    <row r="1146" spans="12:35" ht="45" customHeight="1" thickBot="1" x14ac:dyDescent="0.25">
      <c r="L1146" s="645"/>
      <c r="M1146" s="616"/>
      <c r="N1146" s="616"/>
      <c r="O1146" s="616"/>
      <c r="P1146" s="615"/>
      <c r="Q1146" s="616"/>
      <c r="R1146" s="663"/>
      <c r="S1146" s="459"/>
      <c r="T1146" s="459"/>
      <c r="U1146" s="459"/>
      <c r="V1146" s="459"/>
      <c r="W1146" s="459"/>
      <c r="X1146" s="459"/>
      <c r="Y1146" s="666"/>
      <c r="Z1146" s="664"/>
      <c r="AA1146" s="665"/>
      <c r="AB1146" s="665"/>
      <c r="AC1146" s="665"/>
      <c r="AD1146" s="665"/>
      <c r="AE1146" s="665"/>
      <c r="AF1146" s="649"/>
      <c r="AG1146" s="650"/>
      <c r="AH1146" s="650"/>
      <c r="AI1146" s="667"/>
    </row>
    <row r="1147" spans="12:35" ht="45" customHeight="1" thickBot="1" x14ac:dyDescent="0.25">
      <c r="L1147" s="645"/>
      <c r="M1147" s="616"/>
      <c r="N1147" s="616"/>
      <c r="O1147" s="616"/>
      <c r="P1147" s="615"/>
      <c r="Q1147" s="616"/>
      <c r="R1147" s="663"/>
      <c r="S1147" s="459"/>
      <c r="T1147" s="459"/>
      <c r="U1147" s="459"/>
      <c r="V1147" s="459"/>
      <c r="W1147" s="459"/>
      <c r="X1147" s="459"/>
      <c r="Y1147" s="666"/>
      <c r="Z1147" s="664"/>
      <c r="AA1147" s="665"/>
      <c r="AB1147" s="665"/>
      <c r="AC1147" s="665"/>
      <c r="AD1147" s="665"/>
      <c r="AE1147" s="665"/>
      <c r="AF1147" s="649"/>
      <c r="AG1147" s="650"/>
      <c r="AH1147" s="650"/>
      <c r="AI1147" s="667"/>
    </row>
    <row r="1148" spans="12:35" ht="45" customHeight="1" thickBot="1" x14ac:dyDescent="0.25">
      <c r="L1148" s="645"/>
      <c r="M1148" s="616"/>
      <c r="N1148" s="616"/>
      <c r="O1148" s="616"/>
      <c r="P1148" s="615"/>
      <c r="Q1148" s="616"/>
      <c r="R1148" s="663"/>
      <c r="S1148" s="459"/>
      <c r="T1148" s="459"/>
      <c r="U1148" s="459"/>
      <c r="V1148" s="459"/>
      <c r="W1148" s="459"/>
      <c r="X1148" s="459"/>
      <c r="Y1148" s="666"/>
      <c r="Z1148" s="664"/>
      <c r="AA1148" s="665"/>
      <c r="AB1148" s="665"/>
      <c r="AC1148" s="665"/>
      <c r="AD1148" s="665"/>
      <c r="AE1148" s="665"/>
      <c r="AF1148" s="649"/>
      <c r="AG1148" s="650"/>
      <c r="AH1148" s="650"/>
      <c r="AI1148" s="667"/>
    </row>
    <row r="1149" spans="12:35" ht="45" customHeight="1" thickBot="1" x14ac:dyDescent="0.25">
      <c r="L1149" s="645"/>
      <c r="M1149" s="616"/>
      <c r="N1149" s="616"/>
      <c r="O1149" s="616"/>
      <c r="P1149" s="615"/>
      <c r="Q1149" s="616"/>
      <c r="R1149" s="663"/>
      <c r="S1149" s="459"/>
      <c r="T1149" s="459"/>
      <c r="U1149" s="459"/>
      <c r="V1149" s="459"/>
      <c r="W1149" s="459"/>
      <c r="X1149" s="459"/>
      <c r="Y1149" s="666"/>
      <c r="Z1149" s="664"/>
      <c r="AA1149" s="665"/>
      <c r="AB1149" s="665"/>
      <c r="AC1149" s="665"/>
      <c r="AD1149" s="665"/>
      <c r="AE1149" s="665"/>
      <c r="AF1149" s="649"/>
      <c r="AG1149" s="650"/>
      <c r="AH1149" s="650"/>
      <c r="AI1149" s="667"/>
    </row>
    <row r="1150" spans="12:35" ht="45" customHeight="1" thickBot="1" x14ac:dyDescent="0.25">
      <c r="L1150" s="645"/>
      <c r="M1150" s="616"/>
      <c r="N1150" s="616"/>
      <c r="O1150" s="616"/>
      <c r="P1150" s="615"/>
      <c r="Q1150" s="616"/>
      <c r="R1150" s="663"/>
      <c r="S1150" s="459"/>
      <c r="T1150" s="459"/>
      <c r="U1150" s="459"/>
      <c r="V1150" s="459"/>
      <c r="W1150" s="459"/>
      <c r="X1150" s="459"/>
      <c r="Y1150" s="666"/>
      <c r="Z1150" s="664"/>
      <c r="AA1150" s="665"/>
      <c r="AB1150" s="665"/>
      <c r="AC1150" s="665"/>
      <c r="AD1150" s="665"/>
      <c r="AE1150" s="665"/>
      <c r="AF1150" s="649"/>
      <c r="AG1150" s="650"/>
      <c r="AH1150" s="650"/>
      <c r="AI1150" s="667"/>
    </row>
    <row r="1151" spans="12:35" ht="45" customHeight="1" thickBot="1" x14ac:dyDescent="0.25">
      <c r="L1151" s="645"/>
      <c r="M1151" s="616"/>
      <c r="N1151" s="616"/>
      <c r="O1151" s="616"/>
      <c r="P1151" s="615"/>
      <c r="Q1151" s="616"/>
      <c r="R1151" s="663"/>
      <c r="S1151" s="459"/>
      <c r="T1151" s="459"/>
      <c r="U1151" s="459"/>
      <c r="V1151" s="459"/>
      <c r="W1151" s="459"/>
      <c r="X1151" s="459"/>
      <c r="Y1151" s="666"/>
      <c r="Z1151" s="664"/>
      <c r="AA1151" s="665"/>
      <c r="AB1151" s="665"/>
      <c r="AC1151" s="665"/>
      <c r="AD1151" s="665"/>
      <c r="AE1151" s="665"/>
      <c r="AF1151" s="649"/>
      <c r="AG1151" s="650"/>
      <c r="AH1151" s="650"/>
      <c r="AI1151" s="667"/>
    </row>
    <row r="1152" spans="12:35" ht="45" customHeight="1" thickBot="1" x14ac:dyDescent="0.25">
      <c r="L1152" s="645"/>
      <c r="M1152" s="616"/>
      <c r="N1152" s="616"/>
      <c r="O1152" s="616"/>
      <c r="P1152" s="615"/>
      <c r="Q1152" s="616"/>
      <c r="R1152" s="663"/>
      <c r="S1152" s="459"/>
      <c r="T1152" s="459"/>
      <c r="U1152" s="459"/>
      <c r="V1152" s="459"/>
      <c r="W1152" s="459"/>
      <c r="X1152" s="459"/>
      <c r="Y1152" s="666"/>
      <c r="Z1152" s="664"/>
      <c r="AA1152" s="665"/>
      <c r="AB1152" s="665"/>
      <c r="AC1152" s="665"/>
      <c r="AD1152" s="665"/>
      <c r="AE1152" s="665"/>
      <c r="AF1152" s="649"/>
      <c r="AG1152" s="650"/>
      <c r="AH1152" s="650"/>
      <c r="AI1152" s="667"/>
    </row>
    <row r="1153" spans="12:35" ht="45" customHeight="1" thickBot="1" x14ac:dyDescent="0.25">
      <c r="L1153" s="645"/>
      <c r="M1153" s="616"/>
      <c r="N1153" s="616"/>
      <c r="O1153" s="616"/>
      <c r="P1153" s="615"/>
      <c r="Q1153" s="616"/>
      <c r="R1153" s="663"/>
      <c r="S1153" s="459"/>
      <c r="T1153" s="459"/>
      <c r="U1153" s="459"/>
      <c r="V1153" s="459"/>
      <c r="W1153" s="459"/>
      <c r="X1153" s="459"/>
      <c r="Y1153" s="666"/>
      <c r="Z1153" s="664"/>
      <c r="AA1153" s="665"/>
      <c r="AB1153" s="665"/>
      <c r="AC1153" s="665"/>
      <c r="AD1153" s="665"/>
      <c r="AE1153" s="665"/>
      <c r="AF1153" s="649"/>
      <c r="AG1153" s="650"/>
      <c r="AH1153" s="650"/>
      <c r="AI1153" s="667"/>
    </row>
    <row r="1154" spans="12:35" ht="45" customHeight="1" thickBot="1" x14ac:dyDescent="0.25">
      <c r="L1154" s="645"/>
      <c r="M1154" s="616"/>
      <c r="N1154" s="616"/>
      <c r="O1154" s="616"/>
      <c r="P1154" s="615"/>
      <c r="Q1154" s="616"/>
      <c r="R1154" s="663"/>
      <c r="S1154" s="459"/>
      <c r="T1154" s="459"/>
      <c r="U1154" s="459"/>
      <c r="V1154" s="459"/>
      <c r="W1154" s="459"/>
      <c r="X1154" s="459"/>
      <c r="Y1154" s="666"/>
      <c r="Z1154" s="664"/>
      <c r="AA1154" s="665"/>
      <c r="AB1154" s="665"/>
      <c r="AC1154" s="665"/>
      <c r="AD1154" s="665"/>
      <c r="AE1154" s="665"/>
      <c r="AF1154" s="649"/>
      <c r="AG1154" s="650"/>
      <c r="AH1154" s="650"/>
      <c r="AI1154" s="667"/>
    </row>
    <row r="1155" spans="12:35" ht="45" customHeight="1" thickBot="1" x14ac:dyDescent="0.25">
      <c r="L1155" s="645"/>
      <c r="M1155" s="616"/>
      <c r="N1155" s="616"/>
      <c r="O1155" s="616"/>
      <c r="P1155" s="615"/>
      <c r="Q1155" s="616"/>
      <c r="R1155" s="663"/>
      <c r="S1155" s="459"/>
      <c r="T1155" s="459"/>
      <c r="U1155" s="459"/>
      <c r="V1155" s="459"/>
      <c r="W1155" s="459"/>
      <c r="X1155" s="459"/>
      <c r="Y1155" s="666"/>
      <c r="Z1155" s="664"/>
      <c r="AA1155" s="665"/>
      <c r="AB1155" s="665"/>
      <c r="AC1155" s="665"/>
      <c r="AD1155" s="665"/>
      <c r="AE1155" s="665"/>
      <c r="AF1155" s="649"/>
      <c r="AG1155" s="650"/>
      <c r="AH1155" s="650"/>
      <c r="AI1155" s="667"/>
    </row>
    <row r="1156" spans="12:35" ht="45" customHeight="1" thickBot="1" x14ac:dyDescent="0.25">
      <c r="L1156" s="645"/>
      <c r="M1156" s="616"/>
      <c r="N1156" s="616"/>
      <c r="O1156" s="616"/>
      <c r="P1156" s="615"/>
      <c r="Q1156" s="616"/>
      <c r="R1156" s="663"/>
      <c r="S1156" s="459"/>
      <c r="T1156" s="459"/>
      <c r="U1156" s="459"/>
      <c r="V1156" s="459"/>
      <c r="W1156" s="459"/>
      <c r="X1156" s="459"/>
      <c r="Y1156" s="666"/>
      <c r="Z1156" s="664"/>
      <c r="AA1156" s="665"/>
      <c r="AB1156" s="665"/>
      <c r="AC1156" s="665"/>
      <c r="AD1156" s="665"/>
      <c r="AE1156" s="665"/>
      <c r="AF1156" s="649"/>
      <c r="AG1156" s="650"/>
      <c r="AH1156" s="650"/>
      <c r="AI1156" s="667"/>
    </row>
    <row r="1157" spans="12:35" ht="45" customHeight="1" thickBot="1" x14ac:dyDescent="0.25">
      <c r="L1157" s="645"/>
      <c r="M1157" s="616"/>
      <c r="N1157" s="616"/>
      <c r="O1157" s="616"/>
      <c r="P1157" s="615"/>
      <c r="Q1157" s="616"/>
      <c r="R1157" s="663"/>
      <c r="S1157" s="459"/>
      <c r="T1157" s="459"/>
      <c r="U1157" s="459"/>
      <c r="V1157" s="459"/>
      <c r="W1157" s="459"/>
      <c r="X1157" s="459"/>
      <c r="Y1157" s="666"/>
      <c r="Z1157" s="664"/>
      <c r="AA1157" s="665"/>
      <c r="AB1157" s="665"/>
      <c r="AC1157" s="665"/>
      <c r="AD1157" s="665"/>
      <c r="AE1157" s="665"/>
      <c r="AF1157" s="649"/>
      <c r="AG1157" s="650"/>
      <c r="AH1157" s="650"/>
      <c r="AI1157" s="667"/>
    </row>
    <row r="1158" spans="12:35" ht="45" customHeight="1" thickBot="1" x14ac:dyDescent="0.25">
      <c r="L1158" s="645"/>
      <c r="M1158" s="616"/>
      <c r="N1158" s="616"/>
      <c r="O1158" s="616"/>
      <c r="P1158" s="615"/>
      <c r="Q1158" s="616"/>
      <c r="R1158" s="663"/>
      <c r="S1158" s="459"/>
      <c r="T1158" s="459"/>
      <c r="U1158" s="459"/>
      <c r="V1158" s="459"/>
      <c r="W1158" s="459"/>
      <c r="X1158" s="459"/>
      <c r="Y1158" s="666"/>
      <c r="Z1158" s="664"/>
      <c r="AA1158" s="665"/>
      <c r="AB1158" s="665"/>
      <c r="AC1158" s="665"/>
      <c r="AD1158" s="665"/>
      <c r="AE1158" s="665"/>
      <c r="AF1158" s="649"/>
      <c r="AG1158" s="650"/>
      <c r="AH1158" s="650"/>
      <c r="AI1158" s="667"/>
    </row>
    <row r="1159" spans="12:35" ht="45" customHeight="1" thickBot="1" x14ac:dyDescent="0.25">
      <c r="L1159" s="645"/>
      <c r="M1159" s="616"/>
      <c r="N1159" s="616"/>
      <c r="O1159" s="616"/>
      <c r="P1159" s="615"/>
      <c r="Q1159" s="616"/>
      <c r="R1159" s="663"/>
      <c r="S1159" s="459"/>
      <c r="T1159" s="459"/>
      <c r="U1159" s="459"/>
      <c r="V1159" s="459"/>
      <c r="W1159" s="459"/>
      <c r="X1159" s="459"/>
      <c r="Y1159" s="666"/>
      <c r="Z1159" s="664"/>
      <c r="AA1159" s="665"/>
      <c r="AB1159" s="665"/>
      <c r="AC1159" s="665"/>
      <c r="AD1159" s="665"/>
      <c r="AE1159" s="665"/>
      <c r="AF1159" s="649"/>
      <c r="AG1159" s="650"/>
      <c r="AH1159" s="650"/>
      <c r="AI1159" s="667"/>
    </row>
    <row r="1160" spans="12:35" ht="45" customHeight="1" thickBot="1" x14ac:dyDescent="0.25">
      <c r="L1160" s="645"/>
      <c r="M1160" s="616"/>
      <c r="N1160" s="616"/>
      <c r="O1160" s="616"/>
      <c r="P1160" s="615"/>
      <c r="Q1160" s="616"/>
      <c r="R1160" s="663"/>
      <c r="S1160" s="459"/>
      <c r="T1160" s="459"/>
      <c r="U1160" s="459"/>
      <c r="V1160" s="459"/>
      <c r="W1160" s="459"/>
      <c r="X1160" s="459"/>
      <c r="Y1160" s="666"/>
      <c r="Z1160" s="664"/>
      <c r="AA1160" s="665"/>
      <c r="AB1160" s="665"/>
      <c r="AC1160" s="665"/>
      <c r="AD1160" s="665"/>
      <c r="AE1160" s="665"/>
      <c r="AF1160" s="649"/>
      <c r="AG1160" s="650"/>
      <c r="AH1160" s="650"/>
      <c r="AI1160" s="667"/>
    </row>
    <row r="1161" spans="12:35" ht="45" customHeight="1" thickBot="1" x14ac:dyDescent="0.25">
      <c r="L1161" s="645"/>
      <c r="M1161" s="616"/>
      <c r="N1161" s="616"/>
      <c r="O1161" s="616"/>
      <c r="P1161" s="615"/>
      <c r="Q1161" s="616"/>
      <c r="R1161" s="663"/>
      <c r="S1161" s="459"/>
      <c r="T1161" s="459"/>
      <c r="U1161" s="459"/>
      <c r="V1161" s="459"/>
      <c r="W1161" s="459"/>
      <c r="X1161" s="459"/>
      <c r="Y1161" s="666"/>
      <c r="Z1161" s="664"/>
      <c r="AA1161" s="665"/>
      <c r="AB1161" s="665"/>
      <c r="AC1161" s="665"/>
      <c r="AD1161" s="665"/>
      <c r="AE1161" s="665"/>
      <c r="AF1161" s="649"/>
      <c r="AG1161" s="650"/>
      <c r="AH1161" s="650"/>
      <c r="AI1161" s="667"/>
    </row>
    <row r="1162" spans="12:35" ht="45" customHeight="1" thickBot="1" x14ac:dyDescent="0.25">
      <c r="L1162" s="645"/>
      <c r="M1162" s="616"/>
      <c r="N1162" s="616"/>
      <c r="O1162" s="616"/>
      <c r="P1162" s="615"/>
      <c r="Q1162" s="616"/>
      <c r="R1162" s="663"/>
      <c r="S1162" s="459"/>
      <c r="T1162" s="459"/>
      <c r="U1162" s="459"/>
      <c r="V1162" s="459"/>
      <c r="W1162" s="459"/>
      <c r="X1162" s="459"/>
      <c r="Y1162" s="666"/>
      <c r="Z1162" s="664"/>
      <c r="AA1162" s="665"/>
      <c r="AB1162" s="665"/>
      <c r="AC1162" s="665"/>
      <c r="AD1162" s="665"/>
      <c r="AE1162" s="665"/>
      <c r="AF1162" s="649"/>
      <c r="AG1162" s="650"/>
      <c r="AH1162" s="650"/>
      <c r="AI1162" s="667"/>
    </row>
    <row r="1163" spans="12:35" ht="45" customHeight="1" thickBot="1" x14ac:dyDescent="0.25">
      <c r="L1163" s="645"/>
      <c r="M1163" s="616"/>
      <c r="N1163" s="616"/>
      <c r="O1163" s="616"/>
      <c r="P1163" s="615"/>
      <c r="Q1163" s="616"/>
      <c r="R1163" s="663"/>
      <c r="S1163" s="459"/>
      <c r="T1163" s="459"/>
      <c r="U1163" s="459"/>
      <c r="V1163" s="459"/>
      <c r="W1163" s="459"/>
      <c r="X1163" s="459"/>
      <c r="Y1163" s="666"/>
      <c r="Z1163" s="664"/>
      <c r="AA1163" s="665"/>
      <c r="AB1163" s="665"/>
      <c r="AC1163" s="665"/>
      <c r="AD1163" s="665"/>
      <c r="AE1163" s="665"/>
      <c r="AF1163" s="649"/>
      <c r="AG1163" s="650"/>
      <c r="AH1163" s="650"/>
      <c r="AI1163" s="667"/>
    </row>
    <row r="1164" spans="12:35" ht="45" customHeight="1" thickBot="1" x14ac:dyDescent="0.25">
      <c r="L1164" s="645"/>
      <c r="M1164" s="616"/>
      <c r="N1164" s="616"/>
      <c r="O1164" s="616"/>
      <c r="P1164" s="615"/>
      <c r="Q1164" s="616"/>
      <c r="R1164" s="663"/>
      <c r="S1164" s="459"/>
      <c r="T1164" s="459"/>
      <c r="U1164" s="459"/>
      <c r="V1164" s="459"/>
      <c r="W1164" s="459"/>
      <c r="X1164" s="459"/>
      <c r="Y1164" s="666"/>
      <c r="Z1164" s="664"/>
      <c r="AA1164" s="665"/>
      <c r="AB1164" s="665"/>
      <c r="AC1164" s="665"/>
      <c r="AD1164" s="665"/>
      <c r="AE1164" s="665"/>
      <c r="AF1164" s="649"/>
      <c r="AG1164" s="650"/>
      <c r="AH1164" s="650"/>
      <c r="AI1164" s="667"/>
    </row>
    <row r="1165" spans="12:35" ht="45" customHeight="1" thickBot="1" x14ac:dyDescent="0.25">
      <c r="L1165" s="645"/>
      <c r="M1165" s="616"/>
      <c r="N1165" s="616"/>
      <c r="O1165" s="616"/>
      <c r="P1165" s="615"/>
      <c r="Q1165" s="616"/>
      <c r="R1165" s="663"/>
      <c r="S1165" s="459"/>
      <c r="T1165" s="459"/>
      <c r="U1165" s="459"/>
      <c r="V1165" s="459"/>
      <c r="W1165" s="459"/>
      <c r="X1165" s="459"/>
      <c r="Y1165" s="666"/>
      <c r="Z1165" s="664"/>
      <c r="AA1165" s="665"/>
      <c r="AB1165" s="665"/>
      <c r="AC1165" s="665"/>
      <c r="AD1165" s="665"/>
      <c r="AE1165" s="665"/>
      <c r="AF1165" s="649"/>
      <c r="AG1165" s="650"/>
      <c r="AH1165" s="650"/>
      <c r="AI1165" s="667"/>
    </row>
    <row r="1166" spans="12:35" ht="45" customHeight="1" thickBot="1" x14ac:dyDescent="0.25">
      <c r="L1166" s="645"/>
      <c r="M1166" s="616"/>
      <c r="N1166" s="616"/>
      <c r="O1166" s="616"/>
      <c r="P1166" s="615"/>
      <c r="Q1166" s="616"/>
      <c r="R1166" s="663"/>
      <c r="S1166" s="459"/>
      <c r="T1166" s="459"/>
      <c r="U1166" s="459"/>
      <c r="V1166" s="459"/>
      <c r="W1166" s="459"/>
      <c r="X1166" s="459"/>
      <c r="Y1166" s="666"/>
      <c r="Z1166" s="664"/>
      <c r="AA1166" s="665"/>
      <c r="AB1166" s="665"/>
      <c r="AC1166" s="665"/>
      <c r="AD1166" s="665"/>
      <c r="AE1166" s="665"/>
      <c r="AF1166" s="649"/>
      <c r="AG1166" s="650"/>
      <c r="AH1166" s="650"/>
      <c r="AI1166" s="667"/>
    </row>
    <row r="1167" spans="12:35" ht="45" customHeight="1" thickBot="1" x14ac:dyDescent="0.25">
      <c r="L1167" s="645"/>
      <c r="M1167" s="616"/>
      <c r="N1167" s="616"/>
      <c r="O1167" s="616"/>
      <c r="P1167" s="615"/>
      <c r="Q1167" s="616"/>
      <c r="R1167" s="663"/>
      <c r="S1167" s="459"/>
      <c r="T1167" s="459"/>
      <c r="U1167" s="459"/>
      <c r="V1167" s="459"/>
      <c r="W1167" s="459"/>
      <c r="X1167" s="459"/>
      <c r="Y1167" s="666"/>
      <c r="Z1167" s="664"/>
      <c r="AA1167" s="665"/>
      <c r="AB1167" s="665"/>
      <c r="AC1167" s="665"/>
      <c r="AD1167" s="665"/>
      <c r="AE1167" s="665"/>
      <c r="AF1167" s="649"/>
      <c r="AG1167" s="650"/>
      <c r="AH1167" s="650"/>
      <c r="AI1167" s="667"/>
    </row>
    <row r="1168" spans="12:35" ht="45" customHeight="1" thickBot="1" x14ac:dyDescent="0.25">
      <c r="L1168" s="645"/>
      <c r="M1168" s="616"/>
      <c r="N1168" s="616"/>
      <c r="O1168" s="616"/>
      <c r="P1168" s="615"/>
      <c r="Q1168" s="616"/>
      <c r="R1168" s="663"/>
      <c r="S1168" s="459"/>
      <c r="T1168" s="459"/>
      <c r="U1168" s="459"/>
      <c r="V1168" s="459"/>
      <c r="W1168" s="459"/>
      <c r="X1168" s="459"/>
      <c r="Y1168" s="666"/>
      <c r="Z1168" s="664"/>
      <c r="AA1168" s="665"/>
      <c r="AB1168" s="665"/>
      <c r="AC1168" s="665"/>
      <c r="AD1168" s="665"/>
      <c r="AE1168" s="665"/>
      <c r="AF1168" s="649"/>
      <c r="AG1168" s="650"/>
      <c r="AH1168" s="650"/>
      <c r="AI1168" s="667"/>
    </row>
    <row r="1169" spans="12:35" ht="45" customHeight="1" thickBot="1" x14ac:dyDescent="0.25">
      <c r="L1169" s="645"/>
      <c r="M1169" s="616"/>
      <c r="N1169" s="616"/>
      <c r="O1169" s="616"/>
      <c r="P1169" s="615"/>
      <c r="Q1169" s="616"/>
      <c r="R1169" s="663"/>
      <c r="S1169" s="459"/>
      <c r="T1169" s="459"/>
      <c r="U1169" s="459"/>
      <c r="V1169" s="459"/>
      <c r="W1169" s="459"/>
      <c r="X1169" s="459"/>
      <c r="Y1169" s="666"/>
      <c r="Z1169" s="664"/>
      <c r="AA1169" s="665"/>
      <c r="AB1169" s="665"/>
      <c r="AC1169" s="665"/>
      <c r="AD1169" s="665"/>
      <c r="AE1169" s="665"/>
      <c r="AF1169" s="649"/>
      <c r="AG1169" s="650"/>
      <c r="AH1169" s="650"/>
      <c r="AI1169" s="667"/>
    </row>
    <row r="1170" spans="12:35" ht="45" customHeight="1" thickBot="1" x14ac:dyDescent="0.25">
      <c r="L1170" s="645"/>
      <c r="M1170" s="616"/>
      <c r="N1170" s="616"/>
      <c r="O1170" s="616"/>
      <c r="P1170" s="615"/>
      <c r="Q1170" s="616"/>
      <c r="R1170" s="663"/>
      <c r="S1170" s="459"/>
      <c r="T1170" s="459"/>
      <c r="U1170" s="459"/>
      <c r="V1170" s="459"/>
      <c r="W1170" s="459"/>
      <c r="X1170" s="459"/>
      <c r="Y1170" s="666"/>
      <c r="Z1170" s="664"/>
      <c r="AA1170" s="665"/>
      <c r="AB1170" s="665"/>
      <c r="AC1170" s="665"/>
      <c r="AD1170" s="665"/>
      <c r="AE1170" s="665"/>
      <c r="AF1170" s="649"/>
      <c r="AG1170" s="650"/>
      <c r="AH1170" s="650"/>
      <c r="AI1170" s="667"/>
    </row>
    <row r="1171" spans="12:35" ht="45" customHeight="1" thickBot="1" x14ac:dyDescent="0.25">
      <c r="L1171" s="645"/>
      <c r="M1171" s="616"/>
      <c r="N1171" s="616"/>
      <c r="O1171" s="616"/>
      <c r="P1171" s="615"/>
      <c r="Q1171" s="616"/>
      <c r="R1171" s="663"/>
      <c r="S1171" s="459"/>
      <c r="T1171" s="459"/>
      <c r="U1171" s="459"/>
      <c r="V1171" s="459"/>
      <c r="W1171" s="459"/>
      <c r="X1171" s="459"/>
      <c r="Y1171" s="666"/>
      <c r="Z1171" s="664"/>
      <c r="AA1171" s="665"/>
      <c r="AB1171" s="665"/>
      <c r="AC1171" s="665"/>
      <c r="AD1171" s="665"/>
      <c r="AE1171" s="665"/>
      <c r="AF1171" s="649"/>
      <c r="AG1171" s="650"/>
      <c r="AH1171" s="650"/>
      <c r="AI1171" s="667"/>
    </row>
    <row r="1172" spans="12:35" ht="45" customHeight="1" thickBot="1" x14ac:dyDescent="0.25">
      <c r="L1172" s="645"/>
      <c r="M1172" s="616"/>
      <c r="N1172" s="616"/>
      <c r="O1172" s="616"/>
      <c r="P1172" s="615"/>
      <c r="Q1172" s="616"/>
      <c r="R1172" s="663"/>
      <c r="S1172" s="459"/>
      <c r="T1172" s="459"/>
      <c r="U1172" s="459"/>
      <c r="V1172" s="459"/>
      <c r="W1172" s="459"/>
      <c r="X1172" s="459"/>
      <c r="Y1172" s="666"/>
      <c r="Z1172" s="664"/>
      <c r="AA1172" s="665"/>
      <c r="AB1172" s="665"/>
      <c r="AC1172" s="665"/>
      <c r="AD1172" s="665"/>
      <c r="AE1172" s="665"/>
      <c r="AF1172" s="649"/>
      <c r="AG1172" s="650"/>
      <c r="AH1172" s="650"/>
      <c r="AI1172" s="667"/>
    </row>
    <row r="1173" spans="12:35" ht="45" customHeight="1" thickBot="1" x14ac:dyDescent="0.25">
      <c r="L1173" s="645"/>
      <c r="M1173" s="616"/>
      <c r="N1173" s="616"/>
      <c r="O1173" s="616"/>
      <c r="P1173" s="615"/>
      <c r="Q1173" s="616"/>
      <c r="R1173" s="663"/>
      <c r="S1173" s="459"/>
      <c r="T1173" s="459"/>
      <c r="U1173" s="459"/>
      <c r="V1173" s="459"/>
      <c r="W1173" s="459"/>
      <c r="X1173" s="459"/>
      <c r="Y1173" s="666"/>
      <c r="Z1173" s="664"/>
      <c r="AA1173" s="665"/>
      <c r="AB1173" s="665"/>
      <c r="AC1173" s="665"/>
      <c r="AD1173" s="665"/>
      <c r="AE1173" s="665"/>
      <c r="AF1173" s="649"/>
      <c r="AG1173" s="650"/>
      <c r="AH1173" s="650"/>
      <c r="AI1173" s="667"/>
    </row>
    <row r="1174" spans="12:35" ht="45" customHeight="1" thickBot="1" x14ac:dyDescent="0.25">
      <c r="L1174" s="645"/>
      <c r="M1174" s="616"/>
      <c r="N1174" s="616"/>
      <c r="O1174" s="616"/>
      <c r="P1174" s="615"/>
      <c r="Q1174" s="616"/>
      <c r="R1174" s="663"/>
      <c r="S1174" s="459"/>
      <c r="T1174" s="459"/>
      <c r="U1174" s="459"/>
      <c r="V1174" s="459"/>
      <c r="W1174" s="459"/>
      <c r="X1174" s="459"/>
      <c r="Y1174" s="666"/>
      <c r="Z1174" s="664"/>
      <c r="AA1174" s="665"/>
      <c r="AB1174" s="665"/>
      <c r="AC1174" s="665"/>
      <c r="AD1174" s="665"/>
      <c r="AE1174" s="665"/>
      <c r="AF1174" s="649"/>
      <c r="AG1174" s="650"/>
      <c r="AH1174" s="650"/>
      <c r="AI1174" s="667"/>
    </row>
    <row r="1175" spans="12:35" ht="45" customHeight="1" thickBot="1" x14ac:dyDescent="0.25">
      <c r="L1175" s="645"/>
      <c r="M1175" s="616"/>
      <c r="N1175" s="616"/>
      <c r="O1175" s="616"/>
      <c r="P1175" s="615"/>
      <c r="Q1175" s="616"/>
      <c r="R1175" s="663"/>
      <c r="S1175" s="459"/>
      <c r="T1175" s="459"/>
      <c r="U1175" s="459"/>
      <c r="V1175" s="459"/>
      <c r="W1175" s="459"/>
      <c r="X1175" s="459"/>
      <c r="Y1175" s="666"/>
      <c r="Z1175" s="664"/>
      <c r="AA1175" s="665"/>
      <c r="AB1175" s="665"/>
      <c r="AC1175" s="665"/>
      <c r="AD1175" s="665"/>
      <c r="AE1175" s="665"/>
      <c r="AF1175" s="649"/>
      <c r="AG1175" s="650"/>
      <c r="AH1175" s="650"/>
      <c r="AI1175" s="667"/>
    </row>
    <row r="1176" spans="12:35" ht="45" customHeight="1" thickBot="1" x14ac:dyDescent="0.25">
      <c r="L1176" s="645"/>
      <c r="M1176" s="616"/>
      <c r="N1176" s="616"/>
      <c r="O1176" s="616"/>
      <c r="P1176" s="615"/>
      <c r="Q1176" s="616"/>
      <c r="R1176" s="663"/>
      <c r="S1176" s="459"/>
      <c r="T1176" s="459"/>
      <c r="U1176" s="459"/>
      <c r="V1176" s="459"/>
      <c r="W1176" s="459"/>
      <c r="X1176" s="459"/>
      <c r="Y1176" s="666"/>
      <c r="Z1176" s="664"/>
      <c r="AA1176" s="665"/>
      <c r="AB1176" s="665"/>
      <c r="AC1176" s="665"/>
      <c r="AD1176" s="665"/>
      <c r="AE1176" s="665"/>
      <c r="AF1176" s="649"/>
      <c r="AG1176" s="650"/>
      <c r="AH1176" s="650"/>
      <c r="AI1176" s="667"/>
    </row>
    <row r="1177" spans="12:35" ht="45" customHeight="1" thickBot="1" x14ac:dyDescent="0.25">
      <c r="L1177" s="645"/>
      <c r="M1177" s="616"/>
      <c r="N1177" s="616"/>
      <c r="O1177" s="616"/>
      <c r="P1177" s="615"/>
      <c r="Q1177" s="616"/>
      <c r="R1177" s="663"/>
      <c r="S1177" s="459"/>
      <c r="T1177" s="459"/>
      <c r="U1177" s="459"/>
      <c r="V1177" s="459"/>
      <c r="W1177" s="459"/>
      <c r="X1177" s="459"/>
      <c r="Y1177" s="666"/>
      <c r="Z1177" s="664"/>
      <c r="AA1177" s="665"/>
      <c r="AB1177" s="665"/>
      <c r="AC1177" s="665"/>
      <c r="AD1177" s="665"/>
      <c r="AE1177" s="665"/>
      <c r="AF1177" s="649"/>
      <c r="AG1177" s="650"/>
      <c r="AH1177" s="650"/>
      <c r="AI1177" s="667"/>
    </row>
    <row r="1178" spans="12:35" ht="45" customHeight="1" thickBot="1" x14ac:dyDescent="0.25">
      <c r="L1178" s="645"/>
      <c r="M1178" s="616"/>
      <c r="N1178" s="616"/>
      <c r="O1178" s="616"/>
      <c r="P1178" s="615"/>
      <c r="Q1178" s="616"/>
      <c r="R1178" s="663"/>
      <c r="S1178" s="459"/>
      <c r="T1178" s="459"/>
      <c r="U1178" s="459"/>
      <c r="V1178" s="459"/>
      <c r="W1178" s="459"/>
      <c r="X1178" s="459"/>
      <c r="Y1178" s="666"/>
      <c r="Z1178" s="664"/>
      <c r="AA1178" s="665"/>
      <c r="AB1178" s="665"/>
      <c r="AC1178" s="665"/>
      <c r="AD1178" s="665"/>
      <c r="AE1178" s="665"/>
      <c r="AF1178" s="649"/>
      <c r="AG1178" s="650"/>
      <c r="AH1178" s="650"/>
      <c r="AI1178" s="667"/>
    </row>
    <row r="1179" spans="12:35" ht="45" customHeight="1" thickBot="1" x14ac:dyDescent="0.25">
      <c r="L1179" s="645"/>
      <c r="M1179" s="616"/>
      <c r="N1179" s="616"/>
      <c r="O1179" s="616"/>
      <c r="P1179" s="615"/>
      <c r="Q1179" s="616"/>
      <c r="R1179" s="663"/>
      <c r="S1179" s="459"/>
      <c r="T1179" s="459"/>
      <c r="U1179" s="459"/>
      <c r="V1179" s="459"/>
      <c r="W1179" s="459"/>
      <c r="X1179" s="459"/>
      <c r="Y1179" s="666"/>
      <c r="Z1179" s="664"/>
      <c r="AA1179" s="665"/>
      <c r="AB1179" s="665"/>
      <c r="AC1179" s="665"/>
      <c r="AD1179" s="665"/>
      <c r="AE1179" s="665"/>
      <c r="AF1179" s="649"/>
      <c r="AG1179" s="650"/>
      <c r="AH1179" s="650"/>
      <c r="AI1179" s="667"/>
    </row>
    <row r="1180" spans="12:35" ht="45" customHeight="1" thickBot="1" x14ac:dyDescent="0.25">
      <c r="L1180" s="645"/>
      <c r="M1180" s="616"/>
      <c r="N1180" s="616"/>
      <c r="O1180" s="616"/>
      <c r="P1180" s="615"/>
      <c r="Q1180" s="616"/>
      <c r="R1180" s="663"/>
      <c r="S1180" s="459"/>
      <c r="T1180" s="459"/>
      <c r="U1180" s="459"/>
      <c r="V1180" s="459"/>
      <c r="W1180" s="459"/>
      <c r="X1180" s="459"/>
      <c r="Y1180" s="666"/>
      <c r="Z1180" s="664"/>
      <c r="AA1180" s="665"/>
      <c r="AB1180" s="665"/>
      <c r="AC1180" s="665"/>
      <c r="AD1180" s="665"/>
      <c r="AE1180" s="665"/>
      <c r="AF1180" s="649"/>
      <c r="AG1180" s="650"/>
      <c r="AH1180" s="650"/>
      <c r="AI1180" s="667"/>
    </row>
    <row r="1181" spans="12:35" ht="45" customHeight="1" thickBot="1" x14ac:dyDescent="0.25">
      <c r="L1181" s="645"/>
      <c r="M1181" s="616"/>
      <c r="N1181" s="616"/>
      <c r="O1181" s="616"/>
      <c r="P1181" s="615"/>
      <c r="Q1181" s="616"/>
      <c r="R1181" s="663"/>
      <c r="S1181" s="459"/>
      <c r="T1181" s="459"/>
      <c r="U1181" s="459"/>
      <c r="V1181" s="459"/>
      <c r="W1181" s="459"/>
      <c r="X1181" s="459"/>
      <c r="Y1181" s="666"/>
      <c r="Z1181" s="664"/>
      <c r="AA1181" s="665"/>
      <c r="AB1181" s="665"/>
      <c r="AC1181" s="665"/>
      <c r="AD1181" s="665"/>
      <c r="AE1181" s="665"/>
      <c r="AF1181" s="649"/>
      <c r="AG1181" s="650"/>
      <c r="AH1181" s="650"/>
      <c r="AI1181" s="667"/>
    </row>
    <row r="1182" spans="12:35" ht="45" customHeight="1" thickBot="1" x14ac:dyDescent="0.25">
      <c r="L1182" s="645"/>
      <c r="M1182" s="616"/>
      <c r="N1182" s="616"/>
      <c r="O1182" s="616"/>
      <c r="P1182" s="615"/>
      <c r="Q1182" s="616"/>
      <c r="R1182" s="663"/>
      <c r="S1182" s="459"/>
      <c r="T1182" s="459"/>
      <c r="U1182" s="459"/>
      <c r="V1182" s="459"/>
      <c r="W1182" s="459"/>
      <c r="X1182" s="459"/>
      <c r="Y1182" s="666"/>
      <c r="Z1182" s="664"/>
      <c r="AA1182" s="665"/>
      <c r="AB1182" s="665"/>
      <c r="AC1182" s="665"/>
      <c r="AD1182" s="665"/>
      <c r="AE1182" s="665"/>
      <c r="AF1182" s="649"/>
      <c r="AG1182" s="650"/>
      <c r="AH1182" s="650"/>
      <c r="AI1182" s="667"/>
    </row>
    <row r="1183" spans="12:35" ht="45" customHeight="1" thickBot="1" x14ac:dyDescent="0.25">
      <c r="L1183" s="645"/>
      <c r="M1183" s="616"/>
      <c r="N1183" s="616"/>
      <c r="O1183" s="616"/>
      <c r="P1183" s="615"/>
      <c r="Q1183" s="616"/>
      <c r="R1183" s="663"/>
      <c r="S1183" s="459"/>
      <c r="T1183" s="459"/>
      <c r="U1183" s="459"/>
      <c r="V1183" s="459"/>
      <c r="W1183" s="459"/>
      <c r="X1183" s="459"/>
      <c r="Y1183" s="666"/>
      <c r="Z1183" s="664"/>
      <c r="AA1183" s="665"/>
      <c r="AB1183" s="665"/>
      <c r="AC1183" s="665"/>
      <c r="AD1183" s="665"/>
      <c r="AE1183" s="665"/>
      <c r="AF1183" s="649"/>
      <c r="AG1183" s="650"/>
      <c r="AH1183" s="650"/>
      <c r="AI1183" s="667"/>
    </row>
    <row r="1184" spans="12:35" ht="45" customHeight="1" thickBot="1" x14ac:dyDescent="0.25">
      <c r="L1184" s="645"/>
      <c r="M1184" s="616"/>
      <c r="N1184" s="616"/>
      <c r="O1184" s="616"/>
      <c r="P1184" s="615"/>
      <c r="Q1184" s="616"/>
      <c r="R1184" s="663"/>
      <c r="S1184" s="459"/>
      <c r="T1184" s="459"/>
      <c r="U1184" s="459"/>
      <c r="V1184" s="459"/>
      <c r="W1184" s="459"/>
      <c r="X1184" s="459"/>
      <c r="Y1184" s="666"/>
      <c r="Z1184" s="664"/>
      <c r="AA1184" s="665"/>
      <c r="AB1184" s="665"/>
      <c r="AC1184" s="665"/>
      <c r="AD1184" s="665"/>
      <c r="AE1184" s="665"/>
      <c r="AF1184" s="649"/>
      <c r="AG1184" s="650"/>
      <c r="AH1184" s="650"/>
      <c r="AI1184" s="667"/>
    </row>
    <row r="1185" spans="12:35" ht="45" customHeight="1" thickBot="1" x14ac:dyDescent="0.25">
      <c r="L1185" s="645"/>
      <c r="M1185" s="616"/>
      <c r="N1185" s="616"/>
      <c r="O1185" s="616"/>
      <c r="P1185" s="615"/>
      <c r="Q1185" s="616"/>
      <c r="R1185" s="663"/>
      <c r="S1185" s="459"/>
      <c r="T1185" s="459"/>
      <c r="U1185" s="459"/>
      <c r="V1185" s="459"/>
      <c r="W1185" s="459"/>
      <c r="X1185" s="459"/>
      <c r="Y1185" s="666"/>
      <c r="Z1185" s="664"/>
      <c r="AA1185" s="665"/>
      <c r="AB1185" s="665"/>
      <c r="AC1185" s="665"/>
      <c r="AD1185" s="665"/>
      <c r="AE1185" s="665"/>
      <c r="AF1185" s="649"/>
      <c r="AG1185" s="650"/>
      <c r="AH1185" s="650"/>
      <c r="AI1185" s="667"/>
    </row>
    <row r="1186" spans="12:35" ht="45" customHeight="1" thickBot="1" x14ac:dyDescent="0.25">
      <c r="L1186" s="645"/>
      <c r="M1186" s="616"/>
      <c r="N1186" s="616"/>
      <c r="O1186" s="616"/>
      <c r="P1186" s="615"/>
      <c r="Q1186" s="616"/>
      <c r="R1186" s="663"/>
      <c r="S1186" s="459"/>
      <c r="T1186" s="459"/>
      <c r="U1186" s="459"/>
      <c r="V1186" s="459"/>
      <c r="W1186" s="459"/>
      <c r="X1186" s="459"/>
      <c r="Y1186" s="666"/>
      <c r="Z1186" s="664"/>
      <c r="AA1186" s="665"/>
      <c r="AB1186" s="665"/>
      <c r="AC1186" s="665"/>
      <c r="AD1186" s="665"/>
      <c r="AE1186" s="665"/>
      <c r="AF1186" s="649"/>
      <c r="AG1186" s="650"/>
      <c r="AH1186" s="650"/>
      <c r="AI1186" s="667"/>
    </row>
    <row r="1187" spans="12:35" ht="45" customHeight="1" thickBot="1" x14ac:dyDescent="0.25">
      <c r="L1187" s="645"/>
      <c r="M1187" s="616"/>
      <c r="N1187" s="616"/>
      <c r="O1187" s="616"/>
      <c r="P1187" s="615"/>
      <c r="Q1187" s="616"/>
      <c r="R1187" s="663"/>
      <c r="S1187" s="459"/>
      <c r="T1187" s="459"/>
      <c r="U1187" s="459"/>
      <c r="V1187" s="459"/>
      <c r="W1187" s="459"/>
      <c r="X1187" s="459"/>
      <c r="Y1187" s="666"/>
      <c r="Z1187" s="664"/>
      <c r="AA1187" s="665"/>
      <c r="AB1187" s="665"/>
      <c r="AC1187" s="665"/>
      <c r="AD1187" s="665"/>
      <c r="AE1187" s="665"/>
      <c r="AF1187" s="649"/>
      <c r="AG1187" s="650"/>
      <c r="AH1187" s="650"/>
      <c r="AI1187" s="667"/>
    </row>
    <row r="1188" spans="12:35" ht="45" customHeight="1" thickBot="1" x14ac:dyDescent="0.25">
      <c r="L1188" s="645"/>
      <c r="M1188" s="616"/>
      <c r="N1188" s="616"/>
      <c r="O1188" s="616"/>
      <c r="P1188" s="615"/>
      <c r="Q1188" s="616"/>
      <c r="R1188" s="663"/>
      <c r="S1188" s="459"/>
      <c r="T1188" s="459"/>
      <c r="U1188" s="459"/>
      <c r="V1188" s="459"/>
      <c r="W1188" s="459"/>
      <c r="X1188" s="459"/>
      <c r="Y1188" s="666"/>
      <c r="Z1188" s="664"/>
      <c r="AA1188" s="665"/>
      <c r="AB1188" s="665"/>
      <c r="AC1188" s="665"/>
      <c r="AD1188" s="665"/>
      <c r="AE1188" s="665"/>
      <c r="AF1188" s="649"/>
      <c r="AG1188" s="650"/>
      <c r="AH1188" s="650"/>
      <c r="AI1188" s="667"/>
    </row>
    <row r="1189" spans="12:35" ht="45" customHeight="1" thickBot="1" x14ac:dyDescent="0.25">
      <c r="L1189" s="645"/>
      <c r="M1189" s="616"/>
      <c r="N1189" s="616"/>
      <c r="O1189" s="616"/>
      <c r="P1189" s="615"/>
      <c r="Q1189" s="616"/>
      <c r="R1189" s="663"/>
      <c r="S1189" s="459"/>
      <c r="T1189" s="459"/>
      <c r="U1189" s="459"/>
      <c r="V1189" s="459"/>
      <c r="W1189" s="459"/>
      <c r="X1189" s="459"/>
      <c r="Y1189" s="666"/>
      <c r="Z1189" s="664"/>
      <c r="AA1189" s="665"/>
      <c r="AB1189" s="665"/>
      <c r="AC1189" s="665"/>
      <c r="AD1189" s="665"/>
      <c r="AE1189" s="665"/>
      <c r="AF1189" s="649"/>
      <c r="AG1189" s="650"/>
      <c r="AH1189" s="650"/>
      <c r="AI1189" s="667"/>
    </row>
    <row r="1190" spans="12:35" ht="45" customHeight="1" thickBot="1" x14ac:dyDescent="0.25">
      <c r="L1190" s="645"/>
      <c r="M1190" s="616"/>
      <c r="N1190" s="616"/>
      <c r="O1190" s="616"/>
      <c r="P1190" s="615"/>
      <c r="Q1190" s="616"/>
      <c r="R1190" s="663"/>
      <c r="S1190" s="459"/>
      <c r="T1190" s="459"/>
      <c r="U1190" s="459"/>
      <c r="V1190" s="459"/>
      <c r="W1190" s="459"/>
      <c r="X1190" s="459"/>
      <c r="Y1190" s="666"/>
      <c r="Z1190" s="664"/>
      <c r="AA1190" s="665"/>
      <c r="AB1190" s="665"/>
      <c r="AC1190" s="665"/>
      <c r="AD1190" s="665"/>
      <c r="AE1190" s="665"/>
      <c r="AF1190" s="649"/>
      <c r="AG1190" s="650"/>
      <c r="AH1190" s="650"/>
      <c r="AI1190" s="667"/>
    </row>
    <row r="1191" spans="12:35" ht="45" customHeight="1" thickBot="1" x14ac:dyDescent="0.25">
      <c r="L1191" s="645"/>
      <c r="M1191" s="616"/>
      <c r="N1191" s="616"/>
      <c r="O1191" s="616"/>
      <c r="P1191" s="615"/>
      <c r="Q1191" s="616"/>
      <c r="R1191" s="663"/>
      <c r="S1191" s="459"/>
      <c r="T1191" s="459"/>
      <c r="U1191" s="459"/>
      <c r="V1191" s="459"/>
      <c r="W1191" s="459"/>
      <c r="X1191" s="459"/>
      <c r="Y1191" s="666"/>
      <c r="Z1191" s="664"/>
      <c r="AA1191" s="665"/>
      <c r="AB1191" s="665"/>
      <c r="AC1191" s="665"/>
      <c r="AD1191" s="665"/>
      <c r="AE1191" s="665"/>
      <c r="AF1191" s="649"/>
      <c r="AG1191" s="650"/>
      <c r="AH1191" s="650"/>
      <c r="AI1191" s="667"/>
    </row>
    <row r="1192" spans="12:35" ht="45" customHeight="1" thickBot="1" x14ac:dyDescent="0.25">
      <c r="L1192" s="645"/>
      <c r="M1192" s="616"/>
      <c r="N1192" s="616"/>
      <c r="O1192" s="616"/>
      <c r="P1192" s="615"/>
      <c r="Q1192" s="616"/>
      <c r="R1192" s="663"/>
      <c r="S1192" s="459"/>
      <c r="T1192" s="459"/>
      <c r="U1192" s="459"/>
      <c r="V1192" s="459"/>
      <c r="W1192" s="459"/>
      <c r="X1192" s="459"/>
      <c r="Y1192" s="666"/>
      <c r="Z1192" s="664"/>
      <c r="AA1192" s="665"/>
      <c r="AB1192" s="665"/>
      <c r="AC1192" s="665"/>
      <c r="AD1192" s="665"/>
      <c r="AE1192" s="665"/>
      <c r="AF1192" s="649"/>
      <c r="AG1192" s="650"/>
      <c r="AH1192" s="650"/>
      <c r="AI1192" s="667"/>
    </row>
    <row r="1193" spans="12:35" ht="45" customHeight="1" thickBot="1" x14ac:dyDescent="0.25">
      <c r="L1193" s="645"/>
      <c r="M1193" s="616"/>
      <c r="N1193" s="616"/>
      <c r="O1193" s="616"/>
      <c r="P1193" s="615"/>
      <c r="Q1193" s="616"/>
      <c r="R1193" s="663"/>
      <c r="S1193" s="459"/>
      <c r="T1193" s="459"/>
      <c r="U1193" s="459"/>
      <c r="V1193" s="459"/>
      <c r="W1193" s="459"/>
      <c r="X1193" s="459"/>
      <c r="Y1193" s="666"/>
      <c r="Z1193" s="664"/>
      <c r="AA1193" s="665"/>
      <c r="AB1193" s="665"/>
      <c r="AC1193" s="665"/>
      <c r="AD1193" s="665"/>
      <c r="AE1193" s="665"/>
      <c r="AF1193" s="649"/>
      <c r="AG1193" s="650"/>
      <c r="AH1193" s="650"/>
      <c r="AI1193" s="667"/>
    </row>
    <row r="1194" spans="12:35" ht="45" customHeight="1" thickBot="1" x14ac:dyDescent="0.25">
      <c r="L1194" s="645"/>
      <c r="M1194" s="616"/>
      <c r="N1194" s="616"/>
      <c r="O1194" s="616"/>
      <c r="P1194" s="615"/>
      <c r="Q1194" s="616"/>
      <c r="R1194" s="663"/>
      <c r="S1194" s="459"/>
      <c r="T1194" s="459"/>
      <c r="U1194" s="459"/>
      <c r="V1194" s="459"/>
      <c r="W1194" s="459"/>
      <c r="X1194" s="459"/>
      <c r="Y1194" s="666"/>
      <c r="Z1194" s="664"/>
      <c r="AA1194" s="665"/>
      <c r="AB1194" s="665"/>
      <c r="AC1194" s="665"/>
      <c r="AD1194" s="665"/>
      <c r="AE1194" s="665"/>
      <c r="AF1194" s="649"/>
      <c r="AG1194" s="650"/>
      <c r="AH1194" s="650"/>
      <c r="AI1194" s="667"/>
    </row>
    <row r="1195" spans="12:35" ht="45" customHeight="1" thickBot="1" x14ac:dyDescent="0.25">
      <c r="L1195" s="645"/>
      <c r="M1195" s="616"/>
      <c r="N1195" s="616"/>
      <c r="O1195" s="616"/>
      <c r="P1195" s="615"/>
      <c r="Q1195" s="616"/>
      <c r="R1195" s="663"/>
      <c r="S1195" s="459"/>
      <c r="T1195" s="459"/>
      <c r="U1195" s="459"/>
      <c r="V1195" s="459"/>
      <c r="W1195" s="459"/>
      <c r="X1195" s="459"/>
      <c r="Y1195" s="666"/>
      <c r="Z1195" s="664"/>
      <c r="AA1195" s="665"/>
      <c r="AB1195" s="665"/>
      <c r="AC1195" s="665"/>
      <c r="AD1195" s="665"/>
      <c r="AE1195" s="665"/>
      <c r="AF1195" s="649"/>
      <c r="AG1195" s="650"/>
      <c r="AH1195" s="650"/>
      <c r="AI1195" s="667"/>
    </row>
    <row r="1196" spans="12:35" ht="45" customHeight="1" thickBot="1" x14ac:dyDescent="0.25">
      <c r="L1196" s="645"/>
      <c r="M1196" s="616"/>
      <c r="N1196" s="616"/>
      <c r="O1196" s="616"/>
      <c r="P1196" s="615"/>
      <c r="Q1196" s="616"/>
      <c r="R1196" s="663"/>
      <c r="S1196" s="459"/>
      <c r="T1196" s="459"/>
      <c r="U1196" s="459"/>
      <c r="V1196" s="459"/>
      <c r="W1196" s="459"/>
      <c r="X1196" s="459"/>
      <c r="Y1196" s="666"/>
      <c r="Z1196" s="664"/>
      <c r="AA1196" s="665"/>
      <c r="AB1196" s="665"/>
      <c r="AC1196" s="665"/>
      <c r="AD1196" s="665"/>
      <c r="AE1196" s="665"/>
      <c r="AF1196" s="649"/>
      <c r="AG1196" s="650"/>
      <c r="AH1196" s="650"/>
      <c r="AI1196" s="667"/>
    </row>
    <row r="1197" spans="12:35" ht="45" customHeight="1" thickBot="1" x14ac:dyDescent="0.25">
      <c r="L1197" s="645"/>
      <c r="M1197" s="616"/>
      <c r="N1197" s="616"/>
      <c r="O1197" s="616"/>
      <c r="P1197" s="615"/>
      <c r="Q1197" s="616"/>
      <c r="R1197" s="663"/>
      <c r="S1197" s="459"/>
      <c r="T1197" s="459"/>
      <c r="U1197" s="459"/>
      <c r="V1197" s="459"/>
      <c r="W1197" s="459"/>
      <c r="X1197" s="459"/>
      <c r="Y1197" s="666"/>
      <c r="Z1197" s="664"/>
      <c r="AA1197" s="665"/>
      <c r="AB1197" s="665"/>
      <c r="AC1197" s="665"/>
      <c r="AD1197" s="665"/>
      <c r="AE1197" s="665"/>
      <c r="AF1197" s="649"/>
      <c r="AG1197" s="650"/>
      <c r="AH1197" s="650"/>
      <c r="AI1197" s="667"/>
    </row>
    <row r="1198" spans="12:35" ht="45" customHeight="1" thickBot="1" x14ac:dyDescent="0.25">
      <c r="L1198" s="645"/>
      <c r="M1198" s="616"/>
      <c r="N1198" s="616"/>
      <c r="O1198" s="616"/>
      <c r="P1198" s="615"/>
      <c r="Q1198" s="616"/>
      <c r="R1198" s="663"/>
      <c r="S1198" s="459"/>
      <c r="T1198" s="459"/>
      <c r="U1198" s="459"/>
      <c r="V1198" s="459"/>
      <c r="W1198" s="459"/>
      <c r="X1198" s="459"/>
      <c r="Y1198" s="666"/>
      <c r="Z1198" s="664"/>
      <c r="AA1198" s="665"/>
      <c r="AB1198" s="665"/>
      <c r="AC1198" s="665"/>
      <c r="AD1198" s="665"/>
      <c r="AE1198" s="665"/>
      <c r="AF1198" s="649"/>
      <c r="AG1198" s="650"/>
      <c r="AH1198" s="650"/>
      <c r="AI1198" s="667"/>
    </row>
    <row r="1199" spans="12:35" ht="45" customHeight="1" thickBot="1" x14ac:dyDescent="0.25">
      <c r="L1199" s="645"/>
      <c r="M1199" s="616"/>
      <c r="N1199" s="616"/>
      <c r="O1199" s="616"/>
      <c r="P1199" s="615"/>
      <c r="Q1199" s="616"/>
      <c r="R1199" s="663"/>
      <c r="S1199" s="459"/>
      <c r="T1199" s="459"/>
      <c r="U1199" s="459"/>
      <c r="V1199" s="459"/>
      <c r="W1199" s="459"/>
      <c r="X1199" s="459"/>
      <c r="Y1199" s="666"/>
      <c r="Z1199" s="664"/>
      <c r="AA1199" s="665"/>
      <c r="AB1199" s="665"/>
      <c r="AC1199" s="665"/>
      <c r="AD1199" s="665"/>
      <c r="AE1199" s="665"/>
      <c r="AF1199" s="649"/>
      <c r="AG1199" s="650"/>
      <c r="AH1199" s="650"/>
      <c r="AI1199" s="667"/>
    </row>
    <row r="1200" spans="12:35" ht="45" customHeight="1" thickBot="1" x14ac:dyDescent="0.25">
      <c r="L1200" s="645"/>
      <c r="M1200" s="616"/>
      <c r="N1200" s="616"/>
      <c r="O1200" s="616"/>
      <c r="P1200" s="615"/>
      <c r="Q1200" s="616"/>
      <c r="R1200" s="663"/>
      <c r="S1200" s="459"/>
      <c r="T1200" s="459"/>
      <c r="U1200" s="459"/>
      <c r="V1200" s="459"/>
      <c r="W1200" s="459"/>
      <c r="X1200" s="459"/>
      <c r="Y1200" s="666"/>
      <c r="Z1200" s="664"/>
      <c r="AA1200" s="665"/>
      <c r="AB1200" s="665"/>
      <c r="AC1200" s="665"/>
      <c r="AD1200" s="665"/>
      <c r="AE1200" s="665"/>
      <c r="AF1200" s="649"/>
      <c r="AG1200" s="650"/>
      <c r="AH1200" s="650"/>
      <c r="AI1200" s="667"/>
    </row>
    <row r="1201" spans="12:35" ht="45" customHeight="1" thickBot="1" x14ac:dyDescent="0.25">
      <c r="L1201" s="645"/>
      <c r="M1201" s="616"/>
      <c r="N1201" s="616"/>
      <c r="O1201" s="616"/>
      <c r="P1201" s="615"/>
      <c r="Q1201" s="616"/>
      <c r="R1201" s="663"/>
      <c r="S1201" s="459"/>
      <c r="T1201" s="459"/>
      <c r="U1201" s="459"/>
      <c r="V1201" s="459"/>
      <c r="W1201" s="459"/>
      <c r="X1201" s="459"/>
      <c r="Y1201" s="666"/>
      <c r="Z1201" s="664"/>
      <c r="AA1201" s="665"/>
      <c r="AB1201" s="665"/>
      <c r="AC1201" s="665"/>
      <c r="AD1201" s="665"/>
      <c r="AE1201" s="665"/>
      <c r="AF1201" s="649"/>
      <c r="AG1201" s="650"/>
      <c r="AH1201" s="650"/>
      <c r="AI1201" s="667"/>
    </row>
    <row r="1202" spans="12:35" ht="45" customHeight="1" thickBot="1" x14ac:dyDescent="0.25">
      <c r="L1202" s="645"/>
      <c r="M1202" s="616"/>
      <c r="N1202" s="616"/>
      <c r="O1202" s="616"/>
      <c r="P1202" s="615"/>
      <c r="Q1202" s="616"/>
      <c r="R1202" s="663"/>
      <c r="S1202" s="459"/>
      <c r="T1202" s="459"/>
      <c r="U1202" s="459"/>
      <c r="V1202" s="459"/>
      <c r="W1202" s="459"/>
      <c r="X1202" s="459"/>
      <c r="Y1202" s="666"/>
      <c r="Z1202" s="664"/>
      <c r="AA1202" s="665"/>
      <c r="AB1202" s="665"/>
      <c r="AC1202" s="665"/>
      <c r="AD1202" s="665"/>
      <c r="AE1202" s="665"/>
      <c r="AF1202" s="649"/>
      <c r="AG1202" s="650"/>
      <c r="AH1202" s="650"/>
      <c r="AI1202" s="667"/>
    </row>
    <row r="1203" spans="12:35" ht="45" customHeight="1" thickBot="1" x14ac:dyDescent="0.25">
      <c r="L1203" s="645"/>
      <c r="M1203" s="616"/>
      <c r="N1203" s="616"/>
      <c r="O1203" s="616"/>
      <c r="P1203" s="615"/>
      <c r="Q1203" s="616"/>
      <c r="R1203" s="663"/>
      <c r="S1203" s="459"/>
      <c r="T1203" s="459"/>
      <c r="U1203" s="459"/>
      <c r="V1203" s="459"/>
      <c r="W1203" s="459"/>
      <c r="X1203" s="459"/>
      <c r="Y1203" s="666"/>
      <c r="Z1203" s="664"/>
      <c r="AA1203" s="665"/>
      <c r="AB1203" s="665"/>
      <c r="AC1203" s="665"/>
      <c r="AD1203" s="665"/>
      <c r="AE1203" s="665"/>
      <c r="AF1203" s="649"/>
      <c r="AG1203" s="650"/>
      <c r="AH1203" s="650"/>
      <c r="AI1203" s="667"/>
    </row>
    <row r="1204" spans="12:35" ht="45" customHeight="1" thickBot="1" x14ac:dyDescent="0.25">
      <c r="L1204" s="645"/>
      <c r="M1204" s="616"/>
      <c r="N1204" s="616"/>
      <c r="O1204" s="616"/>
      <c r="P1204" s="615"/>
      <c r="Q1204" s="616"/>
      <c r="R1204" s="663"/>
      <c r="S1204" s="459"/>
      <c r="T1204" s="459"/>
      <c r="U1204" s="459"/>
      <c r="V1204" s="459"/>
      <c r="W1204" s="459"/>
      <c r="X1204" s="459"/>
      <c r="Y1204" s="666"/>
      <c r="Z1204" s="664"/>
      <c r="AA1204" s="665"/>
      <c r="AB1204" s="665"/>
      <c r="AC1204" s="665"/>
      <c r="AD1204" s="665"/>
      <c r="AE1204" s="665"/>
      <c r="AF1204" s="649"/>
      <c r="AG1204" s="650"/>
      <c r="AH1204" s="650"/>
      <c r="AI1204" s="667"/>
    </row>
    <row r="1205" spans="12:35" ht="45" customHeight="1" thickBot="1" x14ac:dyDescent="0.25">
      <c r="L1205" s="645"/>
      <c r="M1205" s="616"/>
      <c r="N1205" s="616"/>
      <c r="O1205" s="616"/>
      <c r="P1205" s="615"/>
      <c r="Q1205" s="616"/>
      <c r="R1205" s="663"/>
      <c r="S1205" s="459"/>
      <c r="T1205" s="459"/>
      <c r="U1205" s="459"/>
      <c r="V1205" s="459"/>
      <c r="W1205" s="459"/>
      <c r="X1205" s="459"/>
      <c r="Y1205" s="666"/>
      <c r="Z1205" s="664"/>
      <c r="AA1205" s="665"/>
      <c r="AB1205" s="665"/>
      <c r="AC1205" s="665"/>
      <c r="AD1205" s="665"/>
      <c r="AE1205" s="665"/>
      <c r="AF1205" s="649"/>
      <c r="AG1205" s="650"/>
      <c r="AH1205" s="650"/>
      <c r="AI1205" s="667"/>
    </row>
    <row r="1206" spans="12:35" ht="45" customHeight="1" thickBot="1" x14ac:dyDescent="0.25">
      <c r="L1206" s="645"/>
      <c r="M1206" s="616"/>
      <c r="N1206" s="616"/>
      <c r="O1206" s="616"/>
      <c r="P1206" s="615"/>
      <c r="Q1206" s="616"/>
      <c r="R1206" s="663"/>
      <c r="S1206" s="459"/>
      <c r="T1206" s="459"/>
      <c r="U1206" s="459"/>
      <c r="V1206" s="459"/>
      <c r="W1206" s="459"/>
      <c r="X1206" s="459"/>
      <c r="Y1206" s="666"/>
      <c r="Z1206" s="664"/>
      <c r="AA1206" s="665"/>
      <c r="AB1206" s="665"/>
      <c r="AC1206" s="665"/>
      <c r="AD1206" s="665"/>
      <c r="AE1206" s="665"/>
      <c r="AF1206" s="649"/>
      <c r="AG1206" s="650"/>
      <c r="AH1206" s="650"/>
      <c r="AI1206" s="667"/>
    </row>
    <row r="1207" spans="12:35" ht="45" customHeight="1" thickBot="1" x14ac:dyDescent="0.25">
      <c r="L1207" s="645"/>
      <c r="M1207" s="616"/>
      <c r="N1207" s="616"/>
      <c r="O1207" s="616"/>
      <c r="P1207" s="615"/>
      <c r="Q1207" s="616"/>
      <c r="R1207" s="663"/>
      <c r="S1207" s="459"/>
      <c r="T1207" s="459"/>
      <c r="U1207" s="459"/>
      <c r="V1207" s="459"/>
      <c r="W1207" s="459"/>
      <c r="X1207" s="459"/>
      <c r="Y1207" s="666"/>
      <c r="Z1207" s="664"/>
      <c r="AA1207" s="665"/>
      <c r="AB1207" s="665"/>
      <c r="AC1207" s="665"/>
      <c r="AD1207" s="665"/>
      <c r="AE1207" s="665"/>
      <c r="AF1207" s="649"/>
      <c r="AG1207" s="650"/>
      <c r="AH1207" s="650"/>
      <c r="AI1207" s="667"/>
    </row>
    <row r="1208" spans="12:35" ht="45" customHeight="1" thickBot="1" x14ac:dyDescent="0.25">
      <c r="L1208" s="645"/>
      <c r="M1208" s="616"/>
      <c r="N1208" s="616"/>
      <c r="O1208" s="616"/>
      <c r="P1208" s="615"/>
      <c r="Q1208" s="616"/>
      <c r="R1208" s="663"/>
      <c r="S1208" s="459"/>
      <c r="T1208" s="459"/>
      <c r="U1208" s="459"/>
      <c r="V1208" s="459"/>
      <c r="W1208" s="459"/>
      <c r="X1208" s="459"/>
      <c r="Y1208" s="666"/>
      <c r="Z1208" s="664"/>
      <c r="AA1208" s="665"/>
      <c r="AB1208" s="665"/>
      <c r="AC1208" s="665"/>
      <c r="AD1208" s="665"/>
      <c r="AE1208" s="665"/>
      <c r="AF1208" s="649"/>
      <c r="AG1208" s="650"/>
      <c r="AH1208" s="650"/>
      <c r="AI1208" s="667"/>
    </row>
    <row r="1209" spans="12:35" ht="45" customHeight="1" thickBot="1" x14ac:dyDescent="0.25">
      <c r="L1209" s="645"/>
      <c r="M1209" s="616"/>
      <c r="N1209" s="616"/>
      <c r="O1209" s="616"/>
      <c r="P1209" s="615"/>
      <c r="Q1209" s="616"/>
      <c r="R1209" s="663"/>
      <c r="S1209" s="459"/>
      <c r="T1209" s="459"/>
      <c r="U1209" s="459"/>
      <c r="V1209" s="459"/>
      <c r="W1209" s="459"/>
      <c r="X1209" s="459"/>
      <c r="Y1209" s="666"/>
      <c r="Z1209" s="664"/>
      <c r="AA1209" s="665"/>
      <c r="AB1209" s="665"/>
      <c r="AC1209" s="665"/>
      <c r="AD1209" s="665"/>
      <c r="AE1209" s="665"/>
      <c r="AF1209" s="649"/>
      <c r="AG1209" s="650"/>
      <c r="AH1209" s="650"/>
      <c r="AI1209" s="667"/>
    </row>
    <row r="1210" spans="12:35" ht="45" customHeight="1" thickBot="1" x14ac:dyDescent="0.25">
      <c r="L1210" s="645"/>
      <c r="M1210" s="616"/>
      <c r="N1210" s="616"/>
      <c r="O1210" s="616"/>
      <c r="P1210" s="615"/>
      <c r="Q1210" s="616"/>
      <c r="R1210" s="663"/>
      <c r="S1210" s="459"/>
      <c r="T1210" s="459"/>
      <c r="U1210" s="459"/>
      <c r="V1210" s="459"/>
      <c r="W1210" s="459"/>
      <c r="X1210" s="459"/>
      <c r="Y1210" s="666"/>
      <c r="Z1210" s="664"/>
      <c r="AA1210" s="665"/>
      <c r="AB1210" s="665"/>
      <c r="AC1210" s="665"/>
      <c r="AD1210" s="665"/>
      <c r="AE1210" s="665"/>
      <c r="AF1210" s="649"/>
      <c r="AG1210" s="650"/>
      <c r="AH1210" s="650"/>
      <c r="AI1210" s="667"/>
    </row>
    <row r="1211" spans="12:35" ht="45" customHeight="1" thickBot="1" x14ac:dyDescent="0.25">
      <c r="L1211" s="645"/>
      <c r="M1211" s="616"/>
      <c r="N1211" s="616"/>
      <c r="O1211" s="616"/>
      <c r="P1211" s="615"/>
      <c r="Q1211" s="616"/>
      <c r="R1211" s="663"/>
      <c r="S1211" s="459"/>
      <c r="T1211" s="459"/>
      <c r="U1211" s="459"/>
      <c r="V1211" s="459"/>
      <c r="W1211" s="459"/>
      <c r="X1211" s="459"/>
      <c r="Y1211" s="666"/>
      <c r="Z1211" s="664"/>
      <c r="AA1211" s="665"/>
      <c r="AB1211" s="665"/>
      <c r="AC1211" s="665"/>
      <c r="AD1211" s="665"/>
      <c r="AE1211" s="665"/>
      <c r="AF1211" s="649"/>
      <c r="AG1211" s="650"/>
      <c r="AH1211" s="650"/>
      <c r="AI1211" s="667"/>
    </row>
    <row r="1212" spans="12:35" ht="45" customHeight="1" thickBot="1" x14ac:dyDescent="0.25">
      <c r="L1212" s="645"/>
      <c r="M1212" s="616"/>
      <c r="N1212" s="616"/>
      <c r="O1212" s="616"/>
      <c r="P1212" s="615"/>
      <c r="Q1212" s="616"/>
      <c r="R1212" s="663"/>
      <c r="S1212" s="459"/>
      <c r="T1212" s="459"/>
      <c r="U1212" s="459"/>
      <c r="V1212" s="459"/>
      <c r="W1212" s="459"/>
      <c r="X1212" s="459"/>
      <c r="Y1212" s="666"/>
      <c r="Z1212" s="664"/>
      <c r="AA1212" s="665"/>
      <c r="AB1212" s="665"/>
      <c r="AC1212" s="665"/>
      <c r="AD1212" s="665"/>
      <c r="AE1212" s="665"/>
      <c r="AF1212" s="649"/>
      <c r="AG1212" s="650"/>
      <c r="AH1212" s="650"/>
      <c r="AI1212" s="667"/>
    </row>
    <row r="1213" spans="12:35" ht="45" customHeight="1" thickBot="1" x14ac:dyDescent="0.25">
      <c r="L1213" s="645"/>
      <c r="M1213" s="616"/>
      <c r="N1213" s="616"/>
      <c r="O1213" s="616"/>
      <c r="P1213" s="615"/>
      <c r="Q1213" s="616"/>
      <c r="R1213" s="663"/>
      <c r="S1213" s="459"/>
      <c r="T1213" s="459"/>
      <c r="U1213" s="459"/>
      <c r="V1213" s="459"/>
      <c r="W1213" s="459"/>
      <c r="X1213" s="459"/>
      <c r="Y1213" s="666"/>
      <c r="Z1213" s="664"/>
      <c r="AA1213" s="665"/>
      <c r="AB1213" s="665"/>
      <c r="AC1213" s="665"/>
      <c r="AD1213" s="665"/>
      <c r="AE1213" s="665"/>
      <c r="AF1213" s="649"/>
      <c r="AG1213" s="650"/>
      <c r="AH1213" s="650"/>
      <c r="AI1213" s="667"/>
    </row>
    <row r="1214" spans="12:35" ht="45" customHeight="1" thickBot="1" x14ac:dyDescent="0.25">
      <c r="L1214" s="645"/>
      <c r="M1214" s="616"/>
      <c r="N1214" s="616"/>
      <c r="O1214" s="616"/>
      <c r="P1214" s="615"/>
      <c r="Q1214" s="616"/>
      <c r="R1214" s="663"/>
      <c r="S1214" s="459"/>
      <c r="T1214" s="459"/>
      <c r="U1214" s="459"/>
      <c r="V1214" s="459"/>
      <c r="W1214" s="459"/>
      <c r="X1214" s="459"/>
      <c r="Y1214" s="666"/>
      <c r="Z1214" s="664"/>
      <c r="AA1214" s="665"/>
      <c r="AB1214" s="665"/>
      <c r="AC1214" s="665"/>
      <c r="AD1214" s="665"/>
      <c r="AE1214" s="665"/>
      <c r="AF1214" s="649"/>
      <c r="AG1214" s="650"/>
      <c r="AH1214" s="650"/>
      <c r="AI1214" s="667"/>
    </row>
    <row r="1215" spans="12:35" ht="45" customHeight="1" thickBot="1" x14ac:dyDescent="0.25">
      <c r="L1215" s="645"/>
      <c r="M1215" s="616"/>
      <c r="N1215" s="616"/>
      <c r="O1215" s="616"/>
      <c r="P1215" s="615"/>
      <c r="Q1215" s="616"/>
      <c r="R1215" s="663"/>
      <c r="S1215" s="459"/>
      <c r="T1215" s="459"/>
      <c r="U1215" s="459"/>
      <c r="V1215" s="459"/>
      <c r="W1215" s="459"/>
      <c r="X1215" s="459"/>
      <c r="Y1215" s="666"/>
      <c r="Z1215" s="664"/>
      <c r="AA1215" s="665"/>
      <c r="AB1215" s="665"/>
      <c r="AC1215" s="665"/>
      <c r="AD1215" s="665"/>
      <c r="AE1215" s="665"/>
      <c r="AF1215" s="649"/>
      <c r="AG1215" s="650"/>
      <c r="AH1215" s="650"/>
      <c r="AI1215" s="667"/>
    </row>
    <row r="1216" spans="12:35" ht="45" customHeight="1" thickBot="1" x14ac:dyDescent="0.25">
      <c r="L1216" s="645"/>
      <c r="M1216" s="616"/>
      <c r="N1216" s="616"/>
      <c r="O1216" s="616"/>
      <c r="P1216" s="615"/>
      <c r="Q1216" s="616"/>
      <c r="R1216" s="663"/>
      <c r="S1216" s="459"/>
      <c r="T1216" s="459"/>
      <c r="U1216" s="459"/>
      <c r="V1216" s="459"/>
      <c r="W1216" s="459"/>
      <c r="X1216" s="459"/>
      <c r="Y1216" s="666"/>
      <c r="Z1216" s="664"/>
      <c r="AA1216" s="665"/>
      <c r="AB1216" s="665"/>
      <c r="AC1216" s="665"/>
      <c r="AD1216" s="665"/>
      <c r="AE1216" s="665"/>
      <c r="AF1216" s="649"/>
      <c r="AG1216" s="650"/>
      <c r="AH1216" s="650"/>
      <c r="AI1216" s="667"/>
    </row>
    <row r="1217" spans="12:35" ht="45" customHeight="1" thickBot="1" x14ac:dyDescent="0.25">
      <c r="L1217" s="645"/>
      <c r="M1217" s="616"/>
      <c r="N1217" s="616"/>
      <c r="O1217" s="616"/>
      <c r="P1217" s="615"/>
      <c r="Q1217" s="616"/>
      <c r="R1217" s="663"/>
      <c r="S1217" s="459"/>
      <c r="T1217" s="459"/>
      <c r="U1217" s="459"/>
      <c r="V1217" s="459"/>
      <c r="W1217" s="459"/>
      <c r="X1217" s="459"/>
      <c r="Y1217" s="666"/>
      <c r="Z1217" s="664"/>
      <c r="AA1217" s="665"/>
      <c r="AB1217" s="665"/>
      <c r="AC1217" s="665"/>
      <c r="AD1217" s="665"/>
      <c r="AE1217" s="665"/>
      <c r="AF1217" s="649"/>
      <c r="AG1217" s="650"/>
      <c r="AH1217" s="650"/>
      <c r="AI1217" s="667"/>
    </row>
    <row r="1218" spans="12:35" ht="45" customHeight="1" thickBot="1" x14ac:dyDescent="0.25">
      <c r="L1218" s="645"/>
      <c r="M1218" s="616"/>
      <c r="N1218" s="616"/>
      <c r="O1218" s="616"/>
      <c r="P1218" s="615"/>
      <c r="Q1218" s="616"/>
      <c r="R1218" s="663"/>
      <c r="S1218" s="459"/>
      <c r="T1218" s="459"/>
      <c r="U1218" s="459"/>
      <c r="V1218" s="459"/>
      <c r="W1218" s="459"/>
      <c r="X1218" s="459"/>
      <c r="Y1218" s="666"/>
      <c r="Z1218" s="664"/>
      <c r="AA1218" s="665"/>
      <c r="AB1218" s="665"/>
      <c r="AC1218" s="665"/>
      <c r="AD1218" s="665"/>
      <c r="AE1218" s="665"/>
      <c r="AF1218" s="649"/>
      <c r="AG1218" s="650"/>
      <c r="AH1218" s="650"/>
      <c r="AI1218" s="667"/>
    </row>
    <row r="1219" spans="12:35" ht="45" customHeight="1" thickBot="1" x14ac:dyDescent="0.25">
      <c r="L1219" s="645"/>
      <c r="M1219" s="616"/>
      <c r="N1219" s="616"/>
      <c r="O1219" s="616"/>
      <c r="P1219" s="615"/>
      <c r="Q1219" s="616"/>
      <c r="R1219" s="663"/>
      <c r="S1219" s="459"/>
      <c r="T1219" s="459"/>
      <c r="U1219" s="459"/>
      <c r="V1219" s="459"/>
      <c r="W1219" s="459"/>
      <c r="X1219" s="459"/>
      <c r="Y1219" s="666"/>
      <c r="Z1219" s="664"/>
      <c r="AA1219" s="665"/>
      <c r="AB1219" s="665"/>
      <c r="AC1219" s="665"/>
      <c r="AD1219" s="665"/>
      <c r="AE1219" s="665"/>
      <c r="AF1219" s="649"/>
      <c r="AG1219" s="650"/>
      <c r="AH1219" s="650"/>
      <c r="AI1219" s="667"/>
    </row>
    <row r="1220" spans="12:35" ht="45" customHeight="1" thickBot="1" x14ac:dyDescent="0.25">
      <c r="L1220" s="645"/>
      <c r="M1220" s="616"/>
      <c r="N1220" s="616"/>
      <c r="O1220" s="616"/>
      <c r="P1220" s="615"/>
      <c r="Q1220" s="616"/>
      <c r="R1220" s="663"/>
      <c r="S1220" s="459"/>
      <c r="T1220" s="459"/>
      <c r="U1220" s="459"/>
      <c r="V1220" s="459"/>
      <c r="W1220" s="459"/>
      <c r="X1220" s="459"/>
      <c r="Y1220" s="666"/>
      <c r="Z1220" s="664"/>
      <c r="AA1220" s="665"/>
      <c r="AB1220" s="665"/>
      <c r="AC1220" s="665"/>
      <c r="AD1220" s="665"/>
      <c r="AE1220" s="665"/>
      <c r="AF1220" s="649"/>
      <c r="AG1220" s="650"/>
      <c r="AH1220" s="650"/>
      <c r="AI1220" s="667"/>
    </row>
    <row r="1221" spans="12:35" ht="45" customHeight="1" thickBot="1" x14ac:dyDescent="0.25">
      <c r="L1221" s="645"/>
      <c r="M1221" s="616"/>
      <c r="N1221" s="616"/>
      <c r="O1221" s="616"/>
      <c r="P1221" s="615"/>
      <c r="Q1221" s="616"/>
      <c r="R1221" s="663"/>
      <c r="S1221" s="459"/>
      <c r="T1221" s="459"/>
      <c r="U1221" s="459"/>
      <c r="V1221" s="459"/>
      <c r="W1221" s="459"/>
      <c r="X1221" s="459"/>
      <c r="Y1221" s="666"/>
      <c r="Z1221" s="664"/>
      <c r="AA1221" s="665"/>
      <c r="AB1221" s="665"/>
      <c r="AC1221" s="665"/>
      <c r="AD1221" s="665"/>
      <c r="AE1221" s="665"/>
      <c r="AF1221" s="649"/>
      <c r="AG1221" s="650"/>
      <c r="AH1221" s="650"/>
      <c r="AI1221" s="667"/>
    </row>
    <row r="1222" spans="12:35" ht="45" customHeight="1" thickBot="1" x14ac:dyDescent="0.25">
      <c r="L1222" s="645"/>
      <c r="M1222" s="616"/>
      <c r="N1222" s="616"/>
      <c r="O1222" s="616"/>
      <c r="P1222" s="615"/>
      <c r="Q1222" s="616"/>
      <c r="R1222" s="663"/>
      <c r="S1222" s="459"/>
      <c r="T1222" s="459"/>
      <c r="U1222" s="459"/>
      <c r="V1222" s="459"/>
      <c r="W1222" s="459"/>
      <c r="X1222" s="459"/>
      <c r="Y1222" s="666"/>
      <c r="Z1222" s="664"/>
      <c r="AA1222" s="665"/>
      <c r="AB1222" s="665"/>
      <c r="AC1222" s="665"/>
      <c r="AD1222" s="665"/>
      <c r="AE1222" s="665"/>
      <c r="AF1222" s="649"/>
      <c r="AG1222" s="650"/>
      <c r="AH1222" s="650"/>
      <c r="AI1222" s="667"/>
    </row>
    <row r="1223" spans="12:35" ht="45" customHeight="1" thickBot="1" x14ac:dyDescent="0.25">
      <c r="L1223" s="645"/>
      <c r="M1223" s="616"/>
      <c r="N1223" s="616"/>
      <c r="O1223" s="616"/>
      <c r="P1223" s="615"/>
      <c r="Q1223" s="616"/>
      <c r="R1223" s="663"/>
      <c r="S1223" s="459"/>
      <c r="T1223" s="459"/>
      <c r="U1223" s="459"/>
      <c r="V1223" s="459"/>
      <c r="W1223" s="459"/>
      <c r="X1223" s="459"/>
      <c r="Y1223" s="666"/>
      <c r="Z1223" s="664"/>
      <c r="AA1223" s="665"/>
      <c r="AB1223" s="665"/>
      <c r="AC1223" s="665"/>
      <c r="AD1223" s="665"/>
      <c r="AE1223" s="665"/>
      <c r="AF1223" s="649"/>
      <c r="AG1223" s="650"/>
      <c r="AH1223" s="650"/>
      <c r="AI1223" s="667"/>
    </row>
    <row r="1224" spans="12:35" ht="45" customHeight="1" thickBot="1" x14ac:dyDescent="0.25">
      <c r="L1224" s="645"/>
      <c r="M1224" s="616"/>
      <c r="N1224" s="616"/>
      <c r="O1224" s="616"/>
      <c r="P1224" s="615"/>
      <c r="Q1224" s="616"/>
      <c r="R1224" s="663"/>
      <c r="S1224" s="459"/>
      <c r="T1224" s="459"/>
      <c r="U1224" s="459"/>
      <c r="V1224" s="459"/>
      <c r="W1224" s="459"/>
      <c r="X1224" s="459"/>
      <c r="Y1224" s="666"/>
      <c r="Z1224" s="664"/>
      <c r="AA1224" s="665"/>
      <c r="AB1224" s="665"/>
      <c r="AC1224" s="665"/>
      <c r="AD1224" s="665"/>
      <c r="AE1224" s="665"/>
      <c r="AF1224" s="649"/>
      <c r="AG1224" s="650"/>
      <c r="AH1224" s="650"/>
      <c r="AI1224" s="667"/>
    </row>
    <row r="1225" spans="12:35" ht="45" customHeight="1" thickBot="1" x14ac:dyDescent="0.25">
      <c r="L1225" s="645"/>
      <c r="M1225" s="616"/>
      <c r="N1225" s="616"/>
      <c r="O1225" s="616"/>
      <c r="P1225" s="615"/>
      <c r="Q1225" s="616"/>
      <c r="R1225" s="663"/>
      <c r="S1225" s="459"/>
      <c r="T1225" s="459"/>
      <c r="U1225" s="459"/>
      <c r="V1225" s="459"/>
      <c r="W1225" s="459"/>
      <c r="X1225" s="459"/>
      <c r="Y1225" s="666"/>
      <c r="Z1225" s="664"/>
      <c r="AA1225" s="665"/>
      <c r="AB1225" s="665"/>
      <c r="AC1225" s="665"/>
      <c r="AD1225" s="665"/>
      <c r="AE1225" s="665"/>
      <c r="AF1225" s="649"/>
      <c r="AG1225" s="650"/>
      <c r="AH1225" s="650"/>
      <c r="AI1225" s="667"/>
    </row>
    <row r="1226" spans="12:35" ht="45" customHeight="1" thickBot="1" x14ac:dyDescent="0.25">
      <c r="L1226" s="645"/>
      <c r="M1226" s="616"/>
      <c r="N1226" s="616"/>
      <c r="O1226" s="616"/>
      <c r="P1226" s="615"/>
      <c r="Q1226" s="616"/>
      <c r="R1226" s="663"/>
      <c r="S1226" s="459"/>
      <c r="T1226" s="459"/>
      <c r="U1226" s="459"/>
      <c r="V1226" s="459"/>
      <c r="W1226" s="459"/>
      <c r="X1226" s="459"/>
      <c r="Y1226" s="666"/>
      <c r="Z1226" s="664"/>
      <c r="AA1226" s="665"/>
      <c r="AB1226" s="665"/>
      <c r="AC1226" s="665"/>
      <c r="AD1226" s="665"/>
      <c r="AE1226" s="665"/>
      <c r="AF1226" s="649"/>
      <c r="AG1226" s="650"/>
      <c r="AH1226" s="650"/>
      <c r="AI1226" s="667"/>
    </row>
    <row r="1227" spans="12:35" ht="45" customHeight="1" thickBot="1" x14ac:dyDescent="0.25">
      <c r="L1227" s="645"/>
      <c r="M1227" s="616"/>
      <c r="N1227" s="616"/>
      <c r="O1227" s="616"/>
      <c r="P1227" s="615"/>
      <c r="Q1227" s="616"/>
      <c r="R1227" s="663"/>
      <c r="S1227" s="459"/>
      <c r="T1227" s="459"/>
      <c r="U1227" s="459"/>
      <c r="V1227" s="459"/>
      <c r="W1227" s="459"/>
      <c r="X1227" s="459"/>
      <c r="Y1227" s="666"/>
      <c r="Z1227" s="664"/>
      <c r="AA1227" s="665"/>
      <c r="AB1227" s="665"/>
      <c r="AC1227" s="665"/>
      <c r="AD1227" s="665"/>
      <c r="AE1227" s="665"/>
      <c r="AF1227" s="649"/>
      <c r="AG1227" s="650"/>
      <c r="AH1227" s="650"/>
      <c r="AI1227" s="667"/>
    </row>
    <row r="1228" spans="12:35" ht="45" customHeight="1" thickBot="1" x14ac:dyDescent="0.25">
      <c r="L1228" s="645"/>
      <c r="M1228" s="616"/>
      <c r="N1228" s="616"/>
      <c r="O1228" s="616"/>
      <c r="P1228" s="615"/>
      <c r="Q1228" s="616"/>
      <c r="R1228" s="663"/>
      <c r="S1228" s="459"/>
      <c r="T1228" s="459"/>
      <c r="U1228" s="459"/>
      <c r="V1228" s="459"/>
      <c r="W1228" s="459"/>
      <c r="X1228" s="459"/>
      <c r="Y1228" s="666"/>
      <c r="Z1228" s="664"/>
      <c r="AA1228" s="665"/>
      <c r="AB1228" s="665"/>
      <c r="AC1228" s="665"/>
      <c r="AD1228" s="665"/>
      <c r="AE1228" s="665"/>
      <c r="AF1228" s="649"/>
      <c r="AG1228" s="650"/>
      <c r="AH1228" s="650"/>
      <c r="AI1228" s="667"/>
    </row>
    <row r="1229" spans="12:35" ht="45" customHeight="1" thickBot="1" x14ac:dyDescent="0.25">
      <c r="L1229" s="645"/>
      <c r="M1229" s="616"/>
      <c r="N1229" s="616"/>
      <c r="O1229" s="616"/>
      <c r="P1229" s="615"/>
      <c r="Q1229" s="616"/>
      <c r="R1229" s="663"/>
      <c r="S1229" s="459"/>
      <c r="T1229" s="459"/>
      <c r="U1229" s="459"/>
      <c r="V1229" s="459"/>
      <c r="W1229" s="459"/>
      <c r="X1229" s="459"/>
      <c r="Y1229" s="666"/>
      <c r="Z1229" s="664"/>
      <c r="AA1229" s="665"/>
      <c r="AB1229" s="665"/>
      <c r="AC1229" s="665"/>
      <c r="AD1229" s="665"/>
      <c r="AE1229" s="665"/>
      <c r="AF1229" s="649"/>
      <c r="AG1229" s="650"/>
      <c r="AH1229" s="650"/>
      <c r="AI1229" s="667"/>
    </row>
    <row r="1230" spans="12:35" ht="45" customHeight="1" thickBot="1" x14ac:dyDescent="0.25">
      <c r="L1230" s="645"/>
      <c r="M1230" s="616"/>
      <c r="N1230" s="616"/>
      <c r="O1230" s="616"/>
      <c r="P1230" s="615"/>
      <c r="Q1230" s="616"/>
      <c r="R1230" s="663"/>
      <c r="S1230" s="459"/>
      <c r="T1230" s="459"/>
      <c r="U1230" s="459"/>
      <c r="V1230" s="459"/>
      <c r="W1230" s="459"/>
      <c r="X1230" s="459"/>
      <c r="Y1230" s="666"/>
      <c r="Z1230" s="664"/>
      <c r="AA1230" s="665"/>
      <c r="AB1230" s="665"/>
      <c r="AC1230" s="665"/>
      <c r="AD1230" s="665"/>
      <c r="AE1230" s="665"/>
      <c r="AF1230" s="649"/>
      <c r="AG1230" s="650"/>
      <c r="AH1230" s="650"/>
      <c r="AI1230" s="667"/>
    </row>
    <row r="1231" spans="12:35" ht="45" customHeight="1" thickBot="1" x14ac:dyDescent="0.25">
      <c r="L1231" s="645"/>
      <c r="M1231" s="616"/>
      <c r="N1231" s="616"/>
      <c r="O1231" s="616"/>
      <c r="P1231" s="615"/>
      <c r="Q1231" s="616"/>
      <c r="R1231" s="663"/>
      <c r="S1231" s="459"/>
      <c r="T1231" s="459"/>
      <c r="U1231" s="459"/>
      <c r="V1231" s="459"/>
      <c r="W1231" s="459"/>
      <c r="X1231" s="459"/>
      <c r="Y1231" s="666"/>
      <c r="Z1231" s="664"/>
      <c r="AA1231" s="665"/>
      <c r="AB1231" s="665"/>
      <c r="AC1231" s="665"/>
      <c r="AD1231" s="665"/>
      <c r="AE1231" s="665"/>
      <c r="AF1231" s="649"/>
      <c r="AG1231" s="650"/>
      <c r="AH1231" s="650"/>
      <c r="AI1231" s="667"/>
    </row>
    <row r="1232" spans="12:35" ht="45" customHeight="1" thickBot="1" x14ac:dyDescent="0.25">
      <c r="L1232" s="645"/>
      <c r="M1232" s="616"/>
      <c r="N1232" s="616"/>
      <c r="O1232" s="616"/>
      <c r="P1232" s="615"/>
      <c r="Q1232" s="616"/>
      <c r="R1232" s="663"/>
      <c r="S1232" s="459"/>
      <c r="T1232" s="459"/>
      <c r="U1232" s="459"/>
      <c r="V1232" s="459"/>
      <c r="W1232" s="459"/>
      <c r="X1232" s="459"/>
      <c r="Y1232" s="666"/>
      <c r="Z1232" s="664"/>
      <c r="AA1232" s="665"/>
      <c r="AB1232" s="665"/>
      <c r="AC1232" s="665"/>
      <c r="AD1232" s="665"/>
      <c r="AE1232" s="665"/>
      <c r="AF1232" s="649"/>
      <c r="AG1232" s="650"/>
      <c r="AH1232" s="650"/>
      <c r="AI1232" s="667"/>
    </row>
    <row r="1233" spans="12:35" ht="45" customHeight="1" thickBot="1" x14ac:dyDescent="0.25">
      <c r="L1233" s="645"/>
      <c r="M1233" s="616"/>
      <c r="N1233" s="616"/>
      <c r="O1233" s="616"/>
      <c r="P1233" s="615"/>
      <c r="Q1233" s="616"/>
      <c r="R1233" s="663"/>
      <c r="S1233" s="459"/>
      <c r="T1233" s="459"/>
      <c r="U1233" s="459"/>
      <c r="V1233" s="459"/>
      <c r="W1233" s="459"/>
      <c r="X1233" s="459"/>
      <c r="Y1233" s="666"/>
      <c r="Z1233" s="664"/>
      <c r="AA1233" s="665"/>
      <c r="AB1233" s="665"/>
      <c r="AC1233" s="665"/>
      <c r="AD1233" s="665"/>
      <c r="AE1233" s="665"/>
      <c r="AF1233" s="649"/>
      <c r="AG1233" s="650"/>
      <c r="AH1233" s="650"/>
      <c r="AI1233" s="667"/>
    </row>
    <row r="1234" spans="12:35" ht="45" customHeight="1" thickBot="1" x14ac:dyDescent="0.25">
      <c r="L1234" s="645"/>
      <c r="M1234" s="616"/>
      <c r="N1234" s="616"/>
      <c r="O1234" s="616"/>
      <c r="P1234" s="615"/>
      <c r="Q1234" s="616"/>
      <c r="R1234" s="663"/>
      <c r="S1234" s="459"/>
      <c r="T1234" s="459"/>
      <c r="U1234" s="459"/>
      <c r="V1234" s="459"/>
      <c r="W1234" s="459"/>
      <c r="X1234" s="459"/>
      <c r="Y1234" s="666"/>
      <c r="Z1234" s="664"/>
      <c r="AA1234" s="665"/>
      <c r="AB1234" s="665"/>
      <c r="AC1234" s="665"/>
      <c r="AD1234" s="665"/>
      <c r="AE1234" s="665"/>
      <c r="AF1234" s="649"/>
      <c r="AG1234" s="650"/>
      <c r="AH1234" s="650"/>
      <c r="AI1234" s="667"/>
    </row>
    <row r="1235" spans="12:35" ht="45" customHeight="1" thickBot="1" x14ac:dyDescent="0.25">
      <c r="L1235" s="645"/>
      <c r="M1235" s="616"/>
      <c r="N1235" s="616"/>
      <c r="O1235" s="616"/>
      <c r="P1235" s="615"/>
      <c r="Q1235" s="616"/>
      <c r="R1235" s="663"/>
      <c r="S1235" s="459"/>
      <c r="T1235" s="459"/>
      <c r="U1235" s="459"/>
      <c r="V1235" s="459"/>
      <c r="W1235" s="459"/>
      <c r="X1235" s="459"/>
      <c r="Y1235" s="666"/>
      <c r="Z1235" s="664"/>
      <c r="AA1235" s="665"/>
      <c r="AB1235" s="665"/>
      <c r="AC1235" s="665"/>
      <c r="AD1235" s="665"/>
      <c r="AE1235" s="665"/>
      <c r="AF1235" s="649"/>
      <c r="AG1235" s="650"/>
      <c r="AH1235" s="650"/>
      <c r="AI1235" s="667"/>
    </row>
    <row r="1236" spans="12:35" ht="45" customHeight="1" thickBot="1" x14ac:dyDescent="0.25">
      <c r="L1236" s="645"/>
      <c r="M1236" s="616"/>
      <c r="N1236" s="616"/>
      <c r="O1236" s="616"/>
      <c r="P1236" s="615"/>
      <c r="Q1236" s="616"/>
      <c r="R1236" s="663"/>
      <c r="S1236" s="459"/>
      <c r="T1236" s="459"/>
      <c r="U1236" s="459"/>
      <c r="V1236" s="459"/>
      <c r="W1236" s="459"/>
      <c r="X1236" s="459"/>
      <c r="Y1236" s="666"/>
      <c r="Z1236" s="664"/>
      <c r="AA1236" s="665"/>
      <c r="AB1236" s="665"/>
      <c r="AC1236" s="665"/>
      <c r="AD1236" s="665"/>
      <c r="AE1236" s="665"/>
      <c r="AF1236" s="649"/>
      <c r="AG1236" s="650"/>
      <c r="AH1236" s="650"/>
      <c r="AI1236" s="667"/>
    </row>
    <row r="1237" spans="12:35" ht="45" customHeight="1" thickBot="1" x14ac:dyDescent="0.25">
      <c r="L1237" s="645"/>
      <c r="M1237" s="616"/>
      <c r="N1237" s="616"/>
      <c r="O1237" s="616"/>
      <c r="P1237" s="615"/>
      <c r="Q1237" s="616"/>
      <c r="R1237" s="663"/>
      <c r="S1237" s="459"/>
      <c r="T1237" s="459"/>
      <c r="U1237" s="459"/>
      <c r="V1237" s="459"/>
      <c r="W1237" s="459"/>
      <c r="X1237" s="459"/>
      <c r="Y1237" s="666"/>
      <c r="Z1237" s="664"/>
      <c r="AA1237" s="665"/>
      <c r="AB1237" s="665"/>
      <c r="AC1237" s="665"/>
      <c r="AD1237" s="665"/>
      <c r="AE1237" s="665"/>
      <c r="AF1237" s="649"/>
      <c r="AG1237" s="650"/>
      <c r="AH1237" s="650"/>
      <c r="AI1237" s="667"/>
    </row>
    <row r="1238" spans="12:35" ht="45" customHeight="1" thickBot="1" x14ac:dyDescent="0.25">
      <c r="L1238" s="645"/>
      <c r="M1238" s="616"/>
      <c r="N1238" s="616"/>
      <c r="O1238" s="616"/>
      <c r="P1238" s="615"/>
      <c r="Q1238" s="616"/>
      <c r="R1238" s="663"/>
      <c r="S1238" s="459"/>
      <c r="T1238" s="459"/>
      <c r="U1238" s="459"/>
      <c r="V1238" s="459"/>
      <c r="W1238" s="459"/>
      <c r="X1238" s="459"/>
      <c r="Y1238" s="666"/>
      <c r="Z1238" s="664"/>
      <c r="AA1238" s="665"/>
      <c r="AB1238" s="665"/>
      <c r="AC1238" s="665"/>
      <c r="AD1238" s="665"/>
      <c r="AE1238" s="665"/>
      <c r="AF1238" s="649"/>
      <c r="AG1238" s="650"/>
      <c r="AH1238" s="650"/>
      <c r="AI1238" s="667"/>
    </row>
    <row r="1239" spans="12:35" ht="45" customHeight="1" thickBot="1" x14ac:dyDescent="0.25">
      <c r="L1239" s="645"/>
      <c r="M1239" s="616"/>
      <c r="N1239" s="616"/>
      <c r="O1239" s="616"/>
      <c r="P1239" s="615"/>
      <c r="Q1239" s="616"/>
      <c r="R1239" s="663"/>
      <c r="S1239" s="459"/>
      <c r="T1239" s="459"/>
      <c r="U1239" s="459"/>
      <c r="V1239" s="459"/>
      <c r="W1239" s="459"/>
      <c r="X1239" s="459"/>
      <c r="Y1239" s="666"/>
      <c r="Z1239" s="664"/>
      <c r="AA1239" s="665"/>
      <c r="AB1239" s="665"/>
      <c r="AC1239" s="665"/>
      <c r="AD1239" s="665"/>
      <c r="AE1239" s="665"/>
      <c r="AF1239" s="649"/>
      <c r="AG1239" s="650"/>
      <c r="AH1239" s="650"/>
      <c r="AI1239" s="667"/>
    </row>
    <row r="1240" spans="12:35" ht="45" customHeight="1" thickBot="1" x14ac:dyDescent="0.25">
      <c r="L1240" s="645"/>
      <c r="M1240" s="616"/>
      <c r="N1240" s="616"/>
      <c r="O1240" s="616"/>
      <c r="P1240" s="615"/>
      <c r="Q1240" s="616"/>
      <c r="R1240" s="663"/>
      <c r="S1240" s="459"/>
      <c r="T1240" s="459"/>
      <c r="U1240" s="459"/>
      <c r="V1240" s="459"/>
      <c r="W1240" s="459"/>
      <c r="X1240" s="459"/>
      <c r="Y1240" s="666"/>
      <c r="Z1240" s="664"/>
      <c r="AA1240" s="665"/>
      <c r="AB1240" s="665"/>
      <c r="AC1240" s="665"/>
      <c r="AD1240" s="665"/>
      <c r="AE1240" s="665"/>
      <c r="AF1240" s="649"/>
      <c r="AG1240" s="650"/>
      <c r="AH1240" s="650"/>
      <c r="AI1240" s="667"/>
    </row>
    <row r="1241" spans="12:35" ht="45" customHeight="1" thickBot="1" x14ac:dyDescent="0.25">
      <c r="L1241" s="645"/>
      <c r="M1241" s="616"/>
      <c r="N1241" s="616"/>
      <c r="O1241" s="616"/>
      <c r="P1241" s="615"/>
      <c r="Q1241" s="616"/>
      <c r="R1241" s="663"/>
      <c r="S1241" s="459"/>
      <c r="T1241" s="459"/>
      <c r="U1241" s="459"/>
      <c r="V1241" s="459"/>
      <c r="W1241" s="459"/>
      <c r="X1241" s="459"/>
      <c r="Y1241" s="666"/>
      <c r="Z1241" s="664"/>
      <c r="AA1241" s="665"/>
      <c r="AB1241" s="665"/>
      <c r="AC1241" s="665"/>
      <c r="AD1241" s="665"/>
      <c r="AE1241" s="665"/>
      <c r="AF1241" s="649"/>
      <c r="AG1241" s="650"/>
      <c r="AH1241" s="650"/>
      <c r="AI1241" s="667"/>
    </row>
    <row r="1242" spans="12:35" ht="45" customHeight="1" thickBot="1" x14ac:dyDescent="0.25">
      <c r="L1242" s="645"/>
      <c r="M1242" s="616"/>
      <c r="N1242" s="616"/>
      <c r="O1242" s="616"/>
      <c r="P1242" s="615"/>
      <c r="Q1242" s="616"/>
      <c r="R1242" s="663"/>
      <c r="S1242" s="459"/>
      <c r="T1242" s="459"/>
      <c r="U1242" s="459"/>
      <c r="V1242" s="459"/>
      <c r="W1242" s="459"/>
      <c r="X1242" s="459"/>
      <c r="Y1242" s="666"/>
      <c r="Z1242" s="664"/>
      <c r="AA1242" s="665"/>
      <c r="AB1242" s="665"/>
      <c r="AC1242" s="665"/>
      <c r="AD1242" s="665"/>
      <c r="AE1242" s="665"/>
      <c r="AF1242" s="649"/>
      <c r="AG1242" s="650"/>
      <c r="AH1242" s="650"/>
      <c r="AI1242" s="667"/>
    </row>
    <row r="1243" spans="12:35" ht="45" customHeight="1" thickBot="1" x14ac:dyDescent="0.25">
      <c r="L1243" s="645"/>
      <c r="M1243" s="616"/>
      <c r="N1243" s="616"/>
      <c r="O1243" s="616"/>
      <c r="P1243" s="615"/>
      <c r="Q1243" s="616"/>
      <c r="R1243" s="663"/>
      <c r="S1243" s="459"/>
      <c r="T1243" s="459"/>
      <c r="U1243" s="459"/>
      <c r="V1243" s="459"/>
      <c r="W1243" s="459"/>
      <c r="X1243" s="459"/>
      <c r="Y1243" s="666"/>
      <c r="Z1243" s="664"/>
      <c r="AA1243" s="665"/>
      <c r="AB1243" s="665"/>
      <c r="AC1243" s="665"/>
      <c r="AD1243" s="665"/>
      <c r="AE1243" s="665"/>
      <c r="AF1243" s="649"/>
      <c r="AG1243" s="650"/>
      <c r="AH1243" s="650"/>
      <c r="AI1243" s="667"/>
    </row>
    <row r="1244" spans="12:35" ht="45" customHeight="1" thickBot="1" x14ac:dyDescent="0.25">
      <c r="L1244" s="645"/>
      <c r="M1244" s="616"/>
      <c r="N1244" s="616"/>
      <c r="O1244" s="616"/>
      <c r="P1244" s="615"/>
      <c r="Q1244" s="616"/>
      <c r="R1244" s="663"/>
      <c r="S1244" s="459"/>
      <c r="T1244" s="459"/>
      <c r="U1244" s="459"/>
      <c r="V1244" s="459"/>
      <c r="W1244" s="459"/>
      <c r="X1244" s="459"/>
      <c r="Y1244" s="666"/>
      <c r="Z1244" s="664"/>
      <c r="AA1244" s="665"/>
      <c r="AB1244" s="665"/>
      <c r="AC1244" s="665"/>
      <c r="AD1244" s="665"/>
      <c r="AE1244" s="665"/>
      <c r="AF1244" s="649"/>
      <c r="AG1244" s="650"/>
      <c r="AH1244" s="650"/>
      <c r="AI1244" s="667"/>
    </row>
    <row r="1245" spans="12:35" ht="45" customHeight="1" thickBot="1" x14ac:dyDescent="0.25">
      <c r="L1245" s="645"/>
      <c r="M1245" s="616"/>
      <c r="N1245" s="616"/>
      <c r="O1245" s="616"/>
      <c r="P1245" s="615"/>
      <c r="Q1245" s="616"/>
      <c r="R1245" s="663"/>
      <c r="S1245" s="459"/>
      <c r="T1245" s="459"/>
      <c r="U1245" s="459"/>
      <c r="V1245" s="459"/>
      <c r="W1245" s="459"/>
      <c r="X1245" s="459"/>
      <c r="Y1245" s="666"/>
      <c r="Z1245" s="664"/>
      <c r="AA1245" s="665"/>
      <c r="AB1245" s="665"/>
      <c r="AC1245" s="665"/>
      <c r="AD1245" s="665"/>
      <c r="AE1245" s="665"/>
      <c r="AF1245" s="649"/>
      <c r="AG1245" s="650"/>
      <c r="AH1245" s="650"/>
      <c r="AI1245" s="667"/>
    </row>
    <row r="1246" spans="12:35" ht="45" customHeight="1" thickBot="1" x14ac:dyDescent="0.25">
      <c r="L1246" s="645"/>
      <c r="M1246" s="616"/>
      <c r="N1246" s="616"/>
      <c r="O1246" s="616"/>
      <c r="P1246" s="615"/>
      <c r="Q1246" s="616"/>
      <c r="R1246" s="663"/>
      <c r="S1246" s="459"/>
      <c r="T1246" s="459"/>
      <c r="U1246" s="459"/>
      <c r="V1246" s="459"/>
      <c r="W1246" s="459"/>
      <c r="X1246" s="459"/>
      <c r="Y1246" s="666"/>
      <c r="Z1246" s="664"/>
      <c r="AA1246" s="665"/>
      <c r="AB1246" s="665"/>
      <c r="AC1246" s="665"/>
      <c r="AD1246" s="665"/>
      <c r="AE1246" s="665"/>
      <c r="AF1246" s="649"/>
      <c r="AG1246" s="650"/>
      <c r="AH1246" s="650"/>
      <c r="AI1246" s="667"/>
    </row>
    <row r="1247" spans="12:35" ht="45" customHeight="1" thickBot="1" x14ac:dyDescent="0.25">
      <c r="L1247" s="645"/>
      <c r="M1247" s="616"/>
      <c r="N1247" s="616"/>
      <c r="O1247" s="616"/>
      <c r="P1247" s="615"/>
      <c r="Q1247" s="616"/>
      <c r="R1247" s="663"/>
      <c r="S1247" s="459"/>
      <c r="T1247" s="459"/>
      <c r="U1247" s="459"/>
      <c r="V1247" s="459"/>
      <c r="W1247" s="459"/>
      <c r="X1247" s="459"/>
      <c r="Y1247" s="666"/>
      <c r="Z1247" s="664"/>
      <c r="AA1247" s="665"/>
      <c r="AB1247" s="665"/>
      <c r="AC1247" s="665"/>
      <c r="AD1247" s="665"/>
      <c r="AE1247" s="665"/>
      <c r="AF1247" s="649"/>
      <c r="AG1247" s="650"/>
      <c r="AH1247" s="650"/>
      <c r="AI1247" s="667"/>
    </row>
    <row r="1248" spans="12:35" ht="45" customHeight="1" thickBot="1" x14ac:dyDescent="0.25">
      <c r="L1248" s="645"/>
      <c r="M1248" s="616"/>
      <c r="N1248" s="616"/>
      <c r="O1248" s="616"/>
      <c r="P1248" s="615"/>
      <c r="Q1248" s="616"/>
      <c r="R1248" s="663"/>
      <c r="S1248" s="459"/>
      <c r="T1248" s="459"/>
      <c r="U1248" s="459"/>
      <c r="V1248" s="459"/>
      <c r="W1248" s="459"/>
      <c r="X1248" s="459"/>
      <c r="Y1248" s="666"/>
      <c r="Z1248" s="664"/>
      <c r="AA1248" s="665"/>
      <c r="AB1248" s="665"/>
      <c r="AC1248" s="665"/>
      <c r="AD1248" s="665"/>
      <c r="AE1248" s="665"/>
      <c r="AF1248" s="649"/>
      <c r="AG1248" s="650"/>
      <c r="AH1248" s="650"/>
      <c r="AI1248" s="667"/>
    </row>
    <row r="1249" spans="12:35" ht="45" customHeight="1" thickBot="1" x14ac:dyDescent="0.25">
      <c r="L1249" s="645"/>
      <c r="M1249" s="616"/>
      <c r="N1249" s="616"/>
      <c r="O1249" s="616"/>
      <c r="P1249" s="615"/>
      <c r="Q1249" s="616"/>
      <c r="R1249" s="663"/>
      <c r="S1249" s="459"/>
      <c r="T1249" s="459"/>
      <c r="U1249" s="459"/>
      <c r="V1249" s="459"/>
      <c r="W1249" s="459"/>
      <c r="X1249" s="459"/>
      <c r="Y1249" s="666"/>
      <c r="Z1249" s="664"/>
      <c r="AA1249" s="665"/>
      <c r="AB1249" s="665"/>
      <c r="AC1249" s="665"/>
      <c r="AD1249" s="665"/>
      <c r="AE1249" s="665"/>
      <c r="AF1249" s="649"/>
      <c r="AG1249" s="650"/>
      <c r="AH1249" s="650"/>
      <c r="AI1249" s="667"/>
    </row>
    <row r="1250" spans="12:35" ht="45" customHeight="1" thickBot="1" x14ac:dyDescent="0.25">
      <c r="L1250" s="645"/>
      <c r="M1250" s="616"/>
      <c r="N1250" s="616"/>
      <c r="O1250" s="616"/>
      <c r="P1250" s="615"/>
      <c r="Q1250" s="616"/>
      <c r="R1250" s="663"/>
      <c r="S1250" s="459"/>
      <c r="T1250" s="459"/>
      <c r="U1250" s="459"/>
      <c r="V1250" s="459"/>
      <c r="W1250" s="459"/>
      <c r="X1250" s="459"/>
      <c r="Y1250" s="666"/>
      <c r="Z1250" s="664"/>
      <c r="AA1250" s="665"/>
      <c r="AB1250" s="665"/>
      <c r="AC1250" s="665"/>
      <c r="AD1250" s="665"/>
      <c r="AE1250" s="665"/>
      <c r="AF1250" s="649"/>
      <c r="AG1250" s="650"/>
      <c r="AH1250" s="650"/>
      <c r="AI1250" s="667"/>
    </row>
    <row r="1251" spans="12:35" ht="45" customHeight="1" thickBot="1" x14ac:dyDescent="0.25">
      <c r="L1251" s="645"/>
      <c r="M1251" s="616"/>
      <c r="N1251" s="616"/>
      <c r="O1251" s="616"/>
      <c r="P1251" s="615"/>
      <c r="Q1251" s="616"/>
      <c r="R1251" s="663"/>
      <c r="S1251" s="459"/>
      <c r="T1251" s="459"/>
      <c r="U1251" s="459"/>
      <c r="V1251" s="459"/>
      <c r="W1251" s="459"/>
      <c r="X1251" s="459"/>
      <c r="Y1251" s="666"/>
      <c r="Z1251" s="664"/>
      <c r="AA1251" s="665"/>
      <c r="AB1251" s="665"/>
      <c r="AC1251" s="665"/>
      <c r="AD1251" s="665"/>
      <c r="AE1251" s="665"/>
      <c r="AF1251" s="649"/>
      <c r="AG1251" s="650"/>
      <c r="AH1251" s="650"/>
      <c r="AI1251" s="667"/>
    </row>
    <row r="1252" spans="12:35" ht="45" customHeight="1" thickBot="1" x14ac:dyDescent="0.25">
      <c r="L1252" s="645"/>
      <c r="M1252" s="616"/>
      <c r="N1252" s="616"/>
      <c r="O1252" s="616"/>
      <c r="P1252" s="615"/>
      <c r="Q1252" s="616"/>
      <c r="R1252" s="663"/>
      <c r="S1252" s="459"/>
      <c r="T1252" s="459"/>
      <c r="U1252" s="459"/>
      <c r="V1252" s="459"/>
      <c r="W1252" s="459"/>
      <c r="X1252" s="459"/>
      <c r="Y1252" s="666"/>
      <c r="Z1252" s="664"/>
      <c r="AA1252" s="665"/>
      <c r="AB1252" s="665"/>
      <c r="AC1252" s="665"/>
      <c r="AD1252" s="665"/>
      <c r="AE1252" s="665"/>
      <c r="AF1252" s="649"/>
      <c r="AG1252" s="650"/>
      <c r="AH1252" s="650"/>
      <c r="AI1252" s="667"/>
    </row>
    <row r="1253" spans="12:35" ht="45" customHeight="1" thickBot="1" x14ac:dyDescent="0.25">
      <c r="L1253" s="645"/>
      <c r="M1253" s="616"/>
      <c r="N1253" s="616"/>
      <c r="O1253" s="616"/>
      <c r="P1253" s="615"/>
      <c r="Q1253" s="616"/>
      <c r="R1253" s="663"/>
      <c r="S1253" s="459"/>
      <c r="T1253" s="459"/>
      <c r="U1253" s="459"/>
      <c r="V1253" s="459"/>
      <c r="W1253" s="459"/>
      <c r="X1253" s="459"/>
      <c r="Y1253" s="666"/>
      <c r="Z1253" s="664"/>
      <c r="AA1253" s="665"/>
      <c r="AB1253" s="665"/>
      <c r="AC1253" s="665"/>
      <c r="AD1253" s="665"/>
      <c r="AE1253" s="665"/>
      <c r="AF1253" s="649"/>
      <c r="AG1253" s="650"/>
      <c r="AH1253" s="650"/>
      <c r="AI1253" s="667"/>
    </row>
    <row r="1254" spans="12:35" ht="45" customHeight="1" thickBot="1" x14ac:dyDescent="0.25">
      <c r="L1254" s="645"/>
      <c r="M1254" s="616"/>
      <c r="N1254" s="616"/>
      <c r="O1254" s="616"/>
      <c r="P1254" s="615"/>
      <c r="Q1254" s="616"/>
      <c r="R1254" s="663"/>
      <c r="S1254" s="459"/>
      <c r="T1254" s="459"/>
      <c r="U1254" s="459"/>
      <c r="V1254" s="459"/>
      <c r="W1254" s="459"/>
      <c r="X1254" s="459"/>
      <c r="Y1254" s="666"/>
      <c r="Z1254" s="664"/>
      <c r="AA1254" s="665"/>
      <c r="AB1254" s="665"/>
      <c r="AC1254" s="665"/>
      <c r="AD1254" s="665"/>
      <c r="AE1254" s="665"/>
      <c r="AF1254" s="649"/>
      <c r="AG1254" s="650"/>
      <c r="AH1254" s="650"/>
      <c r="AI1254" s="667"/>
    </row>
    <row r="1255" spans="12:35" ht="45" customHeight="1" thickBot="1" x14ac:dyDescent="0.25">
      <c r="L1255" s="645"/>
      <c r="M1255" s="616"/>
      <c r="N1255" s="616"/>
      <c r="O1255" s="616"/>
      <c r="P1255" s="615"/>
      <c r="Q1255" s="616"/>
      <c r="R1255" s="663"/>
      <c r="S1255" s="459"/>
      <c r="T1255" s="459"/>
      <c r="U1255" s="459"/>
      <c r="V1255" s="459"/>
      <c r="W1255" s="459"/>
      <c r="X1255" s="459"/>
      <c r="Y1255" s="666"/>
      <c r="Z1255" s="664"/>
      <c r="AA1255" s="665"/>
      <c r="AB1255" s="665"/>
      <c r="AC1255" s="665"/>
      <c r="AD1255" s="665"/>
      <c r="AE1255" s="665"/>
      <c r="AF1255" s="649"/>
      <c r="AG1255" s="650"/>
      <c r="AH1255" s="650"/>
      <c r="AI1255" s="667"/>
    </row>
    <row r="1256" spans="12:35" ht="45" customHeight="1" thickBot="1" x14ac:dyDescent="0.25">
      <c r="L1256" s="645"/>
      <c r="M1256" s="616"/>
      <c r="N1256" s="616"/>
      <c r="O1256" s="616"/>
      <c r="P1256" s="615"/>
      <c r="Q1256" s="616"/>
      <c r="R1256" s="663"/>
      <c r="S1256" s="459"/>
      <c r="T1256" s="459"/>
      <c r="U1256" s="459"/>
      <c r="V1256" s="459"/>
      <c r="W1256" s="459"/>
      <c r="X1256" s="459"/>
      <c r="Y1256" s="666"/>
      <c r="Z1256" s="664"/>
      <c r="AA1256" s="665"/>
      <c r="AB1256" s="665"/>
      <c r="AC1256" s="665"/>
      <c r="AD1256" s="665"/>
      <c r="AE1256" s="665"/>
      <c r="AF1256" s="649"/>
      <c r="AG1256" s="650"/>
      <c r="AH1256" s="650"/>
      <c r="AI1256" s="667"/>
    </row>
    <row r="1257" spans="12:35" ht="45" customHeight="1" thickBot="1" x14ac:dyDescent="0.25">
      <c r="L1257" s="645"/>
      <c r="M1257" s="616"/>
      <c r="N1257" s="616"/>
      <c r="O1257" s="616"/>
      <c r="P1257" s="615"/>
      <c r="Q1257" s="616"/>
      <c r="R1257" s="663"/>
      <c r="S1257" s="459"/>
      <c r="T1257" s="459"/>
      <c r="U1257" s="459"/>
      <c r="V1257" s="459"/>
      <c r="W1257" s="459"/>
      <c r="X1257" s="459"/>
      <c r="Y1257" s="666"/>
      <c r="Z1257" s="664"/>
      <c r="AA1257" s="665"/>
      <c r="AB1257" s="665"/>
      <c r="AC1257" s="665"/>
      <c r="AD1257" s="665"/>
      <c r="AE1257" s="665"/>
      <c r="AF1257" s="649"/>
      <c r="AG1257" s="650"/>
      <c r="AH1257" s="650"/>
      <c r="AI1257" s="667"/>
    </row>
    <row r="1258" spans="12:35" ht="45" customHeight="1" thickBot="1" x14ac:dyDescent="0.25">
      <c r="L1258" s="645"/>
      <c r="M1258" s="616"/>
      <c r="N1258" s="616"/>
      <c r="O1258" s="616"/>
      <c r="P1258" s="615"/>
      <c r="Q1258" s="616"/>
      <c r="R1258" s="663"/>
      <c r="S1258" s="459"/>
      <c r="T1258" s="459"/>
      <c r="U1258" s="459"/>
      <c r="V1258" s="459"/>
      <c r="W1258" s="459"/>
      <c r="X1258" s="459"/>
      <c r="Y1258" s="666"/>
      <c r="Z1258" s="664"/>
      <c r="AA1258" s="665"/>
      <c r="AB1258" s="665"/>
      <c r="AC1258" s="665"/>
      <c r="AD1258" s="665"/>
      <c r="AE1258" s="665"/>
      <c r="AF1258" s="649"/>
      <c r="AG1258" s="650"/>
      <c r="AH1258" s="650"/>
      <c r="AI1258" s="667"/>
    </row>
    <row r="1259" spans="12:35" ht="45" customHeight="1" thickBot="1" x14ac:dyDescent="0.25">
      <c r="L1259" s="645"/>
      <c r="M1259" s="616"/>
      <c r="N1259" s="616"/>
      <c r="O1259" s="616"/>
      <c r="P1259" s="615"/>
      <c r="Q1259" s="616"/>
      <c r="R1259" s="663"/>
      <c r="S1259" s="459"/>
      <c r="T1259" s="459"/>
      <c r="U1259" s="459"/>
      <c r="V1259" s="459"/>
      <c r="W1259" s="459"/>
      <c r="X1259" s="459"/>
      <c r="Y1259" s="666"/>
      <c r="Z1259" s="664"/>
      <c r="AA1259" s="665"/>
      <c r="AB1259" s="665"/>
      <c r="AC1259" s="665"/>
      <c r="AD1259" s="665"/>
      <c r="AE1259" s="665"/>
      <c r="AF1259" s="649"/>
      <c r="AG1259" s="650"/>
      <c r="AH1259" s="650"/>
      <c r="AI1259" s="667"/>
    </row>
    <row r="1260" spans="12:35" ht="45" customHeight="1" thickBot="1" x14ac:dyDescent="0.25">
      <c r="L1260" s="645"/>
      <c r="M1260" s="616"/>
      <c r="N1260" s="616"/>
      <c r="O1260" s="616"/>
      <c r="P1260" s="615"/>
      <c r="Q1260" s="616"/>
      <c r="R1260" s="663"/>
      <c r="S1260" s="459"/>
      <c r="T1260" s="459"/>
      <c r="U1260" s="459"/>
      <c r="V1260" s="459"/>
      <c r="W1260" s="459"/>
      <c r="X1260" s="459"/>
      <c r="Y1260" s="666"/>
      <c r="Z1260" s="664"/>
      <c r="AA1260" s="665"/>
      <c r="AB1260" s="665"/>
      <c r="AC1260" s="665"/>
      <c r="AD1260" s="665"/>
      <c r="AE1260" s="665"/>
      <c r="AF1260" s="649"/>
      <c r="AG1260" s="650"/>
      <c r="AH1260" s="650"/>
      <c r="AI1260" s="667"/>
    </row>
    <row r="1261" spans="12:35" ht="45" customHeight="1" thickBot="1" x14ac:dyDescent="0.25">
      <c r="L1261" s="645"/>
      <c r="M1261" s="616"/>
      <c r="N1261" s="616"/>
      <c r="O1261" s="616"/>
      <c r="P1261" s="615"/>
      <c r="Q1261" s="616"/>
      <c r="R1261" s="663"/>
      <c r="S1261" s="459"/>
      <c r="T1261" s="459"/>
      <c r="U1261" s="459"/>
      <c r="V1261" s="459"/>
      <c r="W1261" s="459"/>
      <c r="X1261" s="459"/>
      <c r="Y1261" s="666"/>
      <c r="Z1261" s="664"/>
      <c r="AA1261" s="665"/>
      <c r="AB1261" s="665"/>
      <c r="AC1261" s="665"/>
      <c r="AD1261" s="665"/>
      <c r="AE1261" s="665"/>
      <c r="AF1261" s="649"/>
      <c r="AG1261" s="650"/>
      <c r="AH1261" s="650"/>
      <c r="AI1261" s="667"/>
    </row>
    <row r="1262" spans="12:35" ht="45" customHeight="1" thickBot="1" x14ac:dyDescent="0.25">
      <c r="L1262" s="645"/>
      <c r="M1262" s="616"/>
      <c r="N1262" s="616"/>
      <c r="O1262" s="616"/>
      <c r="P1262" s="615"/>
      <c r="Q1262" s="616"/>
      <c r="R1262" s="663"/>
      <c r="S1262" s="459"/>
      <c r="T1262" s="459"/>
      <c r="U1262" s="459"/>
      <c r="V1262" s="459"/>
      <c r="W1262" s="459"/>
      <c r="X1262" s="459"/>
      <c r="Y1262" s="666"/>
      <c r="Z1262" s="664"/>
      <c r="AA1262" s="665"/>
      <c r="AB1262" s="665"/>
      <c r="AC1262" s="665"/>
      <c r="AD1262" s="665"/>
      <c r="AE1262" s="665"/>
      <c r="AF1262" s="649"/>
      <c r="AG1262" s="650"/>
      <c r="AH1262" s="650"/>
      <c r="AI1262" s="667"/>
    </row>
    <row r="1263" spans="12:35" ht="45" customHeight="1" thickBot="1" x14ac:dyDescent="0.25">
      <c r="L1263" s="645"/>
      <c r="M1263" s="616"/>
      <c r="N1263" s="616"/>
      <c r="O1263" s="616"/>
      <c r="P1263" s="615"/>
      <c r="Q1263" s="616"/>
      <c r="R1263" s="663"/>
      <c r="S1263" s="459"/>
      <c r="T1263" s="459"/>
      <c r="U1263" s="459"/>
      <c r="V1263" s="459"/>
      <c r="W1263" s="459"/>
      <c r="X1263" s="459"/>
      <c r="Y1263" s="666"/>
      <c r="Z1263" s="664"/>
      <c r="AA1263" s="665"/>
      <c r="AB1263" s="665"/>
      <c r="AC1263" s="665"/>
      <c r="AD1263" s="665"/>
      <c r="AE1263" s="665"/>
      <c r="AF1263" s="649"/>
      <c r="AG1263" s="650"/>
      <c r="AH1263" s="650"/>
      <c r="AI1263" s="667"/>
    </row>
    <row r="1264" spans="12:35" ht="45" customHeight="1" thickBot="1" x14ac:dyDescent="0.25">
      <c r="L1264" s="645"/>
      <c r="M1264" s="616"/>
      <c r="N1264" s="616"/>
      <c r="O1264" s="616"/>
      <c r="P1264" s="615"/>
      <c r="Q1264" s="616"/>
      <c r="R1264" s="663"/>
      <c r="S1264" s="459"/>
      <c r="T1264" s="459"/>
      <c r="U1264" s="459"/>
      <c r="V1264" s="459"/>
      <c r="W1264" s="459"/>
      <c r="X1264" s="459"/>
      <c r="Y1264" s="666"/>
      <c r="Z1264" s="664"/>
      <c r="AA1264" s="665"/>
      <c r="AB1264" s="665"/>
      <c r="AC1264" s="665"/>
      <c r="AD1264" s="665"/>
      <c r="AE1264" s="665"/>
      <c r="AF1264" s="649"/>
      <c r="AG1264" s="650"/>
      <c r="AH1264" s="650"/>
      <c r="AI1264" s="667"/>
    </row>
    <row r="1265" spans="12:35" ht="45" customHeight="1" thickBot="1" x14ac:dyDescent="0.25">
      <c r="L1265" s="645"/>
      <c r="M1265" s="616"/>
      <c r="N1265" s="616"/>
      <c r="O1265" s="616"/>
      <c r="P1265" s="615"/>
      <c r="Q1265" s="616"/>
      <c r="R1265" s="663"/>
      <c r="S1265" s="459"/>
      <c r="T1265" s="459"/>
      <c r="U1265" s="459"/>
      <c r="V1265" s="459"/>
      <c r="W1265" s="459"/>
      <c r="X1265" s="459"/>
      <c r="Y1265" s="666"/>
      <c r="Z1265" s="664"/>
      <c r="AA1265" s="665"/>
      <c r="AB1265" s="665"/>
      <c r="AC1265" s="665"/>
      <c r="AD1265" s="665"/>
      <c r="AE1265" s="665"/>
      <c r="AF1265" s="649"/>
      <c r="AG1265" s="650"/>
      <c r="AH1265" s="650"/>
      <c r="AI1265" s="667"/>
    </row>
    <row r="1266" spans="12:35" ht="45" customHeight="1" thickBot="1" x14ac:dyDescent="0.25">
      <c r="L1266" s="645"/>
      <c r="M1266" s="616"/>
      <c r="N1266" s="616"/>
      <c r="O1266" s="616"/>
      <c r="P1266" s="615"/>
      <c r="Q1266" s="616"/>
      <c r="R1266" s="663"/>
      <c r="S1266" s="459"/>
      <c r="T1266" s="459"/>
      <c r="U1266" s="459"/>
      <c r="V1266" s="459"/>
      <c r="W1266" s="459"/>
      <c r="X1266" s="459"/>
      <c r="Y1266" s="666"/>
      <c r="Z1266" s="664"/>
      <c r="AA1266" s="665"/>
      <c r="AB1266" s="665"/>
      <c r="AC1266" s="665"/>
      <c r="AD1266" s="665"/>
      <c r="AE1266" s="665"/>
      <c r="AF1266" s="649"/>
      <c r="AG1266" s="650"/>
      <c r="AH1266" s="650"/>
      <c r="AI1266" s="667"/>
    </row>
    <row r="1267" spans="12:35" ht="45" customHeight="1" thickBot="1" x14ac:dyDescent="0.25">
      <c r="L1267" s="645"/>
      <c r="M1267" s="616"/>
      <c r="N1267" s="616"/>
      <c r="O1267" s="616"/>
      <c r="P1267" s="615"/>
      <c r="Q1267" s="616"/>
      <c r="R1267" s="663"/>
      <c r="S1267" s="459"/>
      <c r="T1267" s="459"/>
      <c r="U1267" s="459"/>
      <c r="V1267" s="459"/>
      <c r="W1267" s="459"/>
      <c r="X1267" s="459"/>
      <c r="Y1267" s="666"/>
      <c r="Z1267" s="664"/>
      <c r="AA1267" s="665"/>
      <c r="AB1267" s="665"/>
      <c r="AC1267" s="665"/>
      <c r="AD1267" s="665"/>
      <c r="AE1267" s="665"/>
      <c r="AF1267" s="649"/>
      <c r="AG1267" s="650"/>
      <c r="AH1267" s="650"/>
      <c r="AI1267" s="667"/>
    </row>
    <row r="1268" spans="12:35" ht="45" customHeight="1" thickBot="1" x14ac:dyDescent="0.25">
      <c r="L1268" s="645"/>
      <c r="M1268" s="616"/>
      <c r="N1268" s="616"/>
      <c r="O1268" s="616"/>
      <c r="P1268" s="615"/>
      <c r="Q1268" s="616"/>
      <c r="R1268" s="663"/>
      <c r="S1268" s="459"/>
      <c r="T1268" s="459"/>
      <c r="U1268" s="459"/>
      <c r="V1268" s="459"/>
      <c r="W1268" s="459"/>
      <c r="X1268" s="459"/>
      <c r="Y1268" s="666"/>
      <c r="Z1268" s="664"/>
      <c r="AA1268" s="665"/>
      <c r="AB1268" s="665"/>
      <c r="AC1268" s="665"/>
      <c r="AD1268" s="665"/>
      <c r="AE1268" s="665"/>
      <c r="AF1268" s="649"/>
      <c r="AG1268" s="650"/>
      <c r="AH1268" s="650"/>
      <c r="AI1268" s="667"/>
    </row>
    <row r="1269" spans="12:35" ht="45" customHeight="1" thickBot="1" x14ac:dyDescent="0.25">
      <c r="L1269" s="645"/>
      <c r="M1269" s="616"/>
      <c r="N1269" s="616"/>
      <c r="O1269" s="616"/>
      <c r="P1269" s="615"/>
      <c r="Q1269" s="616"/>
      <c r="R1269" s="663"/>
      <c r="S1269" s="459"/>
      <c r="T1269" s="459"/>
      <c r="U1269" s="459"/>
      <c r="V1269" s="459"/>
      <c r="W1269" s="459"/>
      <c r="X1269" s="459"/>
      <c r="Y1269" s="666"/>
      <c r="Z1269" s="664"/>
      <c r="AA1269" s="665"/>
      <c r="AB1269" s="665"/>
      <c r="AC1269" s="665"/>
      <c r="AD1269" s="665"/>
      <c r="AE1269" s="665"/>
      <c r="AF1269" s="649"/>
      <c r="AG1269" s="650"/>
      <c r="AH1269" s="650"/>
      <c r="AI1269" s="667"/>
    </row>
    <row r="1270" spans="12:35" ht="45" customHeight="1" thickBot="1" x14ac:dyDescent="0.25">
      <c r="L1270" s="645"/>
      <c r="M1270" s="616"/>
      <c r="N1270" s="616"/>
      <c r="O1270" s="616"/>
      <c r="P1270" s="615"/>
      <c r="Q1270" s="616"/>
      <c r="R1270" s="663"/>
      <c r="S1270" s="459"/>
      <c r="T1270" s="459"/>
      <c r="U1270" s="459"/>
      <c r="V1270" s="459"/>
      <c r="W1270" s="459"/>
      <c r="X1270" s="459"/>
      <c r="Y1270" s="666"/>
      <c r="Z1270" s="664"/>
      <c r="AA1270" s="665"/>
      <c r="AB1270" s="665"/>
      <c r="AC1270" s="665"/>
      <c r="AD1270" s="665"/>
      <c r="AE1270" s="665"/>
      <c r="AF1270" s="649"/>
      <c r="AG1270" s="650"/>
      <c r="AH1270" s="650"/>
      <c r="AI1270" s="667"/>
    </row>
    <row r="1271" spans="12:35" ht="45" customHeight="1" thickBot="1" x14ac:dyDescent="0.25">
      <c r="L1271" s="645"/>
      <c r="M1271" s="616"/>
      <c r="N1271" s="616"/>
      <c r="O1271" s="616"/>
      <c r="P1271" s="615"/>
      <c r="Q1271" s="616"/>
      <c r="R1271" s="663"/>
      <c r="S1271" s="459"/>
      <c r="T1271" s="459"/>
      <c r="U1271" s="459"/>
      <c r="V1271" s="459"/>
      <c r="W1271" s="459"/>
      <c r="X1271" s="459"/>
      <c r="Y1271" s="666"/>
      <c r="Z1271" s="664"/>
      <c r="AA1271" s="665"/>
      <c r="AB1271" s="665"/>
      <c r="AC1271" s="665"/>
      <c r="AD1271" s="665"/>
      <c r="AE1271" s="665"/>
      <c r="AF1271" s="649"/>
      <c r="AG1271" s="650"/>
      <c r="AH1271" s="650"/>
      <c r="AI1271" s="667"/>
    </row>
    <row r="1272" spans="12:35" ht="45" customHeight="1" thickBot="1" x14ac:dyDescent="0.25">
      <c r="L1272" s="645"/>
      <c r="M1272" s="616"/>
      <c r="N1272" s="616"/>
      <c r="O1272" s="616"/>
      <c r="P1272" s="615"/>
      <c r="Q1272" s="616"/>
      <c r="R1272" s="663"/>
      <c r="S1272" s="459"/>
      <c r="T1272" s="459"/>
      <c r="U1272" s="459"/>
      <c r="V1272" s="459"/>
      <c r="W1272" s="459"/>
      <c r="X1272" s="459"/>
      <c r="Y1272" s="666"/>
      <c r="Z1272" s="664"/>
      <c r="AA1272" s="665"/>
      <c r="AB1272" s="665"/>
      <c r="AC1272" s="665"/>
      <c r="AD1272" s="665"/>
      <c r="AE1272" s="665"/>
      <c r="AF1272" s="649"/>
      <c r="AG1272" s="650"/>
      <c r="AH1272" s="650"/>
      <c r="AI1272" s="667"/>
    </row>
    <row r="1273" spans="12:35" ht="45" customHeight="1" thickBot="1" x14ac:dyDescent="0.25">
      <c r="L1273" s="645"/>
      <c r="M1273" s="616"/>
      <c r="N1273" s="616"/>
      <c r="O1273" s="616"/>
      <c r="P1273" s="615"/>
      <c r="Q1273" s="616"/>
      <c r="R1273" s="663"/>
      <c r="S1273" s="459"/>
      <c r="T1273" s="459"/>
      <c r="U1273" s="459"/>
      <c r="V1273" s="459"/>
      <c r="W1273" s="459"/>
      <c r="X1273" s="459"/>
      <c r="Y1273" s="666"/>
      <c r="Z1273" s="664"/>
      <c r="AA1273" s="665"/>
      <c r="AB1273" s="665"/>
      <c r="AC1273" s="665"/>
      <c r="AD1273" s="665"/>
      <c r="AE1273" s="665"/>
      <c r="AF1273" s="649"/>
      <c r="AG1273" s="650"/>
      <c r="AH1273" s="650"/>
      <c r="AI1273" s="667"/>
    </row>
    <row r="1274" spans="12:35" ht="45" customHeight="1" thickBot="1" x14ac:dyDescent="0.25">
      <c r="L1274" s="645"/>
      <c r="M1274" s="616"/>
      <c r="N1274" s="616"/>
      <c r="O1274" s="616"/>
      <c r="P1274" s="615"/>
      <c r="Q1274" s="616"/>
      <c r="R1274" s="663"/>
      <c r="S1274" s="459"/>
      <c r="T1274" s="459"/>
      <c r="U1274" s="459"/>
      <c r="V1274" s="459"/>
      <c r="W1274" s="459"/>
      <c r="X1274" s="459"/>
      <c r="Y1274" s="666"/>
      <c r="Z1274" s="664"/>
      <c r="AA1274" s="665"/>
      <c r="AB1274" s="665"/>
      <c r="AC1274" s="665"/>
      <c r="AD1274" s="665"/>
      <c r="AE1274" s="665"/>
      <c r="AF1274" s="649"/>
      <c r="AG1274" s="650"/>
      <c r="AH1274" s="650"/>
      <c r="AI1274" s="667"/>
    </row>
    <row r="1275" spans="12:35" ht="45" customHeight="1" thickBot="1" x14ac:dyDescent="0.25">
      <c r="L1275" s="645"/>
      <c r="M1275" s="616"/>
      <c r="N1275" s="616"/>
      <c r="O1275" s="616"/>
      <c r="P1275" s="615"/>
      <c r="Q1275" s="616"/>
      <c r="R1275" s="663"/>
      <c r="S1275" s="459"/>
      <c r="T1275" s="459"/>
      <c r="U1275" s="459"/>
      <c r="V1275" s="459"/>
      <c r="W1275" s="459"/>
      <c r="X1275" s="459"/>
      <c r="Y1275" s="666"/>
      <c r="Z1275" s="664"/>
      <c r="AA1275" s="665"/>
      <c r="AB1275" s="665"/>
      <c r="AC1275" s="665"/>
      <c r="AD1275" s="665"/>
      <c r="AE1275" s="665"/>
      <c r="AF1275" s="649"/>
      <c r="AG1275" s="650"/>
      <c r="AH1275" s="650"/>
      <c r="AI1275" s="667"/>
    </row>
    <row r="1276" spans="12:35" ht="45" customHeight="1" thickBot="1" x14ac:dyDescent="0.25">
      <c r="L1276" s="645"/>
      <c r="M1276" s="616"/>
      <c r="N1276" s="616"/>
      <c r="O1276" s="616"/>
      <c r="P1276" s="615"/>
      <c r="Q1276" s="616"/>
      <c r="R1276" s="663"/>
      <c r="S1276" s="459"/>
      <c r="T1276" s="459"/>
      <c r="U1276" s="459"/>
      <c r="V1276" s="459"/>
      <c r="W1276" s="459"/>
      <c r="X1276" s="459"/>
      <c r="Y1276" s="666"/>
      <c r="Z1276" s="664"/>
      <c r="AA1276" s="665"/>
      <c r="AB1276" s="665"/>
      <c r="AC1276" s="665"/>
      <c r="AD1276" s="665"/>
      <c r="AE1276" s="665"/>
      <c r="AF1276" s="649"/>
      <c r="AG1276" s="650"/>
      <c r="AH1276" s="650"/>
      <c r="AI1276" s="667"/>
    </row>
    <row r="1277" spans="12:35" ht="45" customHeight="1" thickBot="1" x14ac:dyDescent="0.25">
      <c r="L1277" s="645"/>
      <c r="M1277" s="616"/>
      <c r="N1277" s="616"/>
      <c r="O1277" s="616"/>
      <c r="P1277" s="615"/>
      <c r="Q1277" s="616"/>
      <c r="R1277" s="663"/>
      <c r="S1277" s="459"/>
      <c r="T1277" s="459"/>
      <c r="U1277" s="459"/>
      <c r="V1277" s="459"/>
      <c r="W1277" s="459"/>
      <c r="X1277" s="459"/>
      <c r="Y1277" s="666"/>
      <c r="Z1277" s="664"/>
      <c r="AA1277" s="665"/>
      <c r="AB1277" s="665"/>
      <c r="AC1277" s="665"/>
      <c r="AD1277" s="665"/>
      <c r="AE1277" s="665"/>
      <c r="AF1277" s="649"/>
      <c r="AG1277" s="650"/>
      <c r="AH1277" s="650"/>
      <c r="AI1277" s="667"/>
    </row>
    <row r="1278" spans="12:35" ht="45" customHeight="1" thickBot="1" x14ac:dyDescent="0.25">
      <c r="L1278" s="645"/>
      <c r="M1278" s="616"/>
      <c r="N1278" s="616"/>
      <c r="O1278" s="616"/>
      <c r="P1278" s="615"/>
      <c r="Q1278" s="616"/>
      <c r="R1278" s="663"/>
      <c r="S1278" s="459"/>
      <c r="T1278" s="459"/>
      <c r="U1278" s="459"/>
      <c r="V1278" s="459"/>
      <c r="W1278" s="459"/>
      <c r="X1278" s="459"/>
      <c r="Y1278" s="666"/>
      <c r="Z1278" s="664"/>
      <c r="AA1278" s="665"/>
      <c r="AB1278" s="665"/>
      <c r="AC1278" s="665"/>
      <c r="AD1278" s="665"/>
      <c r="AE1278" s="665"/>
      <c r="AF1278" s="649"/>
      <c r="AG1278" s="650"/>
      <c r="AH1278" s="650"/>
      <c r="AI1278" s="667"/>
    </row>
    <row r="1279" spans="12:35" ht="45" customHeight="1" thickBot="1" x14ac:dyDescent="0.25">
      <c r="L1279" s="645"/>
      <c r="M1279" s="616"/>
      <c r="N1279" s="616"/>
      <c r="O1279" s="616"/>
      <c r="P1279" s="615"/>
      <c r="Q1279" s="616"/>
      <c r="R1279" s="663"/>
      <c r="S1279" s="459"/>
      <c r="T1279" s="459"/>
      <c r="U1279" s="459"/>
      <c r="V1279" s="459"/>
      <c r="W1279" s="459"/>
      <c r="X1279" s="459"/>
      <c r="Y1279" s="666"/>
      <c r="Z1279" s="664"/>
      <c r="AA1279" s="665"/>
      <c r="AB1279" s="665"/>
      <c r="AC1279" s="665"/>
      <c r="AD1279" s="665"/>
      <c r="AE1279" s="665"/>
      <c r="AF1279" s="649"/>
      <c r="AG1279" s="650"/>
      <c r="AH1279" s="650"/>
      <c r="AI1279" s="667"/>
    </row>
    <row r="1280" spans="12:35" ht="45" customHeight="1" thickBot="1" x14ac:dyDescent="0.25">
      <c r="L1280" s="645"/>
      <c r="M1280" s="616"/>
      <c r="N1280" s="616"/>
      <c r="O1280" s="616"/>
      <c r="P1280" s="615"/>
      <c r="Q1280" s="616"/>
      <c r="R1280" s="663"/>
      <c r="S1280" s="459"/>
      <c r="T1280" s="459"/>
      <c r="U1280" s="459"/>
      <c r="V1280" s="459"/>
      <c r="W1280" s="459"/>
      <c r="X1280" s="459"/>
      <c r="Y1280" s="666"/>
      <c r="Z1280" s="664"/>
      <c r="AA1280" s="665"/>
      <c r="AB1280" s="665"/>
      <c r="AC1280" s="665"/>
      <c r="AD1280" s="665"/>
      <c r="AE1280" s="665"/>
      <c r="AF1280" s="649"/>
      <c r="AG1280" s="650"/>
      <c r="AH1280" s="650"/>
      <c r="AI1280" s="667"/>
    </row>
    <row r="1281" spans="12:35" ht="45" customHeight="1" thickBot="1" x14ac:dyDescent="0.25">
      <c r="L1281" s="645"/>
      <c r="M1281" s="616"/>
      <c r="N1281" s="616"/>
      <c r="O1281" s="616"/>
      <c r="P1281" s="615"/>
      <c r="Q1281" s="616"/>
      <c r="R1281" s="663"/>
      <c r="S1281" s="459"/>
      <c r="T1281" s="459"/>
      <c r="U1281" s="459"/>
      <c r="V1281" s="459"/>
      <c r="W1281" s="459"/>
      <c r="X1281" s="459"/>
      <c r="Y1281" s="666"/>
      <c r="Z1281" s="664"/>
      <c r="AA1281" s="665"/>
      <c r="AB1281" s="665"/>
      <c r="AC1281" s="665"/>
      <c r="AD1281" s="665"/>
      <c r="AE1281" s="665"/>
      <c r="AF1281" s="649"/>
      <c r="AG1281" s="650"/>
      <c r="AH1281" s="650"/>
      <c r="AI1281" s="667"/>
    </row>
    <row r="1282" spans="12:35" ht="45" customHeight="1" thickBot="1" x14ac:dyDescent="0.25">
      <c r="L1282" s="645"/>
      <c r="M1282" s="616"/>
      <c r="N1282" s="616"/>
      <c r="O1282" s="616"/>
      <c r="P1282" s="615"/>
      <c r="Q1282" s="616"/>
      <c r="R1282" s="663"/>
      <c r="S1282" s="459"/>
      <c r="T1282" s="459"/>
      <c r="U1282" s="459"/>
      <c r="V1282" s="459"/>
      <c r="W1282" s="459"/>
      <c r="X1282" s="459"/>
      <c r="Y1282" s="666"/>
      <c r="Z1282" s="664"/>
      <c r="AA1282" s="665"/>
      <c r="AB1282" s="665"/>
      <c r="AC1282" s="665"/>
      <c r="AD1282" s="665"/>
      <c r="AE1282" s="665"/>
      <c r="AF1282" s="649"/>
      <c r="AG1282" s="650"/>
      <c r="AH1282" s="650"/>
      <c r="AI1282" s="667"/>
    </row>
    <row r="1283" spans="12:35" ht="45" customHeight="1" thickBot="1" x14ac:dyDescent="0.25">
      <c r="L1283" s="645"/>
      <c r="M1283" s="616"/>
      <c r="N1283" s="616"/>
      <c r="O1283" s="616"/>
      <c r="P1283" s="615"/>
      <c r="Q1283" s="616"/>
      <c r="R1283" s="663"/>
      <c r="S1283" s="459"/>
      <c r="T1283" s="459"/>
      <c r="U1283" s="459"/>
      <c r="V1283" s="459"/>
      <c r="W1283" s="459"/>
      <c r="X1283" s="459"/>
      <c r="Y1283" s="666"/>
      <c r="Z1283" s="664"/>
      <c r="AA1283" s="665"/>
      <c r="AB1283" s="665"/>
      <c r="AC1283" s="665"/>
      <c r="AD1283" s="665"/>
      <c r="AE1283" s="665"/>
      <c r="AF1283" s="649"/>
      <c r="AG1283" s="650"/>
      <c r="AH1283" s="650"/>
      <c r="AI1283" s="667"/>
    </row>
    <row r="1284" spans="12:35" ht="45" customHeight="1" thickBot="1" x14ac:dyDescent="0.25">
      <c r="L1284" s="645"/>
      <c r="M1284" s="616"/>
      <c r="N1284" s="616"/>
      <c r="O1284" s="616"/>
      <c r="P1284" s="615"/>
      <c r="Q1284" s="616"/>
      <c r="R1284" s="663"/>
      <c r="S1284" s="459"/>
      <c r="T1284" s="459"/>
      <c r="U1284" s="459"/>
      <c r="V1284" s="459"/>
      <c r="W1284" s="459"/>
      <c r="X1284" s="459"/>
      <c r="Y1284" s="666"/>
      <c r="Z1284" s="664"/>
      <c r="AA1284" s="665"/>
      <c r="AB1284" s="665"/>
      <c r="AC1284" s="665"/>
      <c r="AD1284" s="665"/>
      <c r="AE1284" s="665"/>
      <c r="AF1284" s="649"/>
      <c r="AG1284" s="650"/>
      <c r="AH1284" s="650"/>
      <c r="AI1284" s="667"/>
    </row>
    <row r="1285" spans="12:35" ht="45" customHeight="1" thickBot="1" x14ac:dyDescent="0.25">
      <c r="L1285" s="645"/>
      <c r="M1285" s="616"/>
      <c r="N1285" s="616"/>
      <c r="O1285" s="616"/>
      <c r="P1285" s="615"/>
      <c r="Q1285" s="616"/>
      <c r="R1285" s="663"/>
      <c r="S1285" s="459"/>
      <c r="T1285" s="459"/>
      <c r="U1285" s="459"/>
      <c r="V1285" s="459"/>
      <c r="W1285" s="459"/>
      <c r="X1285" s="459"/>
      <c r="Y1285" s="666"/>
      <c r="Z1285" s="664"/>
      <c r="AA1285" s="665"/>
      <c r="AB1285" s="665"/>
      <c r="AC1285" s="665"/>
      <c r="AD1285" s="665"/>
      <c r="AE1285" s="665"/>
      <c r="AF1285" s="649"/>
      <c r="AG1285" s="650"/>
      <c r="AH1285" s="650"/>
      <c r="AI1285" s="667"/>
    </row>
    <row r="1286" spans="12:35" ht="45" customHeight="1" thickBot="1" x14ac:dyDescent="0.25">
      <c r="L1286" s="645"/>
      <c r="M1286" s="616"/>
      <c r="N1286" s="616"/>
      <c r="O1286" s="616"/>
      <c r="P1286" s="615"/>
      <c r="Q1286" s="616"/>
      <c r="R1286" s="663"/>
      <c r="S1286" s="459"/>
      <c r="T1286" s="459"/>
      <c r="U1286" s="459"/>
      <c r="V1286" s="459"/>
      <c r="W1286" s="459"/>
      <c r="X1286" s="459"/>
      <c r="Y1286" s="666"/>
      <c r="Z1286" s="664"/>
      <c r="AA1286" s="665"/>
      <c r="AB1286" s="665"/>
      <c r="AC1286" s="665"/>
      <c r="AD1286" s="665"/>
      <c r="AE1286" s="665"/>
      <c r="AF1286" s="649"/>
      <c r="AG1286" s="650"/>
      <c r="AH1286" s="650"/>
      <c r="AI1286" s="667"/>
    </row>
    <row r="1287" spans="12:35" ht="45" customHeight="1" thickBot="1" x14ac:dyDescent="0.25">
      <c r="L1287" s="645"/>
      <c r="M1287" s="616"/>
      <c r="N1287" s="616"/>
      <c r="O1287" s="616"/>
      <c r="P1287" s="615"/>
      <c r="Q1287" s="616"/>
      <c r="R1287" s="663"/>
      <c r="S1287" s="459"/>
      <c r="T1287" s="459"/>
      <c r="U1287" s="459"/>
      <c r="V1287" s="459"/>
      <c r="W1287" s="459"/>
      <c r="X1287" s="459"/>
      <c r="Y1287" s="666"/>
      <c r="Z1287" s="664"/>
      <c r="AA1287" s="665"/>
      <c r="AB1287" s="665"/>
      <c r="AC1287" s="665"/>
      <c r="AD1287" s="665"/>
      <c r="AE1287" s="665"/>
      <c r="AF1287" s="649"/>
      <c r="AG1287" s="650"/>
      <c r="AH1287" s="650"/>
      <c r="AI1287" s="667"/>
    </row>
    <row r="1288" spans="12:35" ht="45" customHeight="1" thickBot="1" x14ac:dyDescent="0.25">
      <c r="L1288" s="645"/>
      <c r="M1288" s="616"/>
      <c r="N1288" s="616"/>
      <c r="O1288" s="616"/>
      <c r="P1288" s="615"/>
      <c r="Q1288" s="616"/>
      <c r="R1288" s="663"/>
      <c r="S1288" s="459"/>
      <c r="T1288" s="459"/>
      <c r="U1288" s="459"/>
      <c r="V1288" s="459"/>
      <c r="W1288" s="459"/>
      <c r="X1288" s="459"/>
      <c r="Y1288" s="666"/>
      <c r="Z1288" s="664"/>
      <c r="AA1288" s="665"/>
      <c r="AB1288" s="665"/>
      <c r="AC1288" s="665"/>
      <c r="AD1288" s="665"/>
      <c r="AE1288" s="665"/>
      <c r="AF1288" s="649"/>
      <c r="AG1288" s="650"/>
      <c r="AH1288" s="650"/>
      <c r="AI1288" s="667"/>
    </row>
    <row r="1289" spans="12:35" ht="45" customHeight="1" thickBot="1" x14ac:dyDescent="0.25">
      <c r="L1289" s="645"/>
      <c r="M1289" s="616"/>
      <c r="N1289" s="616"/>
      <c r="O1289" s="616"/>
      <c r="P1289" s="615"/>
      <c r="Q1289" s="616"/>
      <c r="R1289" s="663"/>
      <c r="S1289" s="459"/>
      <c r="T1289" s="459"/>
      <c r="U1289" s="459"/>
      <c r="V1289" s="459"/>
      <c r="W1289" s="459"/>
      <c r="X1289" s="459"/>
      <c r="Y1289" s="666"/>
      <c r="Z1289" s="664"/>
      <c r="AA1289" s="665"/>
      <c r="AB1289" s="665"/>
      <c r="AC1289" s="665"/>
      <c r="AD1289" s="665"/>
      <c r="AE1289" s="665"/>
      <c r="AF1289" s="649"/>
      <c r="AG1289" s="650"/>
      <c r="AH1289" s="650"/>
      <c r="AI1289" s="667"/>
    </row>
    <row r="1290" spans="12:35" ht="45" customHeight="1" thickBot="1" x14ac:dyDescent="0.25">
      <c r="L1290" s="645"/>
      <c r="M1290" s="616"/>
      <c r="N1290" s="616"/>
      <c r="O1290" s="616"/>
      <c r="P1290" s="615"/>
      <c r="Q1290" s="616"/>
      <c r="R1290" s="663"/>
      <c r="S1290" s="459"/>
      <c r="T1290" s="459"/>
      <c r="U1290" s="459"/>
      <c r="V1290" s="459"/>
      <c r="W1290" s="459"/>
      <c r="X1290" s="459"/>
      <c r="Y1290" s="666"/>
      <c r="Z1290" s="664"/>
      <c r="AA1290" s="665"/>
      <c r="AB1290" s="665"/>
      <c r="AC1290" s="665"/>
      <c r="AD1290" s="665"/>
      <c r="AE1290" s="665"/>
      <c r="AF1290" s="649"/>
      <c r="AG1290" s="650"/>
      <c r="AH1290" s="650"/>
      <c r="AI1290" s="667"/>
    </row>
    <row r="1291" spans="12:35" ht="45" customHeight="1" thickBot="1" x14ac:dyDescent="0.25">
      <c r="L1291" s="645"/>
      <c r="M1291" s="616"/>
      <c r="N1291" s="616"/>
      <c r="O1291" s="616"/>
      <c r="P1291" s="615"/>
      <c r="Q1291" s="616"/>
      <c r="R1291" s="663"/>
      <c r="S1291" s="459"/>
      <c r="T1291" s="459"/>
      <c r="U1291" s="459"/>
      <c r="V1291" s="459"/>
      <c r="W1291" s="459"/>
      <c r="X1291" s="459"/>
      <c r="Y1291" s="666"/>
      <c r="Z1291" s="664"/>
      <c r="AA1291" s="665"/>
      <c r="AB1291" s="665"/>
      <c r="AC1291" s="665"/>
      <c r="AD1291" s="665"/>
      <c r="AE1291" s="665"/>
      <c r="AF1291" s="649"/>
      <c r="AG1291" s="650"/>
      <c r="AH1291" s="650"/>
      <c r="AI1291" s="667"/>
    </row>
    <row r="1292" spans="12:35" ht="45" customHeight="1" thickBot="1" x14ac:dyDescent="0.25">
      <c r="L1292" s="645"/>
      <c r="M1292" s="616"/>
      <c r="N1292" s="616"/>
      <c r="O1292" s="616"/>
      <c r="P1292" s="615"/>
      <c r="Q1292" s="616"/>
      <c r="R1292" s="663"/>
      <c r="S1292" s="459"/>
      <c r="T1292" s="459"/>
      <c r="U1292" s="459"/>
      <c r="V1292" s="459"/>
      <c r="W1292" s="459"/>
      <c r="X1292" s="459"/>
      <c r="Y1292" s="666"/>
      <c r="Z1292" s="664"/>
      <c r="AA1292" s="665"/>
      <c r="AB1292" s="665"/>
      <c r="AC1292" s="665"/>
      <c r="AD1292" s="665"/>
      <c r="AE1292" s="665"/>
      <c r="AF1292" s="649"/>
      <c r="AG1292" s="650"/>
      <c r="AH1292" s="650"/>
      <c r="AI1292" s="667"/>
    </row>
    <row r="1293" spans="12:35" ht="45" customHeight="1" thickBot="1" x14ac:dyDescent="0.25">
      <c r="L1293" s="645"/>
      <c r="M1293" s="616"/>
      <c r="N1293" s="616"/>
      <c r="O1293" s="616"/>
      <c r="P1293" s="615"/>
      <c r="Q1293" s="616"/>
      <c r="R1293" s="663"/>
      <c r="S1293" s="459"/>
      <c r="T1293" s="459"/>
      <c r="U1293" s="459"/>
      <c r="V1293" s="459"/>
      <c r="W1293" s="459"/>
      <c r="X1293" s="459"/>
      <c r="Y1293" s="666"/>
      <c r="Z1293" s="664"/>
      <c r="AA1293" s="665"/>
      <c r="AB1293" s="665"/>
      <c r="AC1293" s="665"/>
      <c r="AD1293" s="665"/>
      <c r="AE1293" s="665"/>
      <c r="AF1293" s="649"/>
      <c r="AG1293" s="650"/>
      <c r="AH1293" s="650"/>
      <c r="AI1293" s="667"/>
    </row>
    <row r="1294" spans="12:35" ht="45" customHeight="1" thickBot="1" x14ac:dyDescent="0.25">
      <c r="L1294" s="645"/>
      <c r="M1294" s="616"/>
      <c r="N1294" s="616"/>
      <c r="O1294" s="616"/>
      <c r="P1294" s="615"/>
      <c r="Q1294" s="616"/>
      <c r="R1294" s="663"/>
      <c r="S1294" s="459"/>
      <c r="T1294" s="459"/>
      <c r="U1294" s="459"/>
      <c r="V1294" s="459"/>
      <c r="W1294" s="459"/>
      <c r="X1294" s="459"/>
      <c r="Y1294" s="666"/>
      <c r="Z1294" s="664"/>
      <c r="AA1294" s="665"/>
      <c r="AB1294" s="665"/>
      <c r="AC1294" s="665"/>
      <c r="AD1294" s="665"/>
      <c r="AE1294" s="665"/>
      <c r="AF1294" s="649"/>
      <c r="AG1294" s="650"/>
      <c r="AH1294" s="650"/>
      <c r="AI1294" s="667"/>
    </row>
    <row r="1295" spans="12:35" ht="45" customHeight="1" thickBot="1" x14ac:dyDescent="0.25">
      <c r="L1295" s="645"/>
      <c r="M1295" s="616"/>
      <c r="N1295" s="616"/>
      <c r="O1295" s="616"/>
      <c r="P1295" s="615"/>
      <c r="Q1295" s="616"/>
      <c r="R1295" s="663"/>
      <c r="S1295" s="459"/>
      <c r="T1295" s="459"/>
      <c r="U1295" s="459"/>
      <c r="V1295" s="459"/>
      <c r="W1295" s="459"/>
      <c r="X1295" s="459"/>
      <c r="Y1295" s="666"/>
      <c r="Z1295" s="664"/>
      <c r="AA1295" s="665"/>
      <c r="AB1295" s="665"/>
      <c r="AC1295" s="665"/>
      <c r="AD1295" s="665"/>
      <c r="AE1295" s="665"/>
      <c r="AF1295" s="649"/>
      <c r="AG1295" s="650"/>
      <c r="AH1295" s="650"/>
      <c r="AI1295" s="667"/>
    </row>
    <row r="1296" spans="12:35" ht="45" customHeight="1" thickBot="1" x14ac:dyDescent="0.25">
      <c r="L1296" s="645"/>
      <c r="M1296" s="616"/>
      <c r="N1296" s="616"/>
      <c r="O1296" s="616"/>
      <c r="P1296" s="615"/>
      <c r="Q1296" s="616"/>
      <c r="R1296" s="663"/>
      <c r="S1296" s="459"/>
      <c r="T1296" s="459"/>
      <c r="U1296" s="459"/>
      <c r="V1296" s="459"/>
      <c r="W1296" s="459"/>
      <c r="X1296" s="459"/>
      <c r="Y1296" s="666"/>
      <c r="Z1296" s="664"/>
      <c r="AA1296" s="665"/>
      <c r="AB1296" s="665"/>
      <c r="AC1296" s="665"/>
      <c r="AD1296" s="665"/>
      <c r="AE1296" s="665"/>
      <c r="AF1296" s="649"/>
      <c r="AG1296" s="650"/>
      <c r="AH1296" s="650"/>
      <c r="AI1296" s="667"/>
    </row>
    <row r="1297" spans="12:35" ht="45" customHeight="1" thickBot="1" x14ac:dyDescent="0.25">
      <c r="L1297" s="645"/>
      <c r="M1297" s="616"/>
      <c r="N1297" s="616"/>
      <c r="O1297" s="616"/>
      <c r="P1297" s="615"/>
      <c r="Q1297" s="616"/>
      <c r="R1297" s="663"/>
      <c r="S1297" s="459"/>
      <c r="T1297" s="459"/>
      <c r="U1297" s="459"/>
      <c r="V1297" s="459"/>
      <c r="W1297" s="459"/>
      <c r="X1297" s="459"/>
      <c r="Y1297" s="666"/>
      <c r="Z1297" s="664"/>
      <c r="AA1297" s="665"/>
      <c r="AB1297" s="665"/>
      <c r="AC1297" s="665"/>
      <c r="AD1297" s="665"/>
      <c r="AE1297" s="665"/>
      <c r="AF1297" s="649"/>
      <c r="AG1297" s="650"/>
      <c r="AH1297" s="650"/>
      <c r="AI1297" s="667"/>
    </row>
    <row r="1298" spans="12:35" ht="45" customHeight="1" thickBot="1" x14ac:dyDescent="0.25">
      <c r="L1298" s="645"/>
      <c r="M1298" s="616"/>
      <c r="N1298" s="616"/>
      <c r="O1298" s="616"/>
      <c r="P1298" s="615"/>
      <c r="Q1298" s="616"/>
      <c r="R1298" s="663"/>
      <c r="S1298" s="459"/>
      <c r="T1298" s="459"/>
      <c r="U1298" s="459"/>
      <c r="V1298" s="459"/>
      <c r="W1298" s="459"/>
      <c r="X1298" s="459"/>
      <c r="Y1298" s="666"/>
      <c r="Z1298" s="664"/>
      <c r="AA1298" s="665"/>
      <c r="AB1298" s="665"/>
      <c r="AC1298" s="665"/>
      <c r="AD1298" s="665"/>
      <c r="AE1298" s="665"/>
      <c r="AF1298" s="649"/>
      <c r="AG1298" s="650"/>
      <c r="AH1298" s="650"/>
      <c r="AI1298" s="667"/>
    </row>
    <row r="1299" spans="12:35" ht="45" customHeight="1" thickBot="1" x14ac:dyDescent="0.25">
      <c r="L1299" s="645"/>
      <c r="M1299" s="616"/>
      <c r="N1299" s="616"/>
      <c r="O1299" s="616"/>
      <c r="P1299" s="615"/>
      <c r="Q1299" s="616"/>
      <c r="R1299" s="663"/>
      <c r="S1299" s="459"/>
      <c r="T1299" s="459"/>
      <c r="U1299" s="459"/>
      <c r="V1299" s="459"/>
      <c r="W1299" s="459"/>
      <c r="X1299" s="459"/>
      <c r="Y1299" s="666"/>
      <c r="Z1299" s="664"/>
      <c r="AA1299" s="665"/>
      <c r="AB1299" s="665"/>
      <c r="AC1299" s="665"/>
      <c r="AD1299" s="665"/>
      <c r="AE1299" s="665"/>
      <c r="AF1299" s="649"/>
      <c r="AG1299" s="650"/>
      <c r="AH1299" s="650"/>
      <c r="AI1299" s="667"/>
    </row>
    <row r="1300" spans="12:35" ht="45" customHeight="1" thickBot="1" x14ac:dyDescent="0.25">
      <c r="L1300" s="645"/>
      <c r="M1300" s="616"/>
      <c r="N1300" s="616"/>
      <c r="O1300" s="616"/>
      <c r="P1300" s="615"/>
      <c r="Q1300" s="616"/>
      <c r="R1300" s="663"/>
      <c r="S1300" s="459"/>
      <c r="T1300" s="459"/>
      <c r="U1300" s="459"/>
      <c r="V1300" s="459"/>
      <c r="W1300" s="459"/>
      <c r="X1300" s="459"/>
      <c r="Y1300" s="666"/>
      <c r="Z1300" s="664"/>
      <c r="AA1300" s="665"/>
      <c r="AB1300" s="665"/>
      <c r="AC1300" s="665"/>
      <c r="AD1300" s="665"/>
      <c r="AE1300" s="665"/>
      <c r="AF1300" s="649"/>
      <c r="AG1300" s="650"/>
      <c r="AH1300" s="650"/>
      <c r="AI1300" s="667"/>
    </row>
    <row r="1301" spans="12:35" ht="45" customHeight="1" thickBot="1" x14ac:dyDescent="0.25">
      <c r="L1301" s="645"/>
      <c r="M1301" s="616"/>
      <c r="N1301" s="616"/>
      <c r="O1301" s="616"/>
      <c r="P1301" s="615"/>
      <c r="Q1301" s="616"/>
      <c r="R1301" s="663"/>
      <c r="S1301" s="459"/>
      <c r="T1301" s="459"/>
      <c r="U1301" s="459"/>
      <c r="V1301" s="459"/>
      <c r="W1301" s="459"/>
      <c r="X1301" s="459"/>
      <c r="Y1301" s="666"/>
      <c r="Z1301" s="664"/>
      <c r="AA1301" s="665"/>
      <c r="AB1301" s="665"/>
      <c r="AC1301" s="665"/>
      <c r="AD1301" s="665"/>
      <c r="AE1301" s="665"/>
      <c r="AF1301" s="649"/>
      <c r="AG1301" s="650"/>
      <c r="AH1301" s="650"/>
      <c r="AI1301" s="667"/>
    </row>
    <row r="1302" spans="12:35" ht="45" customHeight="1" thickBot="1" x14ac:dyDescent="0.25">
      <c r="L1302" s="645"/>
      <c r="M1302" s="616"/>
      <c r="N1302" s="616"/>
      <c r="O1302" s="616"/>
      <c r="P1302" s="615"/>
      <c r="Q1302" s="616"/>
      <c r="R1302" s="663"/>
      <c r="S1302" s="459"/>
      <c r="T1302" s="459"/>
      <c r="U1302" s="459"/>
      <c r="V1302" s="459"/>
      <c r="W1302" s="459"/>
      <c r="X1302" s="459"/>
      <c r="Y1302" s="666"/>
      <c r="Z1302" s="664"/>
      <c r="AA1302" s="665"/>
      <c r="AB1302" s="665"/>
      <c r="AC1302" s="665"/>
      <c r="AD1302" s="665"/>
      <c r="AE1302" s="665"/>
      <c r="AF1302" s="649"/>
      <c r="AG1302" s="650"/>
      <c r="AH1302" s="650"/>
      <c r="AI1302" s="667"/>
    </row>
    <row r="1303" spans="12:35" ht="45" customHeight="1" thickBot="1" x14ac:dyDescent="0.25">
      <c r="L1303" s="645"/>
      <c r="M1303" s="616"/>
      <c r="N1303" s="616"/>
      <c r="O1303" s="616"/>
      <c r="P1303" s="615"/>
      <c r="Q1303" s="616"/>
      <c r="R1303" s="663"/>
      <c r="S1303" s="459"/>
      <c r="T1303" s="459"/>
      <c r="U1303" s="459"/>
      <c r="V1303" s="459"/>
      <c r="W1303" s="459"/>
      <c r="X1303" s="459"/>
      <c r="Y1303" s="666"/>
      <c r="Z1303" s="664"/>
      <c r="AA1303" s="665"/>
      <c r="AB1303" s="665"/>
      <c r="AC1303" s="665"/>
      <c r="AD1303" s="665"/>
      <c r="AE1303" s="665"/>
      <c r="AF1303" s="649"/>
      <c r="AG1303" s="650"/>
      <c r="AH1303" s="650"/>
      <c r="AI1303" s="667"/>
    </row>
    <row r="1304" spans="12:35" ht="45" customHeight="1" thickBot="1" x14ac:dyDescent="0.25">
      <c r="L1304" s="645"/>
      <c r="M1304" s="616"/>
      <c r="N1304" s="616"/>
      <c r="O1304" s="616"/>
      <c r="P1304" s="615"/>
      <c r="Q1304" s="616"/>
      <c r="R1304" s="663"/>
      <c r="S1304" s="459"/>
      <c r="T1304" s="459"/>
      <c r="U1304" s="459"/>
      <c r="V1304" s="459"/>
      <c r="W1304" s="459"/>
      <c r="X1304" s="459"/>
      <c r="Y1304" s="666"/>
      <c r="Z1304" s="664"/>
      <c r="AA1304" s="665"/>
      <c r="AB1304" s="665"/>
      <c r="AC1304" s="665"/>
      <c r="AD1304" s="665"/>
      <c r="AE1304" s="665"/>
      <c r="AF1304" s="649"/>
      <c r="AG1304" s="650"/>
      <c r="AH1304" s="650"/>
      <c r="AI1304" s="667"/>
    </row>
    <row r="1305" spans="12:35" ht="45" customHeight="1" thickBot="1" x14ac:dyDescent="0.25">
      <c r="L1305" s="645"/>
      <c r="M1305" s="616"/>
      <c r="N1305" s="616"/>
      <c r="O1305" s="616"/>
      <c r="P1305" s="615"/>
      <c r="Q1305" s="616"/>
      <c r="R1305" s="663"/>
      <c r="S1305" s="459"/>
      <c r="T1305" s="459"/>
      <c r="U1305" s="459"/>
      <c r="V1305" s="459"/>
      <c r="W1305" s="459"/>
      <c r="X1305" s="459"/>
      <c r="Y1305" s="666"/>
      <c r="Z1305" s="664"/>
      <c r="AA1305" s="665"/>
      <c r="AB1305" s="665"/>
      <c r="AC1305" s="665"/>
      <c r="AD1305" s="665"/>
      <c r="AE1305" s="665"/>
      <c r="AF1305" s="649"/>
      <c r="AG1305" s="650"/>
      <c r="AH1305" s="650"/>
      <c r="AI1305" s="667"/>
    </row>
    <row r="1306" spans="12:35" ht="45" customHeight="1" thickBot="1" x14ac:dyDescent="0.25">
      <c r="L1306" s="645"/>
      <c r="M1306" s="616"/>
      <c r="N1306" s="616"/>
      <c r="O1306" s="616"/>
      <c r="P1306" s="615"/>
      <c r="Q1306" s="616"/>
      <c r="R1306" s="663"/>
      <c r="S1306" s="459"/>
      <c r="T1306" s="459"/>
      <c r="U1306" s="459"/>
      <c r="V1306" s="459"/>
      <c r="W1306" s="459"/>
      <c r="X1306" s="459"/>
      <c r="Y1306" s="666"/>
      <c r="Z1306" s="664"/>
      <c r="AA1306" s="665"/>
      <c r="AB1306" s="665"/>
      <c r="AC1306" s="665"/>
      <c r="AD1306" s="665"/>
      <c r="AE1306" s="665"/>
      <c r="AF1306" s="649"/>
      <c r="AG1306" s="650"/>
      <c r="AH1306" s="650"/>
      <c r="AI1306" s="667"/>
    </row>
    <row r="1307" spans="12:35" ht="45" customHeight="1" thickBot="1" x14ac:dyDescent="0.25">
      <c r="L1307" s="645"/>
      <c r="M1307" s="616"/>
      <c r="N1307" s="616"/>
      <c r="O1307" s="616"/>
      <c r="P1307" s="615"/>
      <c r="Q1307" s="616"/>
      <c r="R1307" s="663"/>
      <c r="S1307" s="459"/>
      <c r="T1307" s="459"/>
      <c r="U1307" s="459"/>
      <c r="V1307" s="459"/>
      <c r="W1307" s="459"/>
      <c r="X1307" s="459"/>
      <c r="Y1307" s="666"/>
      <c r="Z1307" s="664"/>
      <c r="AA1307" s="665"/>
      <c r="AB1307" s="665"/>
      <c r="AC1307" s="665"/>
      <c r="AD1307" s="665"/>
      <c r="AE1307" s="665"/>
      <c r="AF1307" s="649"/>
      <c r="AG1307" s="650"/>
      <c r="AH1307" s="650"/>
      <c r="AI1307" s="667"/>
    </row>
    <row r="1308" spans="12:35" ht="45" customHeight="1" thickBot="1" x14ac:dyDescent="0.25">
      <c r="L1308" s="645"/>
      <c r="M1308" s="616"/>
      <c r="N1308" s="616"/>
      <c r="O1308" s="616"/>
      <c r="P1308" s="615"/>
      <c r="Q1308" s="616"/>
      <c r="R1308" s="663"/>
      <c r="S1308" s="459"/>
      <c r="T1308" s="459"/>
      <c r="U1308" s="459"/>
      <c r="V1308" s="459"/>
      <c r="W1308" s="459"/>
      <c r="X1308" s="459"/>
      <c r="Y1308" s="666"/>
      <c r="Z1308" s="664"/>
      <c r="AA1308" s="665"/>
      <c r="AB1308" s="665"/>
      <c r="AC1308" s="665"/>
      <c r="AD1308" s="665"/>
      <c r="AE1308" s="665"/>
      <c r="AF1308" s="649"/>
      <c r="AG1308" s="650"/>
      <c r="AH1308" s="650"/>
      <c r="AI1308" s="667"/>
    </row>
    <row r="1309" spans="12:35" ht="45" customHeight="1" thickBot="1" x14ac:dyDescent="0.25">
      <c r="L1309" s="645"/>
      <c r="M1309" s="616"/>
      <c r="N1309" s="616"/>
      <c r="O1309" s="616"/>
      <c r="P1309" s="615"/>
      <c r="Q1309" s="616"/>
      <c r="R1309" s="663"/>
      <c r="S1309" s="459"/>
      <c r="T1309" s="459"/>
      <c r="U1309" s="459"/>
      <c r="V1309" s="459"/>
      <c r="W1309" s="459"/>
      <c r="X1309" s="459"/>
      <c r="Y1309" s="666"/>
      <c r="Z1309" s="664"/>
      <c r="AA1309" s="665"/>
      <c r="AB1309" s="665"/>
      <c r="AC1309" s="665"/>
      <c r="AD1309" s="665"/>
      <c r="AE1309" s="665"/>
      <c r="AF1309" s="649"/>
      <c r="AG1309" s="650"/>
      <c r="AH1309" s="650"/>
      <c r="AI1309" s="667"/>
    </row>
    <row r="1310" spans="12:35" ht="45" customHeight="1" thickBot="1" x14ac:dyDescent="0.25">
      <c r="L1310" s="645"/>
      <c r="M1310" s="616"/>
      <c r="N1310" s="616"/>
      <c r="O1310" s="616"/>
      <c r="P1310" s="615"/>
      <c r="Q1310" s="616"/>
      <c r="R1310" s="663"/>
      <c r="S1310" s="459"/>
      <c r="T1310" s="459"/>
      <c r="U1310" s="459"/>
      <c r="V1310" s="459"/>
      <c r="W1310" s="459"/>
      <c r="X1310" s="459"/>
      <c r="Y1310" s="666"/>
      <c r="Z1310" s="664"/>
      <c r="AA1310" s="665"/>
      <c r="AB1310" s="665"/>
      <c r="AC1310" s="665"/>
      <c r="AD1310" s="665"/>
      <c r="AE1310" s="665"/>
      <c r="AF1310" s="649"/>
      <c r="AG1310" s="650"/>
      <c r="AH1310" s="650"/>
      <c r="AI1310" s="667"/>
    </row>
    <row r="1311" spans="12:35" ht="45" customHeight="1" thickBot="1" x14ac:dyDescent="0.25">
      <c r="L1311" s="645"/>
      <c r="M1311" s="616"/>
      <c r="N1311" s="616"/>
      <c r="O1311" s="616"/>
      <c r="P1311" s="615"/>
      <c r="Q1311" s="616"/>
      <c r="R1311" s="663"/>
      <c r="S1311" s="459"/>
      <c r="T1311" s="459"/>
      <c r="U1311" s="459"/>
      <c r="V1311" s="459"/>
      <c r="W1311" s="459"/>
      <c r="X1311" s="459"/>
      <c r="Y1311" s="666"/>
      <c r="Z1311" s="664"/>
      <c r="AA1311" s="665"/>
      <c r="AB1311" s="665"/>
      <c r="AC1311" s="665"/>
      <c r="AD1311" s="665"/>
      <c r="AE1311" s="665"/>
      <c r="AF1311" s="649"/>
      <c r="AG1311" s="650"/>
      <c r="AH1311" s="650"/>
      <c r="AI1311" s="667"/>
    </row>
    <row r="1312" spans="12:35" ht="45" customHeight="1" thickBot="1" x14ac:dyDescent="0.25">
      <c r="L1312" s="645"/>
      <c r="M1312" s="616"/>
      <c r="N1312" s="616"/>
      <c r="O1312" s="616"/>
      <c r="P1312" s="615"/>
      <c r="Q1312" s="616"/>
      <c r="R1312" s="663"/>
      <c r="S1312" s="459"/>
      <c r="T1312" s="459"/>
      <c r="U1312" s="459"/>
      <c r="V1312" s="459"/>
      <c r="W1312" s="459"/>
      <c r="X1312" s="459"/>
      <c r="Y1312" s="666"/>
      <c r="Z1312" s="664"/>
      <c r="AA1312" s="665"/>
      <c r="AB1312" s="665"/>
      <c r="AC1312" s="665"/>
      <c r="AD1312" s="665"/>
      <c r="AE1312" s="665"/>
      <c r="AF1312" s="649"/>
      <c r="AG1312" s="650"/>
      <c r="AH1312" s="650"/>
      <c r="AI1312" s="667"/>
    </row>
    <row r="1313" spans="12:35" ht="45" customHeight="1" thickBot="1" x14ac:dyDescent="0.25">
      <c r="L1313" s="645"/>
      <c r="M1313" s="616"/>
      <c r="N1313" s="616"/>
      <c r="O1313" s="616"/>
      <c r="P1313" s="615"/>
      <c r="Q1313" s="616"/>
      <c r="R1313" s="663"/>
      <c r="S1313" s="459"/>
      <c r="T1313" s="459"/>
      <c r="U1313" s="459"/>
      <c r="V1313" s="459"/>
      <c r="W1313" s="459"/>
      <c r="X1313" s="459"/>
      <c r="Y1313" s="666"/>
      <c r="Z1313" s="664"/>
      <c r="AA1313" s="665"/>
      <c r="AB1313" s="665"/>
      <c r="AC1313" s="665"/>
      <c r="AD1313" s="665"/>
      <c r="AE1313" s="665"/>
      <c r="AF1313" s="649"/>
      <c r="AG1313" s="650"/>
      <c r="AH1313" s="650"/>
      <c r="AI1313" s="667"/>
    </row>
    <row r="1314" spans="12:35" ht="45" customHeight="1" thickBot="1" x14ac:dyDescent="0.25">
      <c r="L1314" s="645"/>
      <c r="M1314" s="616"/>
      <c r="N1314" s="616"/>
      <c r="O1314" s="616"/>
      <c r="P1314" s="615"/>
      <c r="Q1314" s="616"/>
      <c r="R1314" s="663"/>
      <c r="S1314" s="459"/>
      <c r="T1314" s="459"/>
      <c r="U1314" s="459"/>
      <c r="V1314" s="459"/>
      <c r="W1314" s="459"/>
      <c r="X1314" s="459"/>
      <c r="Y1314" s="666"/>
      <c r="Z1314" s="664"/>
      <c r="AA1314" s="665"/>
      <c r="AB1314" s="665"/>
      <c r="AC1314" s="665"/>
      <c r="AD1314" s="665"/>
      <c r="AE1314" s="665"/>
      <c r="AF1314" s="649"/>
      <c r="AG1314" s="650"/>
      <c r="AH1314" s="650"/>
      <c r="AI1314" s="667"/>
    </row>
    <row r="1315" spans="12:35" ht="45" customHeight="1" thickBot="1" x14ac:dyDescent="0.25">
      <c r="L1315" s="645"/>
      <c r="M1315" s="616"/>
      <c r="N1315" s="616"/>
      <c r="O1315" s="616"/>
      <c r="P1315" s="615"/>
      <c r="Q1315" s="616"/>
      <c r="R1315" s="663"/>
      <c r="S1315" s="459"/>
      <c r="T1315" s="459"/>
      <c r="U1315" s="459"/>
      <c r="V1315" s="459"/>
      <c r="W1315" s="459"/>
      <c r="X1315" s="459"/>
      <c r="Y1315" s="666"/>
      <c r="Z1315" s="664"/>
      <c r="AA1315" s="665"/>
      <c r="AB1315" s="665"/>
      <c r="AC1315" s="665"/>
      <c r="AD1315" s="665"/>
      <c r="AE1315" s="665"/>
      <c r="AF1315" s="649"/>
      <c r="AG1315" s="650"/>
      <c r="AH1315" s="650"/>
      <c r="AI1315" s="667"/>
    </row>
    <row r="1316" spans="12:35" ht="45" customHeight="1" thickBot="1" x14ac:dyDescent="0.25">
      <c r="L1316" s="645"/>
      <c r="M1316" s="616"/>
      <c r="N1316" s="616"/>
      <c r="O1316" s="616"/>
      <c r="P1316" s="615"/>
      <c r="Q1316" s="616"/>
      <c r="R1316" s="663"/>
      <c r="S1316" s="459"/>
      <c r="T1316" s="459"/>
      <c r="U1316" s="459"/>
      <c r="V1316" s="459"/>
      <c r="W1316" s="459"/>
      <c r="X1316" s="459"/>
      <c r="Y1316" s="666"/>
      <c r="Z1316" s="664"/>
      <c r="AA1316" s="665"/>
      <c r="AB1316" s="665"/>
      <c r="AC1316" s="665"/>
      <c r="AD1316" s="665"/>
      <c r="AE1316" s="665"/>
      <c r="AF1316" s="649"/>
      <c r="AG1316" s="650"/>
      <c r="AH1316" s="650"/>
      <c r="AI1316" s="667"/>
    </row>
    <row r="1317" spans="12:35" ht="45" customHeight="1" thickBot="1" x14ac:dyDescent="0.25">
      <c r="L1317" s="645"/>
      <c r="M1317" s="616"/>
      <c r="N1317" s="616"/>
      <c r="O1317" s="616"/>
      <c r="P1317" s="615"/>
      <c r="Q1317" s="616"/>
      <c r="R1317" s="663"/>
      <c r="S1317" s="459"/>
      <c r="T1317" s="459"/>
      <c r="U1317" s="459"/>
      <c r="V1317" s="459"/>
      <c r="W1317" s="459"/>
      <c r="X1317" s="459"/>
      <c r="Y1317" s="666"/>
      <c r="Z1317" s="664"/>
      <c r="AA1317" s="665"/>
      <c r="AB1317" s="665"/>
      <c r="AC1317" s="665"/>
      <c r="AD1317" s="665"/>
      <c r="AE1317" s="665"/>
      <c r="AF1317" s="649"/>
      <c r="AG1317" s="650"/>
      <c r="AH1317" s="650"/>
      <c r="AI1317" s="667"/>
    </row>
    <row r="1318" spans="12:35" ht="45" customHeight="1" thickBot="1" x14ac:dyDescent="0.25">
      <c r="L1318" s="645"/>
      <c r="M1318" s="616"/>
      <c r="N1318" s="616"/>
      <c r="O1318" s="616"/>
      <c r="P1318" s="615"/>
      <c r="Q1318" s="616"/>
      <c r="R1318" s="663"/>
      <c r="S1318" s="459"/>
      <c r="T1318" s="459"/>
      <c r="U1318" s="459"/>
      <c r="V1318" s="459"/>
      <c r="W1318" s="459"/>
      <c r="X1318" s="459"/>
      <c r="Y1318" s="666"/>
      <c r="Z1318" s="664"/>
      <c r="AA1318" s="665"/>
      <c r="AB1318" s="665"/>
      <c r="AC1318" s="665"/>
      <c r="AD1318" s="665"/>
      <c r="AE1318" s="665"/>
      <c r="AF1318" s="649"/>
      <c r="AG1318" s="650"/>
      <c r="AH1318" s="650"/>
      <c r="AI1318" s="667"/>
    </row>
    <row r="1319" spans="12:35" ht="45" customHeight="1" thickBot="1" x14ac:dyDescent="0.25">
      <c r="L1319" s="645"/>
      <c r="M1319" s="616"/>
      <c r="N1319" s="616"/>
      <c r="O1319" s="616"/>
      <c r="P1319" s="615"/>
      <c r="Q1319" s="616"/>
      <c r="R1319" s="663"/>
      <c r="S1319" s="459"/>
      <c r="T1319" s="459"/>
      <c r="U1319" s="459"/>
      <c r="V1319" s="459"/>
      <c r="W1319" s="459"/>
      <c r="X1319" s="459"/>
      <c r="Y1319" s="666"/>
      <c r="Z1319" s="664"/>
      <c r="AA1319" s="665"/>
      <c r="AB1319" s="665"/>
      <c r="AC1319" s="665"/>
      <c r="AD1319" s="665"/>
      <c r="AE1319" s="665"/>
      <c r="AF1319" s="649"/>
      <c r="AG1319" s="650"/>
      <c r="AH1319" s="650"/>
      <c r="AI1319" s="667"/>
    </row>
    <row r="1320" spans="12:35" ht="45" customHeight="1" thickBot="1" x14ac:dyDescent="0.25">
      <c r="L1320" s="645"/>
      <c r="M1320" s="616"/>
      <c r="N1320" s="616"/>
      <c r="O1320" s="616"/>
      <c r="P1320" s="615"/>
      <c r="Q1320" s="616"/>
      <c r="R1320" s="663"/>
      <c r="S1320" s="459"/>
      <c r="T1320" s="459"/>
      <c r="U1320" s="459"/>
      <c r="V1320" s="459"/>
      <c r="W1320" s="459"/>
      <c r="X1320" s="459"/>
      <c r="Y1320" s="666"/>
      <c r="Z1320" s="664"/>
      <c r="AA1320" s="665"/>
      <c r="AB1320" s="665"/>
      <c r="AC1320" s="665"/>
      <c r="AD1320" s="665"/>
      <c r="AE1320" s="665"/>
      <c r="AF1320" s="649"/>
      <c r="AG1320" s="650"/>
      <c r="AH1320" s="650"/>
      <c r="AI1320" s="667"/>
    </row>
    <row r="1321" spans="12:35" ht="45" customHeight="1" thickBot="1" x14ac:dyDescent="0.25">
      <c r="L1321" s="645"/>
      <c r="M1321" s="616"/>
      <c r="N1321" s="616"/>
      <c r="O1321" s="616"/>
      <c r="P1321" s="615"/>
      <c r="Q1321" s="616"/>
      <c r="R1321" s="663"/>
      <c r="S1321" s="459"/>
      <c r="T1321" s="459"/>
      <c r="U1321" s="459"/>
      <c r="V1321" s="459"/>
      <c r="W1321" s="459"/>
      <c r="X1321" s="459"/>
      <c r="Y1321" s="666"/>
      <c r="Z1321" s="664"/>
      <c r="AA1321" s="665"/>
      <c r="AB1321" s="665"/>
      <c r="AC1321" s="665"/>
      <c r="AD1321" s="665"/>
      <c r="AE1321" s="665"/>
      <c r="AF1321" s="649"/>
      <c r="AG1321" s="650"/>
      <c r="AH1321" s="650"/>
      <c r="AI1321" s="667"/>
    </row>
    <row r="1322" spans="12:35" ht="45" customHeight="1" thickBot="1" x14ac:dyDescent="0.25">
      <c r="L1322" s="645"/>
      <c r="M1322" s="616"/>
      <c r="N1322" s="616"/>
      <c r="O1322" s="616"/>
      <c r="P1322" s="615"/>
      <c r="Q1322" s="616"/>
      <c r="R1322" s="663"/>
      <c r="S1322" s="459"/>
      <c r="T1322" s="459"/>
      <c r="U1322" s="459"/>
      <c r="V1322" s="459"/>
      <c r="W1322" s="459"/>
      <c r="X1322" s="459"/>
      <c r="Y1322" s="666"/>
      <c r="Z1322" s="664"/>
      <c r="AA1322" s="665"/>
      <c r="AB1322" s="665"/>
      <c r="AC1322" s="665"/>
      <c r="AD1322" s="665"/>
      <c r="AE1322" s="665"/>
      <c r="AF1322" s="649"/>
      <c r="AG1322" s="650"/>
      <c r="AH1322" s="650"/>
      <c r="AI1322" s="667"/>
    </row>
    <row r="1323" spans="12:35" ht="45" customHeight="1" thickBot="1" x14ac:dyDescent="0.25">
      <c r="L1323" s="645"/>
      <c r="M1323" s="616"/>
      <c r="N1323" s="616"/>
      <c r="O1323" s="616"/>
      <c r="P1323" s="615"/>
      <c r="Q1323" s="616"/>
      <c r="R1323" s="663"/>
      <c r="S1323" s="459"/>
      <c r="T1323" s="459"/>
      <c r="U1323" s="459"/>
      <c r="V1323" s="459"/>
      <c r="W1323" s="459"/>
      <c r="X1323" s="459"/>
      <c r="Y1323" s="666"/>
      <c r="Z1323" s="664"/>
      <c r="AA1323" s="665"/>
      <c r="AB1323" s="665"/>
      <c r="AC1323" s="665"/>
      <c r="AD1323" s="665"/>
      <c r="AE1323" s="665"/>
      <c r="AF1323" s="649"/>
      <c r="AG1323" s="650"/>
      <c r="AH1323" s="650"/>
      <c r="AI1323" s="667"/>
    </row>
    <row r="1324" spans="12:35" ht="45" customHeight="1" thickBot="1" x14ac:dyDescent="0.25">
      <c r="L1324" s="645"/>
      <c r="M1324" s="616"/>
      <c r="N1324" s="616"/>
      <c r="O1324" s="616"/>
      <c r="P1324" s="615"/>
      <c r="Q1324" s="616"/>
      <c r="R1324" s="663"/>
      <c r="S1324" s="459"/>
      <c r="T1324" s="459"/>
      <c r="U1324" s="459"/>
      <c r="V1324" s="459"/>
      <c r="W1324" s="459"/>
      <c r="X1324" s="459"/>
      <c r="Y1324" s="666"/>
      <c r="Z1324" s="664"/>
      <c r="AA1324" s="665"/>
      <c r="AB1324" s="665"/>
      <c r="AC1324" s="665"/>
      <c r="AD1324" s="665"/>
      <c r="AE1324" s="665"/>
      <c r="AF1324" s="649"/>
      <c r="AG1324" s="650"/>
      <c r="AH1324" s="650"/>
      <c r="AI1324" s="667"/>
    </row>
    <row r="1325" spans="12:35" ht="45" customHeight="1" thickBot="1" x14ac:dyDescent="0.25">
      <c r="L1325" s="645"/>
      <c r="M1325" s="616"/>
      <c r="N1325" s="616"/>
      <c r="O1325" s="616"/>
      <c r="P1325" s="615"/>
      <c r="Q1325" s="616"/>
      <c r="R1325" s="663"/>
      <c r="S1325" s="459"/>
      <c r="T1325" s="459"/>
      <c r="U1325" s="459"/>
      <c r="V1325" s="459"/>
      <c r="W1325" s="459"/>
      <c r="X1325" s="459"/>
      <c r="Y1325" s="666"/>
      <c r="Z1325" s="664"/>
      <c r="AA1325" s="665"/>
      <c r="AB1325" s="665"/>
      <c r="AC1325" s="665"/>
      <c r="AD1325" s="665"/>
      <c r="AE1325" s="665"/>
      <c r="AF1325" s="649"/>
      <c r="AG1325" s="650"/>
      <c r="AH1325" s="650"/>
      <c r="AI1325" s="667"/>
    </row>
    <row r="1326" spans="12:35" ht="45" customHeight="1" thickBot="1" x14ac:dyDescent="0.25">
      <c r="L1326" s="645"/>
      <c r="M1326" s="616"/>
      <c r="N1326" s="616"/>
      <c r="O1326" s="616"/>
      <c r="P1326" s="615"/>
      <c r="Q1326" s="616"/>
      <c r="R1326" s="663"/>
      <c r="S1326" s="459"/>
      <c r="T1326" s="459"/>
      <c r="U1326" s="459"/>
      <c r="V1326" s="459"/>
      <c r="W1326" s="459"/>
      <c r="X1326" s="459"/>
      <c r="Y1326" s="666"/>
      <c r="Z1326" s="664"/>
      <c r="AA1326" s="665"/>
      <c r="AB1326" s="665"/>
      <c r="AC1326" s="665"/>
      <c r="AD1326" s="665"/>
      <c r="AE1326" s="665"/>
      <c r="AF1326" s="649"/>
      <c r="AG1326" s="650"/>
      <c r="AH1326" s="650"/>
      <c r="AI1326" s="667"/>
    </row>
    <row r="1327" spans="12:35" ht="45" customHeight="1" thickBot="1" x14ac:dyDescent="0.25">
      <c r="L1327" s="645"/>
      <c r="M1327" s="616"/>
      <c r="N1327" s="616"/>
      <c r="O1327" s="616"/>
      <c r="P1327" s="615"/>
      <c r="Q1327" s="616"/>
      <c r="R1327" s="663"/>
      <c r="S1327" s="459"/>
      <c r="T1327" s="459"/>
      <c r="U1327" s="459"/>
      <c r="V1327" s="459"/>
      <c r="W1327" s="459"/>
      <c r="X1327" s="459"/>
      <c r="Y1327" s="666"/>
      <c r="Z1327" s="664"/>
      <c r="AA1327" s="665"/>
      <c r="AB1327" s="665"/>
      <c r="AC1327" s="665"/>
      <c r="AD1327" s="665"/>
      <c r="AE1327" s="665"/>
      <c r="AF1327" s="649"/>
      <c r="AG1327" s="650"/>
      <c r="AH1327" s="650"/>
      <c r="AI1327" s="667"/>
    </row>
    <row r="1328" spans="12:35" ht="45" customHeight="1" thickBot="1" x14ac:dyDescent="0.25">
      <c r="L1328" s="645"/>
      <c r="M1328" s="616"/>
      <c r="N1328" s="616"/>
      <c r="O1328" s="616"/>
      <c r="P1328" s="615"/>
      <c r="Q1328" s="616"/>
      <c r="R1328" s="663"/>
      <c r="S1328" s="459"/>
      <c r="T1328" s="459"/>
      <c r="U1328" s="459"/>
      <c r="V1328" s="459"/>
      <c r="W1328" s="459"/>
      <c r="X1328" s="459"/>
      <c r="Y1328" s="666"/>
      <c r="Z1328" s="664"/>
      <c r="AA1328" s="665"/>
      <c r="AB1328" s="665"/>
      <c r="AC1328" s="665"/>
      <c r="AD1328" s="665"/>
      <c r="AE1328" s="665"/>
      <c r="AF1328" s="649"/>
      <c r="AG1328" s="650"/>
      <c r="AH1328" s="650"/>
      <c r="AI1328" s="667"/>
    </row>
    <row r="1329" spans="12:35" ht="45" customHeight="1" thickBot="1" x14ac:dyDescent="0.25">
      <c r="L1329" s="645"/>
      <c r="M1329" s="616"/>
      <c r="N1329" s="616"/>
      <c r="O1329" s="616"/>
      <c r="P1329" s="615"/>
      <c r="Q1329" s="616"/>
      <c r="R1329" s="663"/>
      <c r="S1329" s="459"/>
      <c r="T1329" s="459"/>
      <c r="U1329" s="459"/>
      <c r="V1329" s="459"/>
      <c r="W1329" s="459"/>
      <c r="X1329" s="459"/>
      <c r="Y1329" s="666"/>
      <c r="Z1329" s="664"/>
      <c r="AA1329" s="665"/>
      <c r="AB1329" s="665"/>
      <c r="AC1329" s="665"/>
      <c r="AD1329" s="665"/>
      <c r="AE1329" s="665"/>
      <c r="AF1329" s="649"/>
      <c r="AG1329" s="650"/>
      <c r="AH1329" s="650"/>
      <c r="AI1329" s="667"/>
    </row>
    <row r="1330" spans="12:35" ht="45" customHeight="1" thickBot="1" x14ac:dyDescent="0.25">
      <c r="L1330" s="645"/>
      <c r="M1330" s="616"/>
      <c r="N1330" s="616"/>
      <c r="O1330" s="616"/>
      <c r="P1330" s="615"/>
      <c r="Q1330" s="616"/>
      <c r="R1330" s="663"/>
      <c r="S1330" s="459"/>
      <c r="T1330" s="459"/>
      <c r="U1330" s="459"/>
      <c r="V1330" s="459"/>
      <c r="W1330" s="459"/>
      <c r="X1330" s="459"/>
      <c r="Y1330" s="666"/>
      <c r="Z1330" s="664"/>
      <c r="AA1330" s="665"/>
      <c r="AB1330" s="665"/>
      <c r="AC1330" s="665"/>
      <c r="AD1330" s="665"/>
      <c r="AE1330" s="665"/>
      <c r="AF1330" s="649"/>
      <c r="AG1330" s="650"/>
      <c r="AH1330" s="650"/>
      <c r="AI1330" s="667"/>
    </row>
    <row r="1331" spans="12:35" ht="45" customHeight="1" thickBot="1" x14ac:dyDescent="0.25">
      <c r="L1331" s="645"/>
      <c r="M1331" s="616"/>
      <c r="N1331" s="616"/>
      <c r="O1331" s="616"/>
      <c r="P1331" s="615"/>
      <c r="Q1331" s="616"/>
      <c r="R1331" s="663"/>
      <c r="S1331" s="459"/>
      <c r="T1331" s="459"/>
      <c r="U1331" s="459"/>
      <c r="V1331" s="459"/>
      <c r="W1331" s="459"/>
      <c r="X1331" s="459"/>
      <c r="Y1331" s="666"/>
      <c r="Z1331" s="664"/>
      <c r="AA1331" s="665"/>
      <c r="AB1331" s="665"/>
      <c r="AC1331" s="665"/>
      <c r="AD1331" s="665"/>
      <c r="AE1331" s="665"/>
      <c r="AF1331" s="649"/>
      <c r="AG1331" s="650"/>
      <c r="AH1331" s="650"/>
      <c r="AI1331" s="667"/>
    </row>
    <row r="1332" spans="12:35" ht="45" customHeight="1" thickBot="1" x14ac:dyDescent="0.25">
      <c r="L1332" s="645"/>
      <c r="M1332" s="616"/>
      <c r="N1332" s="616"/>
      <c r="O1332" s="616"/>
      <c r="P1332" s="615"/>
      <c r="Q1332" s="616"/>
      <c r="R1332" s="663"/>
      <c r="S1332" s="459"/>
      <c r="T1332" s="459"/>
      <c r="U1332" s="459"/>
      <c r="V1332" s="459"/>
      <c r="W1332" s="459"/>
      <c r="X1332" s="459"/>
      <c r="Y1332" s="666"/>
      <c r="Z1332" s="664"/>
      <c r="AA1332" s="665"/>
      <c r="AB1332" s="665"/>
      <c r="AC1332" s="665"/>
      <c r="AD1332" s="665"/>
      <c r="AE1332" s="665"/>
      <c r="AF1332" s="649"/>
      <c r="AG1332" s="650"/>
      <c r="AH1332" s="650"/>
      <c r="AI1332" s="667"/>
    </row>
    <row r="1333" spans="12:35" ht="45" customHeight="1" thickBot="1" x14ac:dyDescent="0.25">
      <c r="L1333" s="645"/>
      <c r="M1333" s="616"/>
      <c r="N1333" s="616"/>
      <c r="O1333" s="616"/>
      <c r="P1333" s="615"/>
      <c r="Q1333" s="616"/>
      <c r="R1333" s="663"/>
      <c r="S1333" s="459"/>
      <c r="T1333" s="459"/>
      <c r="U1333" s="459"/>
      <c r="V1333" s="459"/>
      <c r="W1333" s="459"/>
      <c r="X1333" s="459"/>
      <c r="Y1333" s="666"/>
      <c r="Z1333" s="664"/>
      <c r="AA1333" s="665"/>
      <c r="AB1333" s="665"/>
      <c r="AC1333" s="665"/>
      <c r="AD1333" s="665"/>
      <c r="AE1333" s="665"/>
      <c r="AF1333" s="649"/>
      <c r="AG1333" s="650"/>
      <c r="AH1333" s="650"/>
      <c r="AI1333" s="667"/>
    </row>
    <row r="1334" spans="12:35" ht="45" customHeight="1" thickBot="1" x14ac:dyDescent="0.25">
      <c r="L1334" s="645"/>
      <c r="M1334" s="616"/>
      <c r="N1334" s="616"/>
      <c r="O1334" s="616"/>
      <c r="P1334" s="615"/>
      <c r="Q1334" s="616"/>
      <c r="R1334" s="663"/>
      <c r="S1334" s="459"/>
      <c r="T1334" s="459"/>
      <c r="U1334" s="459"/>
      <c r="V1334" s="459"/>
      <c r="W1334" s="459"/>
      <c r="X1334" s="459"/>
      <c r="Y1334" s="666"/>
      <c r="Z1334" s="664"/>
      <c r="AA1334" s="665"/>
      <c r="AB1334" s="665"/>
      <c r="AC1334" s="665"/>
      <c r="AD1334" s="665"/>
      <c r="AE1334" s="665"/>
      <c r="AF1334" s="649"/>
      <c r="AG1334" s="650"/>
      <c r="AH1334" s="650"/>
      <c r="AI1334" s="667"/>
    </row>
    <row r="1335" spans="12:35" ht="45" customHeight="1" thickBot="1" x14ac:dyDescent="0.25">
      <c r="L1335" s="645"/>
      <c r="M1335" s="616"/>
      <c r="N1335" s="616"/>
      <c r="O1335" s="616"/>
      <c r="P1335" s="615"/>
      <c r="Q1335" s="616"/>
      <c r="R1335" s="663"/>
      <c r="S1335" s="459"/>
      <c r="T1335" s="459"/>
      <c r="U1335" s="459"/>
      <c r="V1335" s="459"/>
      <c r="W1335" s="459"/>
      <c r="X1335" s="459"/>
      <c r="Y1335" s="666"/>
      <c r="Z1335" s="664"/>
      <c r="AA1335" s="665"/>
      <c r="AB1335" s="665"/>
      <c r="AC1335" s="665"/>
      <c r="AD1335" s="665"/>
      <c r="AE1335" s="665"/>
      <c r="AF1335" s="649"/>
      <c r="AG1335" s="650"/>
      <c r="AH1335" s="650"/>
      <c r="AI1335" s="667"/>
    </row>
    <row r="1336" spans="12:35" ht="45" customHeight="1" thickBot="1" x14ac:dyDescent="0.25">
      <c r="L1336" s="645"/>
      <c r="M1336" s="616"/>
      <c r="N1336" s="616"/>
      <c r="O1336" s="616"/>
      <c r="P1336" s="615"/>
      <c r="Q1336" s="616"/>
      <c r="R1336" s="663"/>
      <c r="S1336" s="459"/>
      <c r="T1336" s="459"/>
      <c r="U1336" s="459"/>
      <c r="V1336" s="459"/>
      <c r="W1336" s="459"/>
      <c r="X1336" s="459"/>
      <c r="Y1336" s="666"/>
      <c r="Z1336" s="664"/>
      <c r="AA1336" s="665"/>
      <c r="AB1336" s="665"/>
      <c r="AC1336" s="665"/>
      <c r="AD1336" s="665"/>
      <c r="AE1336" s="665"/>
      <c r="AF1336" s="649"/>
      <c r="AG1336" s="650"/>
      <c r="AH1336" s="650"/>
      <c r="AI1336" s="667"/>
    </row>
    <row r="1337" spans="12:35" ht="45" customHeight="1" thickBot="1" x14ac:dyDescent="0.25">
      <c r="L1337" s="645"/>
      <c r="M1337" s="616"/>
      <c r="N1337" s="616"/>
      <c r="O1337" s="616"/>
      <c r="P1337" s="615"/>
      <c r="Q1337" s="616"/>
      <c r="R1337" s="663"/>
      <c r="S1337" s="459"/>
      <c r="T1337" s="459"/>
      <c r="U1337" s="459"/>
      <c r="V1337" s="459"/>
      <c r="W1337" s="459"/>
      <c r="X1337" s="459"/>
      <c r="Y1337" s="666"/>
      <c r="Z1337" s="664"/>
      <c r="AA1337" s="665"/>
      <c r="AB1337" s="665"/>
      <c r="AC1337" s="665"/>
      <c r="AD1337" s="665"/>
      <c r="AE1337" s="665"/>
      <c r="AF1337" s="649"/>
      <c r="AG1337" s="650"/>
      <c r="AH1337" s="650"/>
      <c r="AI1337" s="667"/>
    </row>
    <row r="1338" spans="12:35" ht="45" customHeight="1" thickBot="1" x14ac:dyDescent="0.25">
      <c r="L1338" s="645"/>
      <c r="M1338" s="616"/>
      <c r="N1338" s="616"/>
      <c r="O1338" s="616"/>
      <c r="P1338" s="615"/>
      <c r="Q1338" s="616"/>
      <c r="R1338" s="663"/>
      <c r="S1338" s="459"/>
      <c r="T1338" s="459"/>
      <c r="U1338" s="459"/>
      <c r="V1338" s="459"/>
      <c r="W1338" s="459"/>
      <c r="X1338" s="459"/>
      <c r="Y1338" s="666"/>
      <c r="Z1338" s="664"/>
      <c r="AA1338" s="665"/>
      <c r="AB1338" s="665"/>
      <c r="AC1338" s="665"/>
      <c r="AD1338" s="665"/>
      <c r="AE1338" s="665"/>
      <c r="AF1338" s="649"/>
      <c r="AG1338" s="650"/>
      <c r="AH1338" s="650"/>
      <c r="AI1338" s="667"/>
    </row>
    <row r="1339" spans="12:35" ht="45" customHeight="1" thickBot="1" x14ac:dyDescent="0.25">
      <c r="L1339" s="645"/>
      <c r="M1339" s="616"/>
      <c r="N1339" s="616"/>
      <c r="O1339" s="616"/>
      <c r="P1339" s="615"/>
      <c r="Q1339" s="616"/>
      <c r="R1339" s="663"/>
      <c r="S1339" s="459"/>
      <c r="T1339" s="459"/>
      <c r="U1339" s="459"/>
      <c r="V1339" s="459"/>
      <c r="W1339" s="459"/>
      <c r="X1339" s="459"/>
      <c r="Y1339" s="666"/>
      <c r="Z1339" s="664"/>
      <c r="AA1339" s="665"/>
      <c r="AB1339" s="665"/>
      <c r="AC1339" s="665"/>
      <c r="AD1339" s="665"/>
      <c r="AE1339" s="665"/>
      <c r="AF1339" s="649"/>
      <c r="AG1339" s="650"/>
      <c r="AH1339" s="650"/>
      <c r="AI1339" s="667"/>
    </row>
    <row r="1340" spans="12:35" ht="45" customHeight="1" thickBot="1" x14ac:dyDescent="0.25">
      <c r="L1340" s="645"/>
      <c r="M1340" s="616"/>
      <c r="N1340" s="616"/>
      <c r="O1340" s="616"/>
      <c r="P1340" s="615"/>
      <c r="Q1340" s="616"/>
      <c r="R1340" s="663"/>
      <c r="S1340" s="459"/>
      <c r="T1340" s="459"/>
      <c r="U1340" s="459"/>
      <c r="V1340" s="459"/>
      <c r="W1340" s="459"/>
      <c r="X1340" s="459"/>
      <c r="Y1340" s="666"/>
      <c r="Z1340" s="664"/>
      <c r="AA1340" s="665"/>
      <c r="AB1340" s="665"/>
      <c r="AC1340" s="665"/>
      <c r="AD1340" s="665"/>
      <c r="AE1340" s="665"/>
      <c r="AF1340" s="649"/>
      <c r="AG1340" s="650"/>
      <c r="AH1340" s="650"/>
      <c r="AI1340" s="667"/>
    </row>
    <row r="1341" spans="12:35" ht="45" customHeight="1" thickBot="1" x14ac:dyDescent="0.25">
      <c r="L1341" s="645"/>
      <c r="M1341" s="616"/>
      <c r="N1341" s="616"/>
      <c r="O1341" s="616"/>
      <c r="P1341" s="615"/>
      <c r="Q1341" s="616"/>
      <c r="R1341" s="663"/>
      <c r="S1341" s="459"/>
      <c r="T1341" s="459"/>
      <c r="U1341" s="459"/>
      <c r="V1341" s="459"/>
      <c r="W1341" s="459"/>
      <c r="X1341" s="459"/>
      <c r="Y1341" s="666"/>
      <c r="Z1341" s="664"/>
      <c r="AA1341" s="665"/>
      <c r="AB1341" s="665"/>
      <c r="AC1341" s="665"/>
      <c r="AD1341" s="665"/>
      <c r="AE1341" s="665"/>
      <c r="AF1341" s="649"/>
      <c r="AG1341" s="650"/>
      <c r="AH1341" s="650"/>
      <c r="AI1341" s="667"/>
    </row>
    <row r="1342" spans="12:35" ht="45" customHeight="1" thickBot="1" x14ac:dyDescent="0.25">
      <c r="L1342" s="645"/>
      <c r="M1342" s="616"/>
      <c r="N1342" s="616"/>
      <c r="O1342" s="616"/>
      <c r="P1342" s="615"/>
      <c r="Q1342" s="616"/>
      <c r="R1342" s="663"/>
      <c r="S1342" s="459"/>
      <c r="T1342" s="459"/>
      <c r="U1342" s="459"/>
      <c r="V1342" s="459"/>
      <c r="W1342" s="459"/>
      <c r="X1342" s="459"/>
      <c r="Y1342" s="666"/>
      <c r="Z1342" s="664"/>
      <c r="AA1342" s="665"/>
      <c r="AB1342" s="665"/>
      <c r="AC1342" s="665"/>
      <c r="AD1342" s="665"/>
      <c r="AE1342" s="665"/>
      <c r="AF1342" s="649"/>
      <c r="AG1342" s="650"/>
      <c r="AH1342" s="650"/>
      <c r="AI1342" s="667"/>
    </row>
    <row r="1343" spans="12:35" ht="45" customHeight="1" thickBot="1" x14ac:dyDescent="0.25">
      <c r="L1343" s="645"/>
      <c r="M1343" s="616"/>
      <c r="N1343" s="616"/>
      <c r="O1343" s="616"/>
      <c r="P1343" s="615"/>
      <c r="Q1343" s="616"/>
      <c r="R1343" s="663"/>
      <c r="S1343" s="459"/>
      <c r="T1343" s="459"/>
      <c r="U1343" s="459"/>
      <c r="V1343" s="459"/>
      <c r="W1343" s="459"/>
      <c r="X1343" s="459"/>
      <c r="Y1343" s="666"/>
      <c r="Z1343" s="664"/>
      <c r="AA1343" s="665"/>
      <c r="AB1343" s="665"/>
      <c r="AC1343" s="665"/>
      <c r="AD1343" s="665"/>
      <c r="AE1343" s="665"/>
      <c r="AF1343" s="649"/>
      <c r="AG1343" s="650"/>
      <c r="AH1343" s="650"/>
      <c r="AI1343" s="667"/>
    </row>
    <row r="1344" spans="12:35" ht="45" customHeight="1" thickBot="1" x14ac:dyDescent="0.25">
      <c r="L1344" s="645"/>
      <c r="M1344" s="616"/>
      <c r="N1344" s="616"/>
      <c r="O1344" s="616"/>
      <c r="P1344" s="615"/>
      <c r="Q1344" s="616"/>
      <c r="R1344" s="663"/>
      <c r="S1344" s="459"/>
      <c r="T1344" s="459"/>
      <c r="U1344" s="459"/>
      <c r="V1344" s="459"/>
      <c r="W1344" s="459"/>
      <c r="X1344" s="459"/>
      <c r="Y1344" s="666"/>
      <c r="Z1344" s="664"/>
      <c r="AA1344" s="665"/>
      <c r="AB1344" s="665"/>
      <c r="AC1344" s="665"/>
      <c r="AD1344" s="665"/>
      <c r="AE1344" s="665"/>
      <c r="AF1344" s="649"/>
      <c r="AG1344" s="650"/>
      <c r="AH1344" s="650"/>
      <c r="AI1344" s="667"/>
    </row>
    <row r="1345" spans="12:35" ht="45" customHeight="1" thickBot="1" x14ac:dyDescent="0.25">
      <c r="L1345" s="645"/>
      <c r="M1345" s="616"/>
      <c r="N1345" s="616"/>
      <c r="O1345" s="616"/>
      <c r="P1345" s="615"/>
      <c r="Q1345" s="616"/>
      <c r="R1345" s="663"/>
      <c r="S1345" s="459"/>
      <c r="T1345" s="459"/>
      <c r="U1345" s="459"/>
      <c r="V1345" s="459"/>
      <c r="W1345" s="459"/>
      <c r="X1345" s="459"/>
      <c r="Y1345" s="666"/>
      <c r="Z1345" s="664"/>
      <c r="AA1345" s="665"/>
      <c r="AB1345" s="665"/>
      <c r="AC1345" s="665"/>
      <c r="AD1345" s="665"/>
      <c r="AE1345" s="665"/>
      <c r="AF1345" s="649"/>
      <c r="AG1345" s="650"/>
      <c r="AH1345" s="650"/>
      <c r="AI1345" s="667"/>
    </row>
    <row r="1346" spans="12:35" ht="45" customHeight="1" thickBot="1" x14ac:dyDescent="0.25">
      <c r="L1346" s="645"/>
      <c r="M1346" s="616"/>
      <c r="N1346" s="616"/>
      <c r="O1346" s="616"/>
      <c r="P1346" s="615"/>
      <c r="Q1346" s="616"/>
      <c r="R1346" s="663"/>
      <c r="S1346" s="459"/>
      <c r="T1346" s="459"/>
      <c r="U1346" s="459"/>
      <c r="V1346" s="459"/>
      <c r="W1346" s="459"/>
      <c r="X1346" s="459"/>
      <c r="Y1346" s="666"/>
      <c r="Z1346" s="664"/>
      <c r="AA1346" s="665"/>
      <c r="AB1346" s="665"/>
      <c r="AC1346" s="665"/>
      <c r="AD1346" s="665"/>
      <c r="AE1346" s="665"/>
      <c r="AF1346" s="649"/>
      <c r="AG1346" s="650"/>
      <c r="AH1346" s="650"/>
      <c r="AI1346" s="667"/>
    </row>
    <row r="1347" spans="12:35" ht="45" customHeight="1" thickBot="1" x14ac:dyDescent="0.25">
      <c r="L1347" s="645"/>
      <c r="M1347" s="616"/>
      <c r="N1347" s="616"/>
      <c r="O1347" s="616"/>
      <c r="P1347" s="615"/>
      <c r="Q1347" s="616"/>
      <c r="R1347" s="663"/>
      <c r="S1347" s="459"/>
      <c r="T1347" s="459"/>
      <c r="U1347" s="459"/>
      <c r="V1347" s="459"/>
      <c r="W1347" s="459"/>
      <c r="X1347" s="459"/>
      <c r="Y1347" s="666"/>
      <c r="Z1347" s="664"/>
      <c r="AA1347" s="665"/>
      <c r="AB1347" s="665"/>
      <c r="AC1347" s="665"/>
      <c r="AD1347" s="665"/>
      <c r="AE1347" s="665"/>
      <c r="AF1347" s="649"/>
      <c r="AG1347" s="650"/>
      <c r="AH1347" s="650"/>
      <c r="AI1347" s="667"/>
    </row>
    <row r="1348" spans="12:35" ht="45" customHeight="1" thickBot="1" x14ac:dyDescent="0.25">
      <c r="L1348" s="645"/>
      <c r="M1348" s="616"/>
      <c r="N1348" s="616"/>
      <c r="O1348" s="616"/>
      <c r="P1348" s="615"/>
      <c r="Q1348" s="616"/>
      <c r="R1348" s="663"/>
      <c r="S1348" s="459"/>
      <c r="T1348" s="459"/>
      <c r="U1348" s="459"/>
      <c r="V1348" s="459"/>
      <c r="W1348" s="459"/>
      <c r="X1348" s="459"/>
      <c r="Y1348" s="666"/>
      <c r="Z1348" s="664"/>
      <c r="AA1348" s="665"/>
      <c r="AB1348" s="665"/>
      <c r="AC1348" s="665"/>
      <c r="AD1348" s="665"/>
      <c r="AE1348" s="665"/>
      <c r="AF1348" s="649"/>
      <c r="AG1348" s="650"/>
      <c r="AH1348" s="650"/>
      <c r="AI1348" s="667"/>
    </row>
    <row r="1349" spans="12:35" ht="45" customHeight="1" thickBot="1" x14ac:dyDescent="0.25">
      <c r="L1349" s="645"/>
      <c r="M1349" s="616"/>
      <c r="N1349" s="616"/>
      <c r="O1349" s="616"/>
      <c r="P1349" s="615"/>
      <c r="Q1349" s="616"/>
      <c r="R1349" s="663"/>
      <c r="S1349" s="459"/>
      <c r="T1349" s="459"/>
      <c r="U1349" s="459"/>
      <c r="V1349" s="459"/>
      <c r="W1349" s="459"/>
      <c r="X1349" s="459"/>
      <c r="Y1349" s="666"/>
      <c r="Z1349" s="664"/>
      <c r="AA1349" s="665"/>
      <c r="AB1349" s="665"/>
      <c r="AC1349" s="665"/>
      <c r="AD1349" s="665"/>
      <c r="AE1349" s="665"/>
      <c r="AF1349" s="649"/>
      <c r="AG1349" s="650"/>
      <c r="AH1349" s="650"/>
      <c r="AI1349" s="667"/>
    </row>
    <row r="1350" spans="12:35" ht="45" customHeight="1" thickBot="1" x14ac:dyDescent="0.25">
      <c r="L1350" s="645"/>
      <c r="M1350" s="616"/>
      <c r="N1350" s="616"/>
      <c r="O1350" s="616"/>
      <c r="P1350" s="615"/>
      <c r="Q1350" s="616"/>
      <c r="R1350" s="663"/>
      <c r="S1350" s="459"/>
      <c r="T1350" s="459"/>
      <c r="U1350" s="459"/>
      <c r="V1350" s="459"/>
      <c r="W1350" s="459"/>
      <c r="X1350" s="459"/>
      <c r="Y1350" s="666"/>
      <c r="Z1350" s="664"/>
      <c r="AA1350" s="665"/>
      <c r="AB1350" s="665"/>
      <c r="AC1350" s="665"/>
      <c r="AD1350" s="665"/>
      <c r="AE1350" s="665"/>
      <c r="AF1350" s="649"/>
      <c r="AG1350" s="650"/>
      <c r="AH1350" s="650"/>
      <c r="AI1350" s="667"/>
    </row>
    <row r="1351" spans="12:35" ht="45" customHeight="1" thickBot="1" x14ac:dyDescent="0.25">
      <c r="L1351" s="645"/>
      <c r="M1351" s="616"/>
      <c r="N1351" s="616"/>
      <c r="O1351" s="616"/>
      <c r="P1351" s="615"/>
      <c r="Q1351" s="616"/>
      <c r="R1351" s="663"/>
      <c r="S1351" s="459"/>
      <c r="T1351" s="459"/>
      <c r="U1351" s="459"/>
      <c r="V1351" s="459"/>
      <c r="W1351" s="459"/>
      <c r="X1351" s="459"/>
      <c r="Y1351" s="666"/>
      <c r="Z1351" s="664"/>
      <c r="AA1351" s="665"/>
      <c r="AB1351" s="665"/>
      <c r="AC1351" s="665"/>
      <c r="AD1351" s="665"/>
      <c r="AE1351" s="665"/>
      <c r="AF1351" s="649"/>
      <c r="AG1351" s="650"/>
      <c r="AH1351" s="650"/>
      <c r="AI1351" s="667"/>
    </row>
    <row r="1352" spans="12:35" ht="45" customHeight="1" thickBot="1" x14ac:dyDescent="0.25">
      <c r="L1352" s="645"/>
      <c r="M1352" s="616"/>
      <c r="N1352" s="616"/>
      <c r="O1352" s="616"/>
      <c r="P1352" s="615"/>
      <c r="Q1352" s="616"/>
      <c r="R1352" s="663"/>
      <c r="S1352" s="459"/>
      <c r="T1352" s="459"/>
      <c r="U1352" s="459"/>
      <c r="V1352" s="459"/>
      <c r="W1352" s="459"/>
      <c r="X1352" s="459"/>
      <c r="Y1352" s="666"/>
      <c r="Z1352" s="664"/>
      <c r="AA1352" s="665"/>
      <c r="AB1352" s="665"/>
      <c r="AC1352" s="665"/>
      <c r="AD1352" s="665"/>
      <c r="AE1352" s="665"/>
      <c r="AF1352" s="649"/>
      <c r="AG1352" s="650"/>
      <c r="AH1352" s="650"/>
      <c r="AI1352" s="667"/>
    </row>
    <row r="1353" spans="12:35" ht="45" customHeight="1" thickBot="1" x14ac:dyDescent="0.25">
      <c r="L1353" s="645"/>
      <c r="M1353" s="616"/>
      <c r="N1353" s="616"/>
      <c r="O1353" s="616"/>
      <c r="P1353" s="615"/>
      <c r="Q1353" s="616"/>
      <c r="R1353" s="663"/>
      <c r="S1353" s="459"/>
      <c r="T1353" s="459"/>
      <c r="U1353" s="459"/>
      <c r="V1353" s="459"/>
      <c r="W1353" s="459"/>
      <c r="X1353" s="459"/>
      <c r="Y1353" s="666"/>
      <c r="Z1353" s="664"/>
      <c r="AA1353" s="665"/>
      <c r="AB1353" s="665"/>
      <c r="AC1353" s="665"/>
      <c r="AD1353" s="665"/>
      <c r="AE1353" s="665"/>
      <c r="AF1353" s="649"/>
      <c r="AG1353" s="650"/>
      <c r="AH1353" s="650"/>
      <c r="AI1353" s="667"/>
    </row>
    <row r="1354" spans="12:35" ht="45" customHeight="1" thickBot="1" x14ac:dyDescent="0.25">
      <c r="L1354" s="645"/>
      <c r="M1354" s="616"/>
      <c r="N1354" s="616"/>
      <c r="O1354" s="616"/>
      <c r="P1354" s="615"/>
      <c r="Q1354" s="616"/>
      <c r="R1354" s="663"/>
      <c r="S1354" s="459"/>
      <c r="T1354" s="459"/>
      <c r="U1354" s="459"/>
      <c r="V1354" s="459"/>
      <c r="W1354" s="459"/>
      <c r="X1354" s="459"/>
      <c r="Y1354" s="666"/>
      <c r="Z1354" s="664"/>
      <c r="AA1354" s="665"/>
      <c r="AB1354" s="665"/>
      <c r="AC1354" s="665"/>
      <c r="AD1354" s="665"/>
      <c r="AE1354" s="665"/>
      <c r="AF1354" s="649"/>
      <c r="AG1354" s="650"/>
      <c r="AH1354" s="650"/>
      <c r="AI1354" s="667"/>
    </row>
    <row r="1355" spans="12:35" ht="45" customHeight="1" thickBot="1" x14ac:dyDescent="0.25">
      <c r="L1355" s="645"/>
      <c r="M1355" s="616"/>
      <c r="N1355" s="616"/>
      <c r="O1355" s="616"/>
      <c r="P1355" s="615"/>
      <c r="Q1355" s="616"/>
      <c r="R1355" s="663"/>
      <c r="S1355" s="459"/>
      <c r="T1355" s="459"/>
      <c r="U1355" s="459"/>
      <c r="V1355" s="459"/>
      <c r="W1355" s="459"/>
      <c r="X1355" s="459"/>
      <c r="Y1355" s="666"/>
      <c r="Z1355" s="664"/>
      <c r="AA1355" s="665"/>
      <c r="AB1355" s="665"/>
      <c r="AC1355" s="665"/>
      <c r="AD1355" s="665"/>
      <c r="AE1355" s="665"/>
      <c r="AF1355" s="649"/>
      <c r="AG1355" s="650"/>
      <c r="AH1355" s="650"/>
      <c r="AI1355" s="667"/>
    </row>
    <row r="1356" spans="12:35" ht="45" customHeight="1" thickBot="1" x14ac:dyDescent="0.25">
      <c r="L1356" s="645"/>
      <c r="M1356" s="616"/>
      <c r="N1356" s="616"/>
      <c r="O1356" s="616"/>
      <c r="P1356" s="615"/>
      <c r="Q1356" s="616"/>
      <c r="R1356" s="663"/>
      <c r="S1356" s="459"/>
      <c r="T1356" s="459"/>
      <c r="U1356" s="459"/>
      <c r="V1356" s="459"/>
      <c r="W1356" s="459"/>
      <c r="X1356" s="459"/>
      <c r="Y1356" s="666"/>
      <c r="Z1356" s="664"/>
      <c r="AA1356" s="665"/>
      <c r="AB1356" s="665"/>
      <c r="AC1356" s="665"/>
      <c r="AD1356" s="665"/>
      <c r="AE1356" s="665"/>
      <c r="AF1356" s="649"/>
      <c r="AG1356" s="650"/>
      <c r="AH1356" s="650"/>
      <c r="AI1356" s="667"/>
    </row>
    <row r="1357" spans="12:35" ht="45" customHeight="1" thickBot="1" x14ac:dyDescent="0.25">
      <c r="L1357" s="645"/>
      <c r="M1357" s="616"/>
      <c r="N1357" s="616"/>
      <c r="O1357" s="616"/>
      <c r="P1357" s="615"/>
      <c r="Q1357" s="616"/>
      <c r="R1357" s="663"/>
      <c r="S1357" s="459"/>
      <c r="T1357" s="459"/>
      <c r="U1357" s="459"/>
      <c r="V1357" s="459"/>
      <c r="W1357" s="459"/>
      <c r="X1357" s="459"/>
      <c r="Y1357" s="666"/>
      <c r="Z1357" s="664"/>
      <c r="AA1357" s="665"/>
      <c r="AB1357" s="665"/>
      <c r="AC1357" s="665"/>
      <c r="AD1357" s="665"/>
      <c r="AE1357" s="665"/>
      <c r="AF1357" s="649"/>
      <c r="AG1357" s="650"/>
      <c r="AH1357" s="650"/>
      <c r="AI1357" s="667"/>
    </row>
    <row r="1358" spans="12:35" ht="45" customHeight="1" thickBot="1" x14ac:dyDescent="0.25">
      <c r="L1358" s="645"/>
      <c r="M1358" s="616"/>
      <c r="N1358" s="616"/>
      <c r="O1358" s="616"/>
      <c r="P1358" s="615"/>
      <c r="Q1358" s="616"/>
      <c r="R1358" s="663"/>
      <c r="S1358" s="459"/>
      <c r="T1358" s="459"/>
      <c r="U1358" s="459"/>
      <c r="V1358" s="459"/>
      <c r="W1358" s="459"/>
      <c r="X1358" s="459"/>
      <c r="Y1358" s="666"/>
      <c r="Z1358" s="664"/>
      <c r="AA1358" s="665"/>
      <c r="AB1358" s="665"/>
      <c r="AC1358" s="665"/>
      <c r="AD1358" s="665"/>
      <c r="AE1358" s="665"/>
      <c r="AF1358" s="649"/>
      <c r="AG1358" s="650"/>
      <c r="AH1358" s="650"/>
      <c r="AI1358" s="667"/>
    </row>
    <row r="1359" spans="12:35" ht="45" customHeight="1" thickBot="1" x14ac:dyDescent="0.25">
      <c r="L1359" s="645"/>
      <c r="M1359" s="616"/>
      <c r="N1359" s="616"/>
      <c r="O1359" s="616"/>
      <c r="P1359" s="615"/>
      <c r="Q1359" s="616"/>
      <c r="R1359" s="663"/>
      <c r="S1359" s="459"/>
      <c r="T1359" s="459"/>
      <c r="U1359" s="459"/>
      <c r="V1359" s="459"/>
      <c r="W1359" s="459"/>
      <c r="X1359" s="459"/>
      <c r="Y1359" s="666"/>
      <c r="Z1359" s="664"/>
      <c r="AA1359" s="665"/>
      <c r="AB1359" s="665"/>
      <c r="AC1359" s="665"/>
      <c r="AD1359" s="665"/>
      <c r="AE1359" s="665"/>
      <c r="AF1359" s="649"/>
      <c r="AG1359" s="650"/>
      <c r="AH1359" s="650"/>
      <c r="AI1359" s="667"/>
    </row>
    <row r="1360" spans="12:35" ht="45" customHeight="1" thickBot="1" x14ac:dyDescent="0.25">
      <c r="L1360" s="645"/>
      <c r="M1360" s="616"/>
      <c r="N1360" s="616"/>
      <c r="O1360" s="616"/>
      <c r="P1360" s="615"/>
      <c r="Q1360" s="616"/>
      <c r="R1360" s="663"/>
      <c r="S1360" s="459"/>
      <c r="T1360" s="459"/>
      <c r="U1360" s="459"/>
      <c r="V1360" s="459"/>
      <c r="W1360" s="459"/>
      <c r="X1360" s="459"/>
      <c r="Y1360" s="666"/>
      <c r="Z1360" s="664"/>
      <c r="AA1360" s="665"/>
      <c r="AB1360" s="665"/>
      <c r="AC1360" s="665"/>
      <c r="AD1360" s="665"/>
      <c r="AE1360" s="665"/>
      <c r="AF1360" s="649"/>
      <c r="AG1360" s="650"/>
      <c r="AH1360" s="650"/>
      <c r="AI1360" s="667"/>
    </row>
    <row r="1361" spans="12:35" ht="45" customHeight="1" thickBot="1" x14ac:dyDescent="0.25">
      <c r="L1361" s="645"/>
      <c r="M1361" s="616"/>
      <c r="N1361" s="616"/>
      <c r="O1361" s="616"/>
      <c r="P1361" s="615"/>
      <c r="Q1361" s="616"/>
      <c r="R1361" s="663"/>
      <c r="S1361" s="459"/>
      <c r="T1361" s="459"/>
      <c r="U1361" s="459"/>
      <c r="V1361" s="459"/>
      <c r="W1361" s="459"/>
      <c r="X1361" s="459"/>
      <c r="Y1361" s="666"/>
      <c r="Z1361" s="664"/>
      <c r="AA1361" s="665"/>
      <c r="AB1361" s="665"/>
      <c r="AC1361" s="665"/>
      <c r="AD1361" s="665"/>
      <c r="AE1361" s="665"/>
      <c r="AF1361" s="649"/>
      <c r="AG1361" s="650"/>
      <c r="AH1361" s="650"/>
      <c r="AI1361" s="667"/>
    </row>
    <row r="1362" spans="12:35" ht="45" customHeight="1" thickBot="1" x14ac:dyDescent="0.25">
      <c r="L1362" s="645"/>
      <c r="M1362" s="616"/>
      <c r="N1362" s="616"/>
      <c r="O1362" s="616"/>
      <c r="P1362" s="615"/>
      <c r="Q1362" s="616"/>
      <c r="R1362" s="663"/>
      <c r="S1362" s="459"/>
      <c r="T1362" s="459"/>
      <c r="U1362" s="459"/>
      <c r="V1362" s="459"/>
      <c r="W1362" s="459"/>
      <c r="X1362" s="459"/>
      <c r="Y1362" s="666"/>
      <c r="Z1362" s="664"/>
      <c r="AA1362" s="665"/>
      <c r="AB1362" s="665"/>
      <c r="AC1362" s="665"/>
      <c r="AD1362" s="665"/>
      <c r="AE1362" s="665"/>
      <c r="AF1362" s="649"/>
      <c r="AG1362" s="650"/>
      <c r="AH1362" s="650"/>
      <c r="AI1362" s="667"/>
    </row>
    <row r="1363" spans="12:35" ht="45" customHeight="1" thickBot="1" x14ac:dyDescent="0.25">
      <c r="L1363" s="645"/>
      <c r="M1363" s="616"/>
      <c r="N1363" s="616"/>
      <c r="O1363" s="616"/>
      <c r="P1363" s="615"/>
      <c r="Q1363" s="616"/>
      <c r="R1363" s="663"/>
      <c r="S1363" s="459"/>
      <c r="T1363" s="459"/>
      <c r="U1363" s="459"/>
      <c r="V1363" s="459"/>
      <c r="W1363" s="459"/>
      <c r="X1363" s="459"/>
      <c r="Y1363" s="666"/>
      <c r="Z1363" s="664"/>
      <c r="AA1363" s="665"/>
      <c r="AB1363" s="665"/>
      <c r="AC1363" s="665"/>
      <c r="AD1363" s="665"/>
      <c r="AE1363" s="665"/>
      <c r="AF1363" s="649"/>
      <c r="AG1363" s="650"/>
      <c r="AH1363" s="650"/>
      <c r="AI1363" s="667"/>
    </row>
    <row r="1364" spans="12:35" ht="45" customHeight="1" thickBot="1" x14ac:dyDescent="0.25">
      <c r="L1364" s="645"/>
      <c r="M1364" s="616"/>
      <c r="N1364" s="616"/>
      <c r="O1364" s="616"/>
      <c r="P1364" s="615"/>
      <c r="Q1364" s="616"/>
      <c r="R1364" s="663"/>
      <c r="S1364" s="459"/>
      <c r="T1364" s="459"/>
      <c r="U1364" s="459"/>
      <c r="V1364" s="459"/>
      <c r="W1364" s="459"/>
      <c r="X1364" s="459"/>
      <c r="Y1364" s="666"/>
      <c r="Z1364" s="664"/>
      <c r="AA1364" s="665"/>
      <c r="AB1364" s="665"/>
      <c r="AC1364" s="665"/>
      <c r="AD1364" s="665"/>
      <c r="AE1364" s="665"/>
      <c r="AF1364" s="649"/>
      <c r="AG1364" s="650"/>
      <c r="AH1364" s="650"/>
      <c r="AI1364" s="667"/>
    </row>
    <row r="1365" spans="12:35" ht="45" customHeight="1" thickBot="1" x14ac:dyDescent="0.25">
      <c r="L1365" s="645"/>
      <c r="M1365" s="616"/>
      <c r="N1365" s="616"/>
      <c r="O1365" s="616"/>
      <c r="P1365" s="615"/>
      <c r="Q1365" s="616"/>
      <c r="R1365" s="663"/>
      <c r="S1365" s="459"/>
      <c r="T1365" s="459"/>
      <c r="U1365" s="459"/>
      <c r="V1365" s="459"/>
      <c r="W1365" s="459"/>
      <c r="X1365" s="459"/>
      <c r="Y1365" s="666"/>
      <c r="Z1365" s="664"/>
      <c r="AA1365" s="665"/>
      <c r="AB1365" s="665"/>
      <c r="AC1365" s="665"/>
      <c r="AD1365" s="665"/>
      <c r="AE1365" s="665"/>
      <c r="AF1365" s="649"/>
      <c r="AG1365" s="650"/>
      <c r="AH1365" s="650"/>
      <c r="AI1365" s="667"/>
    </row>
    <row r="1366" spans="12:35" ht="45" customHeight="1" thickBot="1" x14ac:dyDescent="0.25">
      <c r="L1366" s="645"/>
      <c r="M1366" s="616"/>
      <c r="N1366" s="616"/>
      <c r="O1366" s="616"/>
      <c r="P1366" s="615"/>
      <c r="Q1366" s="616"/>
      <c r="R1366" s="663"/>
      <c r="S1366" s="459"/>
      <c r="T1366" s="459"/>
      <c r="U1366" s="459"/>
      <c r="V1366" s="459"/>
      <c r="W1366" s="459"/>
      <c r="X1366" s="459"/>
      <c r="Y1366" s="666"/>
      <c r="Z1366" s="664"/>
      <c r="AA1366" s="665"/>
      <c r="AB1366" s="665"/>
      <c r="AC1366" s="665"/>
      <c r="AD1366" s="665"/>
      <c r="AE1366" s="665"/>
      <c r="AF1366" s="649"/>
      <c r="AG1366" s="650"/>
      <c r="AH1366" s="650"/>
      <c r="AI1366" s="667"/>
    </row>
    <row r="1367" spans="12:35" ht="45" customHeight="1" thickBot="1" x14ac:dyDescent="0.25">
      <c r="L1367" s="645"/>
      <c r="M1367" s="616"/>
      <c r="N1367" s="616"/>
      <c r="O1367" s="616"/>
      <c r="P1367" s="615"/>
      <c r="Q1367" s="616"/>
      <c r="R1367" s="663"/>
      <c r="S1367" s="459"/>
      <c r="T1367" s="459"/>
      <c r="U1367" s="459"/>
      <c r="V1367" s="459"/>
      <c r="W1367" s="459"/>
      <c r="X1367" s="459"/>
      <c r="Y1367" s="666"/>
      <c r="Z1367" s="664"/>
      <c r="AA1367" s="665"/>
      <c r="AB1367" s="665"/>
      <c r="AC1367" s="665"/>
      <c r="AD1367" s="665"/>
      <c r="AE1367" s="665"/>
      <c r="AF1367" s="649"/>
      <c r="AG1367" s="650"/>
      <c r="AH1367" s="650"/>
      <c r="AI1367" s="667"/>
    </row>
    <row r="1368" spans="12:35" ht="45" customHeight="1" thickBot="1" x14ac:dyDescent="0.25">
      <c r="L1368" s="645"/>
      <c r="M1368" s="616"/>
      <c r="N1368" s="616"/>
      <c r="O1368" s="616"/>
      <c r="P1368" s="615"/>
      <c r="Q1368" s="616"/>
      <c r="R1368" s="663"/>
      <c r="S1368" s="459"/>
      <c r="T1368" s="459"/>
      <c r="U1368" s="459"/>
      <c r="V1368" s="459"/>
      <c r="W1368" s="459"/>
      <c r="X1368" s="459"/>
      <c r="Y1368" s="666"/>
      <c r="Z1368" s="664"/>
      <c r="AA1368" s="665"/>
      <c r="AB1368" s="665"/>
      <c r="AC1368" s="665"/>
      <c r="AD1368" s="665"/>
      <c r="AE1368" s="665"/>
      <c r="AF1368" s="649"/>
      <c r="AG1368" s="650"/>
      <c r="AH1368" s="650"/>
      <c r="AI1368" s="667"/>
    </row>
    <row r="1369" spans="12:35" ht="45" customHeight="1" thickBot="1" x14ac:dyDescent="0.25">
      <c r="L1369" s="645"/>
      <c r="M1369" s="616"/>
      <c r="N1369" s="616"/>
      <c r="O1369" s="616"/>
      <c r="P1369" s="615"/>
      <c r="Q1369" s="616"/>
      <c r="R1369" s="663"/>
      <c r="S1369" s="459"/>
      <c r="T1369" s="459"/>
      <c r="U1369" s="459"/>
      <c r="V1369" s="459"/>
      <c r="W1369" s="459"/>
      <c r="X1369" s="459"/>
      <c r="Y1369" s="666"/>
      <c r="Z1369" s="664"/>
      <c r="AA1369" s="665"/>
      <c r="AB1369" s="665"/>
      <c r="AC1369" s="665"/>
      <c r="AD1369" s="665"/>
      <c r="AE1369" s="665"/>
      <c r="AF1369" s="649"/>
      <c r="AG1369" s="650"/>
      <c r="AH1369" s="650"/>
      <c r="AI1369" s="667"/>
    </row>
    <row r="1370" spans="12:35" ht="45" customHeight="1" thickBot="1" x14ac:dyDescent="0.25">
      <c r="L1370" s="645"/>
      <c r="M1370" s="616"/>
      <c r="N1370" s="616"/>
      <c r="O1370" s="616"/>
      <c r="P1370" s="615"/>
      <c r="Q1370" s="616"/>
      <c r="R1370" s="663"/>
      <c r="S1370" s="459"/>
      <c r="T1370" s="459"/>
      <c r="U1370" s="459"/>
      <c r="V1370" s="459"/>
      <c r="W1370" s="459"/>
      <c r="X1370" s="459"/>
      <c r="Y1370" s="666"/>
      <c r="Z1370" s="664"/>
      <c r="AA1370" s="665"/>
      <c r="AB1370" s="665"/>
      <c r="AC1370" s="665"/>
      <c r="AD1370" s="665"/>
      <c r="AE1370" s="665"/>
      <c r="AF1370" s="649"/>
      <c r="AG1370" s="650"/>
      <c r="AH1370" s="650"/>
      <c r="AI1370" s="667"/>
    </row>
    <row r="1371" spans="12:35" ht="45" customHeight="1" thickBot="1" x14ac:dyDescent="0.25">
      <c r="L1371" s="645"/>
      <c r="M1371" s="616"/>
      <c r="N1371" s="616"/>
      <c r="O1371" s="616"/>
      <c r="P1371" s="615"/>
      <c r="Q1371" s="616"/>
      <c r="R1371" s="663"/>
      <c r="S1371" s="459"/>
      <c r="T1371" s="459"/>
      <c r="U1371" s="459"/>
      <c r="V1371" s="459"/>
      <c r="W1371" s="459"/>
      <c r="X1371" s="459"/>
      <c r="Y1371" s="666"/>
      <c r="Z1371" s="664"/>
      <c r="AA1371" s="665"/>
      <c r="AB1371" s="665"/>
      <c r="AC1371" s="665"/>
      <c r="AD1371" s="665"/>
      <c r="AE1371" s="665"/>
      <c r="AF1371" s="649"/>
      <c r="AG1371" s="650"/>
      <c r="AH1371" s="650"/>
      <c r="AI1371" s="667"/>
    </row>
    <row r="1372" spans="12:35" ht="45" customHeight="1" thickBot="1" x14ac:dyDescent="0.25">
      <c r="L1372" s="645"/>
      <c r="M1372" s="616"/>
      <c r="N1372" s="616"/>
      <c r="O1372" s="616"/>
      <c r="P1372" s="615"/>
      <c r="Q1372" s="616"/>
      <c r="R1372" s="663"/>
      <c r="S1372" s="459"/>
      <c r="T1372" s="459"/>
      <c r="U1372" s="459"/>
      <c r="V1372" s="459"/>
      <c r="W1372" s="459"/>
      <c r="X1372" s="459"/>
      <c r="Y1372" s="666"/>
      <c r="Z1372" s="664"/>
      <c r="AA1372" s="665"/>
      <c r="AB1372" s="665"/>
      <c r="AC1372" s="665"/>
      <c r="AD1372" s="665"/>
      <c r="AE1372" s="665"/>
      <c r="AF1372" s="649"/>
      <c r="AG1372" s="650"/>
      <c r="AH1372" s="650"/>
      <c r="AI1372" s="667"/>
    </row>
    <row r="1373" spans="12:35" ht="45" customHeight="1" thickBot="1" x14ac:dyDescent="0.25">
      <c r="L1373" s="645"/>
      <c r="M1373" s="616"/>
      <c r="N1373" s="616"/>
      <c r="O1373" s="616"/>
      <c r="P1373" s="615"/>
      <c r="Q1373" s="616"/>
      <c r="R1373" s="663"/>
      <c r="S1373" s="459"/>
      <c r="T1373" s="459"/>
      <c r="U1373" s="459"/>
      <c r="V1373" s="459"/>
      <c r="W1373" s="459"/>
      <c r="X1373" s="459"/>
      <c r="Y1373" s="666"/>
      <c r="Z1373" s="664"/>
      <c r="AA1373" s="665"/>
      <c r="AB1373" s="665"/>
      <c r="AC1373" s="665"/>
      <c r="AD1373" s="665"/>
      <c r="AE1373" s="665"/>
      <c r="AF1373" s="649"/>
      <c r="AG1373" s="650"/>
      <c r="AH1373" s="650"/>
      <c r="AI1373" s="667"/>
    </row>
    <row r="1374" spans="12:35" ht="45" customHeight="1" thickBot="1" x14ac:dyDescent="0.25">
      <c r="L1374" s="645"/>
      <c r="M1374" s="616"/>
      <c r="N1374" s="616"/>
      <c r="O1374" s="616"/>
      <c r="P1374" s="615"/>
      <c r="Q1374" s="616"/>
      <c r="R1374" s="663"/>
      <c r="S1374" s="459"/>
      <c r="T1374" s="459"/>
      <c r="U1374" s="459"/>
      <c r="V1374" s="459"/>
      <c r="W1374" s="459"/>
      <c r="X1374" s="459"/>
      <c r="Y1374" s="666"/>
      <c r="Z1374" s="664"/>
      <c r="AA1374" s="665"/>
      <c r="AB1374" s="665"/>
      <c r="AC1374" s="665"/>
      <c r="AD1374" s="665"/>
      <c r="AE1374" s="665"/>
      <c r="AF1374" s="649"/>
      <c r="AG1374" s="650"/>
      <c r="AH1374" s="650"/>
      <c r="AI1374" s="667"/>
    </row>
    <row r="1375" spans="12:35" ht="45" customHeight="1" thickBot="1" x14ac:dyDescent="0.25">
      <c r="L1375" s="645"/>
      <c r="M1375" s="616"/>
      <c r="N1375" s="616"/>
      <c r="O1375" s="616"/>
      <c r="P1375" s="615"/>
      <c r="Q1375" s="616"/>
      <c r="R1375" s="663"/>
      <c r="S1375" s="459"/>
      <c r="T1375" s="459"/>
      <c r="U1375" s="459"/>
      <c r="V1375" s="459"/>
      <c r="W1375" s="459"/>
      <c r="X1375" s="459"/>
      <c r="Y1375" s="666"/>
      <c r="Z1375" s="664"/>
      <c r="AA1375" s="665"/>
      <c r="AB1375" s="665"/>
      <c r="AC1375" s="665"/>
      <c r="AD1375" s="665"/>
      <c r="AE1375" s="665"/>
      <c r="AF1375" s="649"/>
      <c r="AG1375" s="650"/>
      <c r="AH1375" s="650"/>
      <c r="AI1375" s="667"/>
    </row>
    <row r="1376" spans="12:35" ht="45" customHeight="1" thickBot="1" x14ac:dyDescent="0.25">
      <c r="L1376" s="645"/>
      <c r="M1376" s="616"/>
      <c r="N1376" s="616"/>
      <c r="O1376" s="616"/>
      <c r="P1376" s="615"/>
      <c r="Q1376" s="616"/>
      <c r="R1376" s="663"/>
      <c r="S1376" s="459"/>
      <c r="T1376" s="459"/>
      <c r="U1376" s="459"/>
      <c r="V1376" s="459"/>
      <c r="W1376" s="459"/>
      <c r="X1376" s="459"/>
      <c r="Y1376" s="666"/>
      <c r="Z1376" s="664"/>
      <c r="AA1376" s="665"/>
      <c r="AB1376" s="665"/>
      <c r="AC1376" s="665"/>
      <c r="AD1376" s="665"/>
      <c r="AE1376" s="665"/>
      <c r="AF1376" s="649"/>
      <c r="AG1376" s="650"/>
      <c r="AH1376" s="650"/>
      <c r="AI1376" s="667"/>
    </row>
    <row r="1377" spans="12:35" ht="45" customHeight="1" thickBot="1" x14ac:dyDescent="0.25">
      <c r="L1377" s="645"/>
      <c r="M1377" s="616"/>
      <c r="N1377" s="616"/>
      <c r="O1377" s="616"/>
      <c r="P1377" s="615"/>
      <c r="Q1377" s="616"/>
      <c r="R1377" s="663"/>
      <c r="S1377" s="459"/>
      <c r="T1377" s="459"/>
      <c r="U1377" s="459"/>
      <c r="V1377" s="459"/>
      <c r="W1377" s="459"/>
      <c r="X1377" s="459"/>
      <c r="Y1377" s="666"/>
      <c r="Z1377" s="664"/>
      <c r="AA1377" s="665"/>
      <c r="AB1377" s="665"/>
      <c r="AC1377" s="665"/>
      <c r="AD1377" s="665"/>
      <c r="AE1377" s="665"/>
      <c r="AF1377" s="649"/>
      <c r="AG1377" s="650"/>
      <c r="AH1377" s="650"/>
      <c r="AI1377" s="667"/>
    </row>
    <row r="1378" spans="12:35" ht="45" customHeight="1" thickBot="1" x14ac:dyDescent="0.25">
      <c r="L1378" s="645"/>
      <c r="M1378" s="616"/>
      <c r="N1378" s="616"/>
      <c r="O1378" s="616"/>
      <c r="P1378" s="615"/>
      <c r="Q1378" s="616"/>
      <c r="R1378" s="663"/>
      <c r="S1378" s="459"/>
      <c r="T1378" s="459"/>
      <c r="U1378" s="459"/>
      <c r="V1378" s="459"/>
      <c r="W1378" s="459"/>
      <c r="X1378" s="459"/>
      <c r="Y1378" s="666"/>
      <c r="Z1378" s="664"/>
      <c r="AA1378" s="665"/>
      <c r="AB1378" s="665"/>
      <c r="AC1378" s="665"/>
      <c r="AD1378" s="665"/>
      <c r="AE1378" s="665"/>
      <c r="AF1378" s="649"/>
      <c r="AG1378" s="650"/>
      <c r="AH1378" s="650"/>
      <c r="AI1378" s="667"/>
    </row>
    <row r="1379" spans="12:35" ht="45" customHeight="1" thickBot="1" x14ac:dyDescent="0.25">
      <c r="L1379" s="645"/>
      <c r="M1379" s="616"/>
      <c r="N1379" s="616"/>
      <c r="O1379" s="616"/>
      <c r="P1379" s="615"/>
      <c r="Q1379" s="616"/>
      <c r="R1379" s="663"/>
      <c r="S1379" s="459"/>
      <c r="T1379" s="459"/>
      <c r="U1379" s="459"/>
      <c r="V1379" s="459"/>
      <c r="W1379" s="459"/>
      <c r="X1379" s="459"/>
      <c r="Y1379" s="666"/>
      <c r="Z1379" s="664"/>
      <c r="AA1379" s="665"/>
      <c r="AB1379" s="665"/>
      <c r="AC1379" s="665"/>
      <c r="AD1379" s="665"/>
      <c r="AE1379" s="665"/>
      <c r="AF1379" s="649"/>
      <c r="AG1379" s="650"/>
      <c r="AH1379" s="650"/>
      <c r="AI1379" s="667"/>
    </row>
    <row r="1380" spans="12:35" ht="45" customHeight="1" thickBot="1" x14ac:dyDescent="0.25">
      <c r="L1380" s="645"/>
      <c r="M1380" s="616"/>
      <c r="N1380" s="616"/>
      <c r="O1380" s="616"/>
      <c r="P1380" s="615"/>
      <c r="Q1380" s="616"/>
      <c r="R1380" s="663"/>
      <c r="S1380" s="459"/>
      <c r="T1380" s="459"/>
      <c r="U1380" s="459"/>
      <c r="V1380" s="459"/>
      <c r="W1380" s="459"/>
      <c r="X1380" s="459"/>
      <c r="Y1380" s="666"/>
      <c r="Z1380" s="664"/>
      <c r="AA1380" s="665"/>
      <c r="AB1380" s="665"/>
      <c r="AC1380" s="665"/>
      <c r="AD1380" s="665"/>
      <c r="AE1380" s="665"/>
      <c r="AF1380" s="649"/>
      <c r="AG1380" s="650"/>
      <c r="AH1380" s="650"/>
      <c r="AI1380" s="667"/>
    </row>
    <row r="1381" spans="12:35" ht="45" customHeight="1" thickBot="1" x14ac:dyDescent="0.25">
      <c r="L1381" s="645"/>
      <c r="M1381" s="616"/>
      <c r="N1381" s="616"/>
      <c r="O1381" s="616"/>
      <c r="P1381" s="615"/>
      <c r="Q1381" s="616"/>
      <c r="R1381" s="663"/>
      <c r="S1381" s="459"/>
      <c r="T1381" s="459"/>
      <c r="U1381" s="459"/>
      <c r="V1381" s="459"/>
      <c r="W1381" s="459"/>
      <c r="X1381" s="459"/>
      <c r="Y1381" s="666"/>
      <c r="Z1381" s="664"/>
      <c r="AA1381" s="665"/>
      <c r="AB1381" s="665"/>
      <c r="AC1381" s="665"/>
      <c r="AD1381" s="665"/>
      <c r="AE1381" s="665"/>
      <c r="AF1381" s="649"/>
      <c r="AG1381" s="650"/>
      <c r="AH1381" s="650"/>
      <c r="AI1381" s="667"/>
    </row>
    <row r="1382" spans="12:35" ht="45" customHeight="1" thickBot="1" x14ac:dyDescent="0.25">
      <c r="L1382" s="645"/>
      <c r="M1382" s="616"/>
      <c r="N1382" s="616"/>
      <c r="O1382" s="616"/>
      <c r="P1382" s="615"/>
      <c r="Q1382" s="616"/>
      <c r="R1382" s="663"/>
      <c r="S1382" s="459"/>
      <c r="T1382" s="459"/>
      <c r="U1382" s="459"/>
      <c r="V1382" s="459"/>
      <c r="W1382" s="459"/>
      <c r="X1382" s="459"/>
      <c r="Y1382" s="666"/>
      <c r="Z1382" s="664"/>
      <c r="AA1382" s="665"/>
      <c r="AB1382" s="665"/>
      <c r="AC1382" s="665"/>
      <c r="AD1382" s="665"/>
      <c r="AE1382" s="665"/>
      <c r="AF1382" s="649"/>
      <c r="AG1382" s="650"/>
      <c r="AH1382" s="650"/>
      <c r="AI1382" s="667"/>
    </row>
    <row r="1383" spans="12:35" ht="45" customHeight="1" thickBot="1" x14ac:dyDescent="0.25">
      <c r="L1383" s="645"/>
      <c r="M1383" s="616"/>
      <c r="N1383" s="616"/>
      <c r="O1383" s="616"/>
      <c r="P1383" s="615"/>
      <c r="Q1383" s="616"/>
      <c r="R1383" s="663"/>
      <c r="S1383" s="459"/>
      <c r="T1383" s="459"/>
      <c r="U1383" s="459"/>
      <c r="V1383" s="459"/>
      <c r="W1383" s="459"/>
      <c r="X1383" s="459"/>
      <c r="Y1383" s="666"/>
      <c r="Z1383" s="664"/>
      <c r="AA1383" s="665"/>
      <c r="AB1383" s="665"/>
      <c r="AC1383" s="665"/>
      <c r="AD1383" s="665"/>
      <c r="AE1383" s="665"/>
      <c r="AF1383" s="649"/>
      <c r="AG1383" s="650"/>
      <c r="AH1383" s="650"/>
      <c r="AI1383" s="667"/>
    </row>
    <row r="1384" spans="12:35" ht="45" customHeight="1" thickBot="1" x14ac:dyDescent="0.25">
      <c r="L1384" s="645"/>
      <c r="M1384" s="616"/>
      <c r="N1384" s="616"/>
      <c r="O1384" s="616"/>
      <c r="P1384" s="615"/>
      <c r="Q1384" s="616"/>
      <c r="R1384" s="663"/>
      <c r="S1384" s="459"/>
      <c r="T1384" s="459"/>
      <c r="U1384" s="459"/>
      <c r="V1384" s="459"/>
      <c r="W1384" s="459"/>
      <c r="X1384" s="459"/>
      <c r="Y1384" s="666"/>
      <c r="Z1384" s="664"/>
      <c r="AA1384" s="665"/>
      <c r="AB1384" s="665"/>
      <c r="AC1384" s="665"/>
      <c r="AD1384" s="665"/>
      <c r="AE1384" s="665"/>
      <c r="AF1384" s="649"/>
      <c r="AG1384" s="650"/>
      <c r="AH1384" s="650"/>
      <c r="AI1384" s="667"/>
    </row>
    <row r="1385" spans="12:35" ht="45" customHeight="1" thickBot="1" x14ac:dyDescent="0.25">
      <c r="L1385" s="645"/>
      <c r="M1385" s="616"/>
      <c r="N1385" s="616"/>
      <c r="O1385" s="616"/>
      <c r="P1385" s="615"/>
      <c r="Q1385" s="616"/>
      <c r="R1385" s="663"/>
      <c r="S1385" s="459"/>
      <c r="T1385" s="459"/>
      <c r="U1385" s="459"/>
      <c r="V1385" s="459"/>
      <c r="W1385" s="459"/>
      <c r="X1385" s="459"/>
      <c r="Y1385" s="666"/>
      <c r="Z1385" s="664"/>
      <c r="AA1385" s="665"/>
      <c r="AB1385" s="665"/>
      <c r="AC1385" s="665"/>
      <c r="AD1385" s="665"/>
      <c r="AE1385" s="665"/>
      <c r="AF1385" s="649"/>
      <c r="AG1385" s="650"/>
      <c r="AH1385" s="650"/>
      <c r="AI1385" s="667"/>
    </row>
    <row r="1386" spans="12:35" ht="45" customHeight="1" thickBot="1" x14ac:dyDescent="0.25">
      <c r="L1386" s="645"/>
      <c r="M1386" s="616"/>
      <c r="N1386" s="616"/>
      <c r="O1386" s="616"/>
      <c r="P1386" s="615"/>
      <c r="Q1386" s="616"/>
      <c r="R1386" s="663"/>
      <c r="S1386" s="459"/>
      <c r="T1386" s="459"/>
      <c r="U1386" s="459"/>
      <c r="V1386" s="459"/>
      <c r="W1386" s="459"/>
      <c r="X1386" s="459"/>
      <c r="Y1386" s="666"/>
      <c r="Z1386" s="664"/>
      <c r="AA1386" s="665"/>
      <c r="AB1386" s="665"/>
      <c r="AC1386" s="665"/>
      <c r="AD1386" s="665"/>
      <c r="AE1386" s="665"/>
      <c r="AF1386" s="649"/>
      <c r="AG1386" s="650"/>
      <c r="AH1386" s="650"/>
      <c r="AI1386" s="667"/>
    </row>
    <row r="1387" spans="12:35" ht="45" customHeight="1" thickBot="1" x14ac:dyDescent="0.25">
      <c r="L1387" s="645"/>
      <c r="M1387" s="616"/>
      <c r="N1387" s="616"/>
      <c r="O1387" s="616"/>
      <c r="P1387" s="615"/>
      <c r="Q1387" s="616"/>
      <c r="R1387" s="663"/>
      <c r="S1387" s="459"/>
      <c r="T1387" s="459"/>
      <c r="U1387" s="459"/>
      <c r="V1387" s="459"/>
      <c r="W1387" s="459"/>
      <c r="X1387" s="459"/>
      <c r="Y1387" s="666"/>
      <c r="Z1387" s="664"/>
      <c r="AA1387" s="665"/>
      <c r="AB1387" s="665"/>
      <c r="AC1387" s="665"/>
      <c r="AD1387" s="665"/>
      <c r="AE1387" s="665"/>
      <c r="AF1387" s="649"/>
      <c r="AG1387" s="650"/>
      <c r="AH1387" s="650"/>
      <c r="AI1387" s="667"/>
    </row>
    <row r="1388" spans="12:35" ht="45" customHeight="1" thickBot="1" x14ac:dyDescent="0.25">
      <c r="L1388" s="645"/>
      <c r="M1388" s="616"/>
      <c r="N1388" s="616"/>
      <c r="O1388" s="616"/>
      <c r="P1388" s="615"/>
      <c r="Q1388" s="616"/>
      <c r="R1388" s="663"/>
      <c r="S1388" s="459"/>
      <c r="T1388" s="459"/>
      <c r="U1388" s="459"/>
      <c r="V1388" s="459"/>
      <c r="W1388" s="459"/>
      <c r="X1388" s="459"/>
      <c r="Y1388" s="666"/>
      <c r="Z1388" s="664"/>
      <c r="AA1388" s="665"/>
      <c r="AB1388" s="665"/>
      <c r="AC1388" s="665"/>
      <c r="AD1388" s="665"/>
      <c r="AE1388" s="665"/>
      <c r="AF1388" s="649"/>
      <c r="AG1388" s="650"/>
      <c r="AH1388" s="650"/>
      <c r="AI1388" s="667"/>
    </row>
    <row r="1389" spans="12:35" ht="45" customHeight="1" thickBot="1" x14ac:dyDescent="0.25">
      <c r="L1389" s="645"/>
      <c r="M1389" s="616"/>
      <c r="N1389" s="616"/>
      <c r="O1389" s="616"/>
      <c r="P1389" s="615"/>
      <c r="Q1389" s="616"/>
      <c r="R1389" s="663"/>
      <c r="S1389" s="459"/>
      <c r="T1389" s="459"/>
      <c r="U1389" s="459"/>
      <c r="V1389" s="459"/>
      <c r="W1389" s="459"/>
      <c r="X1389" s="459"/>
      <c r="Y1389" s="666"/>
      <c r="Z1389" s="664"/>
      <c r="AA1389" s="665"/>
      <c r="AB1389" s="665"/>
      <c r="AC1389" s="665"/>
      <c r="AD1389" s="665"/>
      <c r="AE1389" s="665"/>
      <c r="AF1389" s="649"/>
      <c r="AG1389" s="650"/>
      <c r="AH1389" s="650"/>
      <c r="AI1389" s="667"/>
    </row>
    <row r="1390" spans="12:35" ht="45" customHeight="1" thickBot="1" x14ac:dyDescent="0.25">
      <c r="L1390" s="645"/>
      <c r="M1390" s="616"/>
      <c r="N1390" s="616"/>
      <c r="O1390" s="616"/>
      <c r="P1390" s="615"/>
      <c r="Q1390" s="616"/>
      <c r="R1390" s="663"/>
      <c r="S1390" s="459"/>
      <c r="T1390" s="459"/>
      <c r="U1390" s="459"/>
      <c r="V1390" s="459"/>
      <c r="W1390" s="459"/>
      <c r="X1390" s="459"/>
      <c r="Y1390" s="666"/>
      <c r="Z1390" s="664"/>
      <c r="AA1390" s="665"/>
      <c r="AB1390" s="665"/>
      <c r="AC1390" s="665"/>
      <c r="AD1390" s="665"/>
      <c r="AE1390" s="665"/>
      <c r="AF1390" s="649"/>
      <c r="AG1390" s="650"/>
      <c r="AH1390" s="650"/>
      <c r="AI1390" s="667"/>
    </row>
    <row r="1391" spans="12:35" ht="45" customHeight="1" thickBot="1" x14ac:dyDescent="0.25">
      <c r="L1391" s="645"/>
      <c r="M1391" s="616"/>
      <c r="N1391" s="616"/>
      <c r="O1391" s="616"/>
      <c r="P1391" s="615"/>
      <c r="Q1391" s="616"/>
      <c r="R1391" s="663"/>
      <c r="S1391" s="459"/>
      <c r="T1391" s="459"/>
      <c r="U1391" s="459"/>
      <c r="V1391" s="459"/>
      <c r="W1391" s="459"/>
      <c r="X1391" s="459"/>
      <c r="Y1391" s="666"/>
      <c r="Z1391" s="664"/>
      <c r="AA1391" s="665"/>
      <c r="AB1391" s="665"/>
      <c r="AC1391" s="665"/>
      <c r="AD1391" s="665"/>
      <c r="AE1391" s="665"/>
      <c r="AF1391" s="649"/>
      <c r="AG1391" s="650"/>
      <c r="AH1391" s="650"/>
      <c r="AI1391" s="667"/>
    </row>
    <row r="1392" spans="12:35" ht="45" customHeight="1" thickBot="1" x14ac:dyDescent="0.25">
      <c r="L1392" s="645"/>
      <c r="M1392" s="616"/>
      <c r="N1392" s="616"/>
      <c r="O1392" s="616"/>
      <c r="P1392" s="615"/>
      <c r="Q1392" s="616"/>
      <c r="R1392" s="663"/>
      <c r="S1392" s="459"/>
      <c r="T1392" s="459"/>
      <c r="U1392" s="459"/>
      <c r="V1392" s="459"/>
      <c r="W1392" s="459"/>
      <c r="X1392" s="459"/>
      <c r="Y1392" s="666"/>
      <c r="Z1392" s="664"/>
      <c r="AA1392" s="665"/>
      <c r="AB1392" s="665"/>
      <c r="AC1392" s="665"/>
      <c r="AD1392" s="665"/>
      <c r="AE1392" s="665"/>
      <c r="AF1392" s="649"/>
      <c r="AG1392" s="650"/>
      <c r="AH1392" s="650"/>
      <c r="AI1392" s="667"/>
    </row>
    <row r="1393" spans="12:35" ht="45" customHeight="1" thickBot="1" x14ac:dyDescent="0.25">
      <c r="L1393" s="645"/>
      <c r="M1393" s="616"/>
      <c r="N1393" s="616"/>
      <c r="O1393" s="616"/>
      <c r="P1393" s="615"/>
      <c r="Q1393" s="616"/>
      <c r="R1393" s="663"/>
      <c r="S1393" s="459"/>
      <c r="T1393" s="459"/>
      <c r="U1393" s="459"/>
      <c r="V1393" s="459"/>
      <c r="W1393" s="459"/>
      <c r="X1393" s="459"/>
      <c r="Y1393" s="666"/>
      <c r="Z1393" s="664"/>
      <c r="AA1393" s="665"/>
      <c r="AB1393" s="665"/>
      <c r="AC1393" s="665"/>
      <c r="AD1393" s="665"/>
      <c r="AE1393" s="665"/>
      <c r="AF1393" s="649"/>
      <c r="AG1393" s="650"/>
      <c r="AH1393" s="650"/>
      <c r="AI1393" s="667"/>
    </row>
    <row r="1394" spans="12:35" ht="45" customHeight="1" thickBot="1" x14ac:dyDescent="0.25">
      <c r="L1394" s="645"/>
      <c r="M1394" s="616"/>
      <c r="N1394" s="616"/>
      <c r="O1394" s="616"/>
      <c r="P1394" s="615"/>
      <c r="Q1394" s="616"/>
      <c r="R1394" s="663"/>
      <c r="S1394" s="459"/>
      <c r="T1394" s="459"/>
      <c r="U1394" s="459"/>
      <c r="V1394" s="459"/>
      <c r="W1394" s="459"/>
      <c r="X1394" s="459"/>
      <c r="Y1394" s="666"/>
      <c r="Z1394" s="664"/>
      <c r="AA1394" s="665"/>
      <c r="AB1394" s="665"/>
      <c r="AC1394" s="665"/>
      <c r="AD1394" s="665"/>
      <c r="AE1394" s="665"/>
      <c r="AF1394" s="649"/>
      <c r="AG1394" s="650"/>
      <c r="AH1394" s="650"/>
      <c r="AI1394" s="667"/>
    </row>
    <row r="1395" spans="12:35" ht="45" customHeight="1" thickBot="1" x14ac:dyDescent="0.25">
      <c r="L1395" s="645"/>
      <c r="M1395" s="616"/>
      <c r="N1395" s="616"/>
      <c r="O1395" s="616"/>
      <c r="P1395" s="615"/>
      <c r="Q1395" s="616"/>
      <c r="R1395" s="663"/>
      <c r="S1395" s="459"/>
      <c r="T1395" s="459"/>
      <c r="U1395" s="459"/>
      <c r="V1395" s="459"/>
      <c r="W1395" s="459"/>
      <c r="X1395" s="459"/>
      <c r="Y1395" s="666"/>
      <c r="Z1395" s="664"/>
      <c r="AA1395" s="665"/>
      <c r="AB1395" s="665"/>
      <c r="AC1395" s="665"/>
      <c r="AD1395" s="665"/>
      <c r="AE1395" s="665"/>
      <c r="AF1395" s="649"/>
      <c r="AG1395" s="650"/>
      <c r="AH1395" s="650"/>
      <c r="AI1395" s="667"/>
    </row>
    <row r="1396" spans="12:35" ht="45" customHeight="1" thickBot="1" x14ac:dyDescent="0.25">
      <c r="L1396" s="645"/>
      <c r="M1396" s="616"/>
      <c r="N1396" s="616"/>
      <c r="O1396" s="616"/>
      <c r="P1396" s="615"/>
      <c r="Q1396" s="616"/>
      <c r="R1396" s="663"/>
      <c r="S1396" s="459"/>
      <c r="T1396" s="459"/>
      <c r="U1396" s="459"/>
      <c r="V1396" s="459"/>
      <c r="W1396" s="459"/>
      <c r="X1396" s="459"/>
      <c r="Y1396" s="666"/>
      <c r="Z1396" s="664"/>
      <c r="AA1396" s="665"/>
      <c r="AB1396" s="665"/>
      <c r="AC1396" s="665"/>
      <c r="AD1396" s="665"/>
      <c r="AE1396" s="665"/>
      <c r="AF1396" s="649"/>
      <c r="AG1396" s="650"/>
      <c r="AH1396" s="650"/>
      <c r="AI1396" s="667"/>
    </row>
    <row r="1397" spans="12:35" ht="45" customHeight="1" thickBot="1" x14ac:dyDescent="0.25">
      <c r="L1397" s="645"/>
      <c r="M1397" s="616"/>
      <c r="N1397" s="616"/>
      <c r="O1397" s="616"/>
      <c r="P1397" s="615"/>
      <c r="Q1397" s="616"/>
      <c r="R1397" s="663"/>
      <c r="S1397" s="459"/>
      <c r="T1397" s="459"/>
      <c r="U1397" s="459"/>
      <c r="V1397" s="459"/>
      <c r="W1397" s="459"/>
      <c r="X1397" s="459"/>
      <c r="Y1397" s="666"/>
      <c r="Z1397" s="664"/>
      <c r="AA1397" s="665"/>
      <c r="AB1397" s="665"/>
      <c r="AC1397" s="665"/>
      <c r="AD1397" s="665"/>
      <c r="AE1397" s="665"/>
      <c r="AF1397" s="649"/>
      <c r="AG1397" s="650"/>
      <c r="AH1397" s="650"/>
      <c r="AI1397" s="667"/>
    </row>
    <row r="1398" spans="12:35" ht="45" customHeight="1" thickBot="1" x14ac:dyDescent="0.25">
      <c r="L1398" s="645"/>
      <c r="M1398" s="616"/>
      <c r="N1398" s="616"/>
      <c r="O1398" s="616"/>
      <c r="P1398" s="615"/>
      <c r="Q1398" s="616"/>
      <c r="R1398" s="663"/>
      <c r="S1398" s="459"/>
      <c r="T1398" s="459"/>
      <c r="U1398" s="459"/>
      <c r="V1398" s="459"/>
      <c r="W1398" s="459"/>
      <c r="X1398" s="459"/>
      <c r="Y1398" s="666"/>
      <c r="Z1398" s="664"/>
      <c r="AA1398" s="665"/>
      <c r="AB1398" s="665"/>
      <c r="AC1398" s="665"/>
      <c r="AD1398" s="665"/>
      <c r="AE1398" s="665"/>
      <c r="AF1398" s="649"/>
      <c r="AG1398" s="650"/>
      <c r="AH1398" s="650"/>
      <c r="AI1398" s="667"/>
    </row>
    <row r="1399" spans="12:35" ht="45" customHeight="1" thickBot="1" x14ac:dyDescent="0.25">
      <c r="L1399" s="645"/>
      <c r="M1399" s="616"/>
      <c r="N1399" s="616"/>
      <c r="O1399" s="616"/>
      <c r="P1399" s="615"/>
      <c r="Q1399" s="616"/>
      <c r="R1399" s="663"/>
      <c r="S1399" s="459"/>
      <c r="T1399" s="459"/>
      <c r="U1399" s="459"/>
      <c r="V1399" s="459"/>
      <c r="W1399" s="459"/>
      <c r="X1399" s="459"/>
      <c r="Y1399" s="666"/>
      <c r="Z1399" s="664"/>
      <c r="AA1399" s="665"/>
      <c r="AB1399" s="665"/>
      <c r="AC1399" s="665"/>
      <c r="AD1399" s="665"/>
      <c r="AE1399" s="665"/>
      <c r="AF1399" s="649"/>
      <c r="AG1399" s="650"/>
      <c r="AH1399" s="650"/>
      <c r="AI1399" s="667"/>
    </row>
    <row r="1400" spans="12:35" ht="45" customHeight="1" thickBot="1" x14ac:dyDescent="0.25">
      <c r="L1400" s="645"/>
      <c r="M1400" s="616"/>
      <c r="N1400" s="616"/>
      <c r="O1400" s="616"/>
      <c r="P1400" s="615"/>
      <c r="Q1400" s="616"/>
      <c r="R1400" s="663"/>
      <c r="S1400" s="459"/>
      <c r="T1400" s="459"/>
      <c r="U1400" s="459"/>
      <c r="V1400" s="459"/>
      <c r="W1400" s="459"/>
      <c r="X1400" s="459"/>
      <c r="Y1400" s="666"/>
      <c r="Z1400" s="664"/>
      <c r="AA1400" s="665"/>
      <c r="AB1400" s="665"/>
      <c r="AC1400" s="665"/>
      <c r="AD1400" s="665"/>
      <c r="AE1400" s="665"/>
      <c r="AF1400" s="649"/>
      <c r="AG1400" s="650"/>
      <c r="AH1400" s="650"/>
      <c r="AI1400" s="667"/>
    </row>
    <row r="1401" spans="12:35" ht="45" customHeight="1" thickBot="1" x14ac:dyDescent="0.25">
      <c r="L1401" s="645"/>
      <c r="M1401" s="616"/>
      <c r="N1401" s="616"/>
      <c r="O1401" s="616"/>
      <c r="P1401" s="615"/>
      <c r="Q1401" s="616"/>
      <c r="R1401" s="663"/>
      <c r="S1401" s="459"/>
      <c r="T1401" s="459"/>
      <c r="U1401" s="459"/>
      <c r="V1401" s="459"/>
      <c r="W1401" s="459"/>
      <c r="X1401" s="459"/>
      <c r="Y1401" s="666"/>
      <c r="Z1401" s="664"/>
      <c r="AA1401" s="665"/>
      <c r="AB1401" s="665"/>
      <c r="AC1401" s="665"/>
      <c r="AD1401" s="665"/>
      <c r="AE1401" s="665"/>
      <c r="AF1401" s="649"/>
      <c r="AG1401" s="650"/>
      <c r="AH1401" s="650"/>
      <c r="AI1401" s="667"/>
    </row>
    <row r="1402" spans="12:35" ht="45" customHeight="1" thickBot="1" x14ac:dyDescent="0.25">
      <c r="L1402" s="645"/>
      <c r="M1402" s="616"/>
      <c r="N1402" s="616"/>
      <c r="O1402" s="616"/>
      <c r="P1402" s="615"/>
      <c r="Q1402" s="616"/>
      <c r="R1402" s="663"/>
      <c r="S1402" s="459"/>
      <c r="T1402" s="459"/>
      <c r="U1402" s="459"/>
      <c r="V1402" s="459"/>
      <c r="W1402" s="459"/>
      <c r="X1402" s="459"/>
      <c r="Y1402" s="666"/>
      <c r="Z1402" s="664"/>
      <c r="AA1402" s="665"/>
      <c r="AB1402" s="665"/>
      <c r="AC1402" s="665"/>
      <c r="AD1402" s="665"/>
      <c r="AE1402" s="665"/>
      <c r="AF1402" s="649"/>
      <c r="AG1402" s="650"/>
      <c r="AH1402" s="650"/>
      <c r="AI1402" s="667"/>
    </row>
    <row r="1403" spans="12:35" ht="45" customHeight="1" thickBot="1" x14ac:dyDescent="0.25">
      <c r="L1403" s="645"/>
      <c r="M1403" s="616"/>
      <c r="N1403" s="616"/>
      <c r="O1403" s="616"/>
      <c r="P1403" s="615"/>
      <c r="Q1403" s="616"/>
      <c r="R1403" s="663"/>
      <c r="S1403" s="459"/>
      <c r="T1403" s="459"/>
      <c r="U1403" s="459"/>
      <c r="V1403" s="459"/>
      <c r="W1403" s="459"/>
      <c r="X1403" s="459"/>
      <c r="Y1403" s="666"/>
      <c r="Z1403" s="664"/>
      <c r="AA1403" s="665"/>
      <c r="AB1403" s="665"/>
      <c r="AC1403" s="665"/>
      <c r="AD1403" s="665"/>
      <c r="AE1403" s="665"/>
      <c r="AF1403" s="649"/>
      <c r="AG1403" s="650"/>
      <c r="AH1403" s="650"/>
      <c r="AI1403" s="667"/>
    </row>
    <row r="1404" spans="12:35" ht="45" customHeight="1" thickBot="1" x14ac:dyDescent="0.25">
      <c r="L1404" s="645"/>
      <c r="M1404" s="616"/>
      <c r="N1404" s="616"/>
      <c r="O1404" s="616"/>
      <c r="P1404" s="615"/>
      <c r="Q1404" s="616"/>
      <c r="R1404" s="663"/>
      <c r="S1404" s="459"/>
      <c r="T1404" s="459"/>
      <c r="U1404" s="459"/>
      <c r="V1404" s="459"/>
      <c r="W1404" s="459"/>
      <c r="X1404" s="459"/>
      <c r="Y1404" s="666"/>
      <c r="Z1404" s="664"/>
      <c r="AA1404" s="665"/>
      <c r="AB1404" s="665"/>
      <c r="AC1404" s="665"/>
      <c r="AD1404" s="665"/>
      <c r="AE1404" s="665"/>
      <c r="AF1404" s="649"/>
      <c r="AG1404" s="650"/>
      <c r="AH1404" s="650"/>
      <c r="AI1404" s="667"/>
    </row>
    <row r="1405" spans="12:35" ht="45" customHeight="1" thickBot="1" x14ac:dyDescent="0.25">
      <c r="L1405" s="645"/>
      <c r="M1405" s="616"/>
      <c r="N1405" s="616"/>
      <c r="O1405" s="616"/>
      <c r="P1405" s="615"/>
      <c r="Q1405" s="616"/>
      <c r="R1405" s="663"/>
      <c r="S1405" s="459"/>
      <c r="T1405" s="459"/>
      <c r="U1405" s="459"/>
      <c r="V1405" s="459"/>
      <c r="W1405" s="459"/>
      <c r="X1405" s="459"/>
      <c r="Y1405" s="666"/>
      <c r="Z1405" s="664"/>
      <c r="AA1405" s="665"/>
      <c r="AB1405" s="665"/>
      <c r="AC1405" s="665"/>
      <c r="AD1405" s="665"/>
      <c r="AE1405" s="665"/>
      <c r="AF1405" s="649"/>
      <c r="AG1405" s="650"/>
      <c r="AH1405" s="650"/>
      <c r="AI1405" s="667"/>
    </row>
    <row r="1406" spans="12:35" ht="45" customHeight="1" thickBot="1" x14ac:dyDescent="0.25">
      <c r="L1406" s="645"/>
      <c r="M1406" s="616"/>
      <c r="N1406" s="616"/>
      <c r="O1406" s="616"/>
      <c r="P1406" s="615"/>
      <c r="Q1406" s="616"/>
      <c r="R1406" s="663"/>
      <c r="S1406" s="459"/>
      <c r="T1406" s="459"/>
      <c r="U1406" s="459"/>
      <c r="V1406" s="459"/>
      <c r="W1406" s="459"/>
      <c r="X1406" s="459"/>
      <c r="Y1406" s="666"/>
      <c r="Z1406" s="664"/>
      <c r="AA1406" s="665"/>
      <c r="AB1406" s="665"/>
      <c r="AC1406" s="665"/>
      <c r="AD1406" s="665"/>
      <c r="AE1406" s="665"/>
      <c r="AF1406" s="649"/>
      <c r="AG1406" s="650"/>
      <c r="AH1406" s="650"/>
      <c r="AI1406" s="667"/>
    </row>
    <row r="1407" spans="12:35" ht="45" customHeight="1" thickBot="1" x14ac:dyDescent="0.25">
      <c r="L1407" s="645"/>
      <c r="M1407" s="616"/>
      <c r="N1407" s="616"/>
      <c r="O1407" s="616"/>
      <c r="P1407" s="615"/>
      <c r="Q1407" s="616"/>
      <c r="R1407" s="663"/>
      <c r="S1407" s="459"/>
      <c r="T1407" s="459"/>
      <c r="U1407" s="459"/>
      <c r="V1407" s="459"/>
      <c r="W1407" s="459"/>
      <c r="X1407" s="459"/>
      <c r="Y1407" s="666"/>
      <c r="Z1407" s="664"/>
      <c r="AA1407" s="665"/>
      <c r="AB1407" s="665"/>
      <c r="AC1407" s="665"/>
      <c r="AD1407" s="665"/>
      <c r="AE1407" s="665"/>
      <c r="AF1407" s="649"/>
      <c r="AG1407" s="650"/>
      <c r="AH1407" s="650"/>
      <c r="AI1407" s="667"/>
    </row>
    <row r="1408" spans="12:35" ht="45" customHeight="1" thickBot="1" x14ac:dyDescent="0.25">
      <c r="L1408" s="645"/>
      <c r="M1408" s="616"/>
      <c r="N1408" s="616"/>
      <c r="O1408" s="616"/>
      <c r="P1408" s="615"/>
      <c r="Q1408" s="616"/>
      <c r="R1408" s="663"/>
      <c r="S1408" s="459"/>
      <c r="T1408" s="459"/>
      <c r="U1408" s="459"/>
      <c r="V1408" s="459"/>
      <c r="W1408" s="459"/>
      <c r="X1408" s="459"/>
      <c r="Y1408" s="666"/>
      <c r="Z1408" s="664"/>
      <c r="AA1408" s="665"/>
      <c r="AB1408" s="665"/>
      <c r="AC1408" s="665"/>
      <c r="AD1408" s="665"/>
      <c r="AE1408" s="665"/>
      <c r="AF1408" s="649"/>
      <c r="AG1408" s="650"/>
      <c r="AH1408" s="650"/>
      <c r="AI1408" s="667"/>
    </row>
    <row r="1409" spans="12:35" ht="45" customHeight="1" thickBot="1" x14ac:dyDescent="0.25">
      <c r="L1409" s="645"/>
      <c r="M1409" s="616"/>
      <c r="N1409" s="616"/>
      <c r="O1409" s="616"/>
      <c r="P1409" s="615"/>
      <c r="Q1409" s="616"/>
      <c r="R1409" s="663"/>
      <c r="S1409" s="459"/>
      <c r="T1409" s="459"/>
      <c r="U1409" s="459"/>
      <c r="V1409" s="459"/>
      <c r="W1409" s="459"/>
      <c r="X1409" s="459"/>
      <c r="Y1409" s="666"/>
      <c r="Z1409" s="664"/>
      <c r="AA1409" s="665"/>
      <c r="AB1409" s="665"/>
      <c r="AC1409" s="665"/>
      <c r="AD1409" s="665"/>
      <c r="AE1409" s="665"/>
      <c r="AF1409" s="649"/>
      <c r="AG1409" s="650"/>
      <c r="AH1409" s="650"/>
      <c r="AI1409" s="667"/>
    </row>
    <row r="1410" spans="12:35" ht="45" customHeight="1" thickBot="1" x14ac:dyDescent="0.25">
      <c r="L1410" s="645"/>
      <c r="M1410" s="616"/>
      <c r="N1410" s="616"/>
      <c r="O1410" s="616"/>
      <c r="P1410" s="615"/>
      <c r="Q1410" s="616"/>
      <c r="R1410" s="663"/>
      <c r="S1410" s="459"/>
      <c r="T1410" s="459"/>
      <c r="U1410" s="459"/>
      <c r="V1410" s="459"/>
      <c r="W1410" s="459"/>
      <c r="X1410" s="459"/>
      <c r="Y1410" s="666"/>
      <c r="Z1410" s="664"/>
      <c r="AA1410" s="665"/>
      <c r="AB1410" s="665"/>
      <c r="AC1410" s="665"/>
      <c r="AD1410" s="665"/>
      <c r="AE1410" s="665"/>
      <c r="AF1410" s="649"/>
      <c r="AG1410" s="650"/>
      <c r="AH1410" s="650"/>
      <c r="AI1410" s="667"/>
    </row>
    <row r="1411" spans="12:35" ht="45" customHeight="1" thickBot="1" x14ac:dyDescent="0.25">
      <c r="L1411" s="645"/>
      <c r="M1411" s="616"/>
      <c r="N1411" s="616"/>
      <c r="O1411" s="616"/>
      <c r="P1411" s="615"/>
      <c r="Q1411" s="616"/>
      <c r="R1411" s="663"/>
      <c r="S1411" s="459"/>
      <c r="T1411" s="459"/>
      <c r="U1411" s="459"/>
      <c r="V1411" s="459"/>
      <c r="W1411" s="459"/>
      <c r="X1411" s="459"/>
      <c r="Y1411" s="666"/>
      <c r="Z1411" s="664"/>
      <c r="AA1411" s="665"/>
      <c r="AB1411" s="665"/>
      <c r="AC1411" s="665"/>
      <c r="AD1411" s="665"/>
      <c r="AE1411" s="665"/>
      <c r="AF1411" s="649"/>
      <c r="AG1411" s="650"/>
      <c r="AH1411" s="650"/>
      <c r="AI1411" s="667"/>
    </row>
    <row r="1412" spans="12:35" ht="45" customHeight="1" thickBot="1" x14ac:dyDescent="0.25">
      <c r="L1412" s="645"/>
      <c r="M1412" s="616"/>
      <c r="N1412" s="616"/>
      <c r="O1412" s="616"/>
      <c r="P1412" s="615"/>
      <c r="Q1412" s="616"/>
      <c r="R1412" s="663"/>
      <c r="S1412" s="459"/>
      <c r="T1412" s="459"/>
      <c r="U1412" s="459"/>
      <c r="V1412" s="459"/>
      <c r="W1412" s="459"/>
      <c r="X1412" s="459"/>
      <c r="Y1412" s="666"/>
      <c r="Z1412" s="664"/>
      <c r="AA1412" s="665"/>
      <c r="AB1412" s="665"/>
      <c r="AC1412" s="665"/>
      <c r="AD1412" s="665"/>
      <c r="AE1412" s="665"/>
      <c r="AF1412" s="649"/>
      <c r="AG1412" s="650"/>
      <c r="AH1412" s="650"/>
      <c r="AI1412" s="667"/>
    </row>
    <row r="1413" spans="12:35" ht="45" customHeight="1" thickBot="1" x14ac:dyDescent="0.25">
      <c r="L1413" s="645"/>
      <c r="M1413" s="616"/>
      <c r="N1413" s="616"/>
      <c r="O1413" s="616"/>
      <c r="P1413" s="615"/>
      <c r="Q1413" s="616"/>
      <c r="R1413" s="663"/>
      <c r="S1413" s="459"/>
      <c r="T1413" s="459"/>
      <c r="U1413" s="459"/>
      <c r="V1413" s="459"/>
      <c r="W1413" s="459"/>
      <c r="X1413" s="459"/>
      <c r="Y1413" s="666"/>
      <c r="Z1413" s="664"/>
      <c r="AA1413" s="665"/>
      <c r="AB1413" s="665"/>
      <c r="AC1413" s="665"/>
      <c r="AD1413" s="665"/>
      <c r="AE1413" s="665"/>
      <c r="AF1413" s="649"/>
      <c r="AG1413" s="650"/>
      <c r="AH1413" s="650"/>
      <c r="AI1413" s="667"/>
    </row>
    <row r="1414" spans="12:35" ht="45" customHeight="1" thickBot="1" x14ac:dyDescent="0.25">
      <c r="L1414" s="645"/>
      <c r="M1414" s="616"/>
      <c r="N1414" s="616"/>
      <c r="O1414" s="616"/>
      <c r="P1414" s="615"/>
      <c r="Q1414" s="616"/>
      <c r="R1414" s="663"/>
      <c r="S1414" s="459"/>
      <c r="T1414" s="459"/>
      <c r="U1414" s="459"/>
      <c r="V1414" s="459"/>
      <c r="W1414" s="459"/>
      <c r="X1414" s="459"/>
      <c r="Y1414" s="666"/>
      <c r="Z1414" s="664"/>
      <c r="AA1414" s="665"/>
      <c r="AB1414" s="665"/>
      <c r="AC1414" s="665"/>
      <c r="AD1414" s="665"/>
      <c r="AE1414" s="665"/>
      <c r="AF1414" s="649"/>
      <c r="AG1414" s="650"/>
      <c r="AH1414" s="650"/>
      <c r="AI1414" s="667"/>
    </row>
    <row r="1415" spans="12:35" ht="45" customHeight="1" thickBot="1" x14ac:dyDescent="0.25">
      <c r="L1415" s="645"/>
      <c r="M1415" s="616"/>
      <c r="N1415" s="616"/>
      <c r="O1415" s="616"/>
      <c r="P1415" s="615"/>
      <c r="Q1415" s="616"/>
      <c r="R1415" s="663"/>
      <c r="S1415" s="459"/>
      <c r="T1415" s="459"/>
      <c r="U1415" s="459"/>
      <c r="V1415" s="459"/>
      <c r="W1415" s="459"/>
      <c r="X1415" s="459"/>
      <c r="Y1415" s="666"/>
      <c r="Z1415" s="664"/>
      <c r="AA1415" s="665"/>
      <c r="AB1415" s="665"/>
      <c r="AC1415" s="665"/>
      <c r="AD1415" s="665"/>
      <c r="AE1415" s="665"/>
      <c r="AF1415" s="649"/>
      <c r="AG1415" s="650"/>
      <c r="AH1415" s="650"/>
      <c r="AI1415" s="667"/>
    </row>
    <row r="1416" spans="12:35" ht="45" customHeight="1" thickBot="1" x14ac:dyDescent="0.25">
      <c r="L1416" s="645"/>
      <c r="M1416" s="616"/>
      <c r="N1416" s="616"/>
      <c r="O1416" s="616"/>
      <c r="P1416" s="615"/>
      <c r="Q1416" s="616"/>
      <c r="R1416" s="663"/>
      <c r="S1416" s="459"/>
      <c r="T1416" s="459"/>
      <c r="U1416" s="459"/>
      <c r="V1416" s="459"/>
      <c r="W1416" s="459"/>
      <c r="X1416" s="459"/>
      <c r="Y1416" s="666"/>
      <c r="Z1416" s="664"/>
      <c r="AA1416" s="665"/>
      <c r="AB1416" s="665"/>
      <c r="AC1416" s="665"/>
      <c r="AD1416" s="665"/>
      <c r="AE1416" s="665"/>
      <c r="AF1416" s="649"/>
      <c r="AG1416" s="650"/>
      <c r="AH1416" s="650"/>
      <c r="AI1416" s="667"/>
    </row>
    <row r="1417" spans="12:35" ht="45" customHeight="1" thickBot="1" x14ac:dyDescent="0.25">
      <c r="L1417" s="645"/>
      <c r="M1417" s="616"/>
      <c r="N1417" s="616"/>
      <c r="O1417" s="616"/>
      <c r="P1417" s="615"/>
      <c r="Q1417" s="616"/>
      <c r="R1417" s="663"/>
      <c r="S1417" s="459"/>
      <c r="T1417" s="459"/>
      <c r="U1417" s="459"/>
      <c r="V1417" s="459"/>
      <c r="W1417" s="459"/>
      <c r="X1417" s="459"/>
      <c r="Y1417" s="666"/>
      <c r="Z1417" s="664"/>
      <c r="AA1417" s="665"/>
      <c r="AB1417" s="665"/>
      <c r="AC1417" s="665"/>
      <c r="AD1417" s="665"/>
      <c r="AE1417" s="665"/>
      <c r="AF1417" s="649"/>
      <c r="AG1417" s="650"/>
      <c r="AH1417" s="650"/>
      <c r="AI1417" s="667"/>
    </row>
    <row r="1418" spans="12:35" ht="45" customHeight="1" thickBot="1" x14ac:dyDescent="0.25">
      <c r="L1418" s="645"/>
      <c r="M1418" s="616"/>
      <c r="N1418" s="616"/>
      <c r="O1418" s="616"/>
      <c r="P1418" s="615"/>
      <c r="Q1418" s="616"/>
      <c r="R1418" s="663"/>
      <c r="S1418" s="459"/>
      <c r="T1418" s="459"/>
      <c r="U1418" s="459"/>
      <c r="V1418" s="459"/>
      <c r="W1418" s="459"/>
      <c r="X1418" s="459"/>
      <c r="Y1418" s="666"/>
      <c r="Z1418" s="664"/>
      <c r="AA1418" s="665"/>
      <c r="AB1418" s="665"/>
      <c r="AC1418" s="665"/>
      <c r="AD1418" s="665"/>
      <c r="AE1418" s="665"/>
      <c r="AF1418" s="649"/>
      <c r="AG1418" s="650"/>
      <c r="AH1418" s="650"/>
      <c r="AI1418" s="667"/>
    </row>
    <row r="1419" spans="12:35" ht="45" customHeight="1" thickBot="1" x14ac:dyDescent="0.25">
      <c r="L1419" s="645"/>
      <c r="M1419" s="616"/>
      <c r="N1419" s="616"/>
      <c r="O1419" s="616"/>
      <c r="P1419" s="615"/>
      <c r="Q1419" s="616"/>
      <c r="R1419" s="663"/>
      <c r="S1419" s="459"/>
      <c r="T1419" s="459"/>
      <c r="U1419" s="459"/>
      <c r="V1419" s="459"/>
      <c r="W1419" s="459"/>
      <c r="X1419" s="459"/>
      <c r="Y1419" s="666"/>
      <c r="Z1419" s="664"/>
      <c r="AA1419" s="665"/>
      <c r="AB1419" s="665"/>
      <c r="AC1419" s="665"/>
      <c r="AD1419" s="665"/>
      <c r="AE1419" s="665"/>
      <c r="AF1419" s="649"/>
      <c r="AG1419" s="650"/>
      <c r="AH1419" s="650"/>
      <c r="AI1419" s="667"/>
    </row>
    <row r="1420" spans="12:35" ht="45" customHeight="1" thickBot="1" x14ac:dyDescent="0.25">
      <c r="L1420" s="645"/>
      <c r="M1420" s="616"/>
      <c r="N1420" s="616"/>
      <c r="O1420" s="616"/>
      <c r="P1420" s="615"/>
      <c r="Q1420" s="616"/>
      <c r="R1420" s="663"/>
      <c r="S1420" s="459"/>
      <c r="T1420" s="459"/>
      <c r="U1420" s="459"/>
      <c r="V1420" s="459"/>
      <c r="W1420" s="459"/>
      <c r="X1420" s="459"/>
      <c r="Y1420" s="666"/>
      <c r="Z1420" s="664"/>
      <c r="AA1420" s="665"/>
      <c r="AB1420" s="665"/>
      <c r="AC1420" s="665"/>
      <c r="AD1420" s="665"/>
      <c r="AE1420" s="665"/>
      <c r="AF1420" s="649"/>
      <c r="AG1420" s="650"/>
      <c r="AH1420" s="650"/>
      <c r="AI1420" s="667"/>
    </row>
    <row r="1421" spans="12:35" ht="45" customHeight="1" thickBot="1" x14ac:dyDescent="0.25">
      <c r="L1421" s="645"/>
      <c r="M1421" s="616"/>
      <c r="N1421" s="616"/>
      <c r="O1421" s="616"/>
      <c r="P1421" s="615"/>
      <c r="Q1421" s="616"/>
      <c r="R1421" s="663"/>
      <c r="S1421" s="459"/>
      <c r="T1421" s="459"/>
      <c r="U1421" s="459"/>
      <c r="V1421" s="459"/>
      <c r="W1421" s="459"/>
      <c r="X1421" s="459"/>
      <c r="Y1421" s="666"/>
      <c r="Z1421" s="664"/>
      <c r="AA1421" s="665"/>
      <c r="AB1421" s="665"/>
      <c r="AC1421" s="665"/>
      <c r="AD1421" s="665"/>
      <c r="AE1421" s="665"/>
      <c r="AF1421" s="649"/>
      <c r="AG1421" s="650"/>
      <c r="AH1421" s="650"/>
      <c r="AI1421" s="667"/>
    </row>
    <row r="1422" spans="12:35" ht="45" customHeight="1" thickBot="1" x14ac:dyDescent="0.25">
      <c r="L1422" s="645"/>
      <c r="M1422" s="616"/>
      <c r="N1422" s="616"/>
      <c r="O1422" s="616"/>
      <c r="P1422" s="615"/>
      <c r="Q1422" s="616"/>
      <c r="R1422" s="663"/>
      <c r="S1422" s="459"/>
      <c r="T1422" s="459"/>
      <c r="U1422" s="459"/>
      <c r="V1422" s="459"/>
      <c r="W1422" s="459"/>
      <c r="X1422" s="459"/>
      <c r="Y1422" s="666"/>
      <c r="Z1422" s="664"/>
      <c r="AA1422" s="665"/>
      <c r="AB1422" s="665"/>
      <c r="AC1422" s="665"/>
      <c r="AD1422" s="665"/>
      <c r="AE1422" s="665"/>
      <c r="AF1422" s="649"/>
      <c r="AG1422" s="650"/>
      <c r="AH1422" s="650"/>
      <c r="AI1422" s="667"/>
    </row>
    <row r="1423" spans="12:35" ht="45" customHeight="1" thickBot="1" x14ac:dyDescent="0.25">
      <c r="L1423" s="645"/>
      <c r="M1423" s="616"/>
      <c r="N1423" s="616"/>
      <c r="O1423" s="616"/>
      <c r="P1423" s="615"/>
      <c r="Q1423" s="616"/>
      <c r="R1423" s="663"/>
      <c r="S1423" s="459"/>
      <c r="T1423" s="459"/>
      <c r="U1423" s="459"/>
      <c r="V1423" s="459"/>
      <c r="W1423" s="459"/>
      <c r="X1423" s="459"/>
      <c r="Y1423" s="666"/>
      <c r="Z1423" s="664"/>
      <c r="AA1423" s="665"/>
      <c r="AB1423" s="665"/>
      <c r="AC1423" s="665"/>
      <c r="AD1423" s="665"/>
      <c r="AE1423" s="665"/>
      <c r="AF1423" s="649"/>
      <c r="AG1423" s="650"/>
      <c r="AH1423" s="650"/>
      <c r="AI1423" s="667"/>
    </row>
    <row r="1424" spans="12:35" ht="45" customHeight="1" thickBot="1" x14ac:dyDescent="0.25">
      <c r="L1424" s="645"/>
      <c r="M1424" s="616"/>
      <c r="N1424" s="616"/>
      <c r="O1424" s="616"/>
      <c r="P1424" s="615"/>
      <c r="Q1424" s="616"/>
      <c r="R1424" s="663"/>
      <c r="S1424" s="459"/>
      <c r="T1424" s="459"/>
      <c r="U1424" s="459"/>
      <c r="V1424" s="459"/>
      <c r="W1424" s="459"/>
      <c r="X1424" s="459"/>
      <c r="Y1424" s="666"/>
      <c r="Z1424" s="664"/>
      <c r="AA1424" s="665"/>
      <c r="AB1424" s="665"/>
      <c r="AC1424" s="665"/>
      <c r="AD1424" s="665"/>
      <c r="AE1424" s="665"/>
      <c r="AF1424" s="649"/>
      <c r="AG1424" s="650"/>
      <c r="AH1424" s="650"/>
      <c r="AI1424" s="667"/>
    </row>
    <row r="1425" spans="12:35" ht="45" customHeight="1" thickBot="1" x14ac:dyDescent="0.25">
      <c r="L1425" s="645"/>
      <c r="M1425" s="616"/>
      <c r="N1425" s="616"/>
      <c r="O1425" s="616"/>
      <c r="P1425" s="615"/>
      <c r="Q1425" s="616"/>
      <c r="R1425" s="663"/>
      <c r="S1425" s="459"/>
      <c r="T1425" s="459"/>
      <c r="U1425" s="459"/>
      <c r="V1425" s="459"/>
      <c r="W1425" s="459"/>
      <c r="X1425" s="459"/>
      <c r="Y1425" s="666"/>
      <c r="Z1425" s="664"/>
      <c r="AA1425" s="665"/>
      <c r="AB1425" s="665"/>
      <c r="AC1425" s="665"/>
      <c r="AD1425" s="665"/>
      <c r="AE1425" s="665"/>
      <c r="AF1425" s="649"/>
      <c r="AG1425" s="650"/>
      <c r="AH1425" s="650"/>
      <c r="AI1425" s="667"/>
    </row>
    <row r="1426" spans="12:35" ht="45" customHeight="1" thickBot="1" x14ac:dyDescent="0.25">
      <c r="L1426" s="645"/>
      <c r="M1426" s="616"/>
      <c r="N1426" s="616"/>
      <c r="O1426" s="616"/>
      <c r="P1426" s="615"/>
      <c r="Q1426" s="616"/>
      <c r="R1426" s="663"/>
      <c r="S1426" s="459"/>
      <c r="T1426" s="459"/>
      <c r="U1426" s="459"/>
      <c r="V1426" s="459"/>
      <c r="W1426" s="459"/>
      <c r="X1426" s="459"/>
      <c r="Y1426" s="666"/>
      <c r="Z1426" s="664"/>
      <c r="AA1426" s="665"/>
      <c r="AB1426" s="665"/>
      <c r="AC1426" s="665"/>
      <c r="AD1426" s="665"/>
      <c r="AE1426" s="665"/>
      <c r="AF1426" s="649"/>
      <c r="AG1426" s="650"/>
      <c r="AH1426" s="650"/>
      <c r="AI1426" s="667"/>
    </row>
    <row r="1427" spans="12:35" ht="45" customHeight="1" thickBot="1" x14ac:dyDescent="0.25">
      <c r="L1427" s="645"/>
      <c r="M1427" s="616"/>
      <c r="N1427" s="616"/>
      <c r="O1427" s="616"/>
      <c r="P1427" s="615"/>
      <c r="Q1427" s="616"/>
      <c r="R1427" s="663"/>
      <c r="S1427" s="459"/>
      <c r="T1427" s="459"/>
      <c r="U1427" s="459"/>
      <c r="V1427" s="459"/>
      <c r="W1427" s="459"/>
      <c r="X1427" s="459"/>
      <c r="Y1427" s="666"/>
      <c r="Z1427" s="664"/>
      <c r="AA1427" s="665"/>
      <c r="AB1427" s="665"/>
      <c r="AC1427" s="665"/>
      <c r="AD1427" s="665"/>
      <c r="AE1427" s="665"/>
      <c r="AF1427" s="649"/>
      <c r="AG1427" s="650"/>
      <c r="AH1427" s="650"/>
      <c r="AI1427" s="667"/>
    </row>
    <row r="1428" spans="12:35" ht="45" customHeight="1" thickBot="1" x14ac:dyDescent="0.25">
      <c r="L1428" s="645"/>
      <c r="M1428" s="616"/>
      <c r="N1428" s="616"/>
      <c r="O1428" s="616"/>
      <c r="P1428" s="615"/>
      <c r="Q1428" s="616"/>
      <c r="R1428" s="663"/>
      <c r="S1428" s="459"/>
      <c r="T1428" s="459"/>
      <c r="U1428" s="459"/>
      <c r="V1428" s="459"/>
      <c r="W1428" s="459"/>
      <c r="X1428" s="459"/>
      <c r="Y1428" s="666"/>
      <c r="Z1428" s="664"/>
      <c r="AA1428" s="665"/>
      <c r="AB1428" s="665"/>
      <c r="AC1428" s="665"/>
      <c r="AD1428" s="665"/>
      <c r="AE1428" s="665"/>
      <c r="AF1428" s="649"/>
      <c r="AG1428" s="650"/>
      <c r="AH1428" s="650"/>
      <c r="AI1428" s="667"/>
    </row>
    <row r="1429" spans="12:35" ht="45" customHeight="1" thickBot="1" x14ac:dyDescent="0.25">
      <c r="L1429" s="645"/>
      <c r="M1429" s="616"/>
      <c r="N1429" s="616"/>
      <c r="O1429" s="616"/>
      <c r="P1429" s="615"/>
      <c r="Q1429" s="616"/>
      <c r="R1429" s="663"/>
      <c r="S1429" s="459"/>
      <c r="T1429" s="459"/>
      <c r="U1429" s="459"/>
      <c r="V1429" s="459"/>
      <c r="W1429" s="459"/>
      <c r="X1429" s="459"/>
      <c r="Y1429" s="666"/>
      <c r="Z1429" s="664"/>
      <c r="AA1429" s="665"/>
      <c r="AB1429" s="665"/>
      <c r="AC1429" s="665"/>
      <c r="AD1429" s="665"/>
      <c r="AE1429" s="665"/>
      <c r="AF1429" s="649"/>
      <c r="AG1429" s="650"/>
      <c r="AH1429" s="650"/>
      <c r="AI1429" s="667"/>
    </row>
    <row r="1430" spans="12:35" ht="45" customHeight="1" thickBot="1" x14ac:dyDescent="0.25">
      <c r="L1430" s="645"/>
      <c r="M1430" s="616"/>
      <c r="N1430" s="616"/>
      <c r="O1430" s="616"/>
      <c r="P1430" s="615"/>
      <c r="Q1430" s="616"/>
      <c r="R1430" s="663"/>
      <c r="S1430" s="459"/>
      <c r="T1430" s="459"/>
      <c r="U1430" s="459"/>
      <c r="V1430" s="459"/>
      <c r="W1430" s="459"/>
      <c r="X1430" s="459"/>
      <c r="Y1430" s="666"/>
      <c r="Z1430" s="664"/>
      <c r="AA1430" s="665"/>
      <c r="AB1430" s="665"/>
      <c r="AC1430" s="665"/>
      <c r="AD1430" s="665"/>
      <c r="AE1430" s="665"/>
      <c r="AF1430" s="649"/>
      <c r="AG1430" s="650"/>
      <c r="AH1430" s="650"/>
      <c r="AI1430" s="667"/>
    </row>
    <row r="1431" spans="12:35" ht="45" customHeight="1" thickBot="1" x14ac:dyDescent="0.25">
      <c r="L1431" s="645"/>
      <c r="M1431" s="616"/>
      <c r="N1431" s="616"/>
      <c r="O1431" s="616"/>
      <c r="P1431" s="615"/>
      <c r="Q1431" s="616"/>
      <c r="R1431" s="663"/>
      <c r="S1431" s="459"/>
      <c r="T1431" s="459"/>
      <c r="U1431" s="459"/>
      <c r="V1431" s="459"/>
      <c r="W1431" s="459"/>
      <c r="X1431" s="459"/>
      <c r="Y1431" s="666"/>
      <c r="Z1431" s="664"/>
      <c r="AA1431" s="665"/>
      <c r="AB1431" s="665"/>
      <c r="AC1431" s="665"/>
      <c r="AD1431" s="665"/>
      <c r="AE1431" s="665"/>
      <c r="AF1431" s="649"/>
      <c r="AG1431" s="650"/>
      <c r="AH1431" s="650"/>
      <c r="AI1431" s="667"/>
    </row>
    <row r="1432" spans="12:35" ht="45" customHeight="1" thickBot="1" x14ac:dyDescent="0.25">
      <c r="L1432" s="645"/>
      <c r="M1432" s="616"/>
      <c r="N1432" s="616"/>
      <c r="O1432" s="616"/>
      <c r="P1432" s="615"/>
      <c r="Q1432" s="616"/>
      <c r="R1432" s="663"/>
      <c r="S1432" s="459"/>
      <c r="T1432" s="459"/>
      <c r="U1432" s="459"/>
      <c r="V1432" s="459"/>
      <c r="W1432" s="459"/>
      <c r="X1432" s="459"/>
      <c r="Y1432" s="666"/>
      <c r="Z1432" s="664"/>
      <c r="AA1432" s="665"/>
      <c r="AB1432" s="665"/>
      <c r="AC1432" s="665"/>
      <c r="AD1432" s="665"/>
      <c r="AE1432" s="665"/>
      <c r="AF1432" s="649"/>
      <c r="AG1432" s="650"/>
      <c r="AH1432" s="650"/>
      <c r="AI1432" s="667"/>
    </row>
    <row r="1433" spans="12:35" ht="45" customHeight="1" thickBot="1" x14ac:dyDescent="0.25">
      <c r="L1433" s="645"/>
      <c r="M1433" s="616"/>
      <c r="N1433" s="616"/>
      <c r="O1433" s="616"/>
      <c r="P1433" s="615"/>
      <c r="Q1433" s="616"/>
      <c r="R1433" s="663"/>
      <c r="S1433" s="459"/>
      <c r="T1433" s="459"/>
      <c r="U1433" s="459"/>
      <c r="V1433" s="459"/>
      <c r="W1433" s="459"/>
      <c r="X1433" s="459"/>
      <c r="Y1433" s="666"/>
      <c r="Z1433" s="664"/>
      <c r="AA1433" s="665"/>
      <c r="AB1433" s="665"/>
      <c r="AC1433" s="665"/>
      <c r="AD1433" s="665"/>
      <c r="AE1433" s="665"/>
      <c r="AF1433" s="649"/>
      <c r="AG1433" s="650"/>
      <c r="AH1433" s="650"/>
      <c r="AI1433" s="667"/>
    </row>
    <row r="1434" spans="12:35" ht="45" customHeight="1" thickBot="1" x14ac:dyDescent="0.25">
      <c r="L1434" s="645"/>
      <c r="M1434" s="616"/>
      <c r="N1434" s="616"/>
      <c r="O1434" s="616"/>
      <c r="P1434" s="615"/>
      <c r="Q1434" s="616"/>
      <c r="R1434" s="663"/>
      <c r="S1434" s="459"/>
      <c r="T1434" s="459"/>
      <c r="U1434" s="459"/>
      <c r="V1434" s="459"/>
      <c r="W1434" s="459"/>
      <c r="X1434" s="459"/>
      <c r="Y1434" s="666"/>
      <c r="Z1434" s="664"/>
      <c r="AA1434" s="665"/>
      <c r="AB1434" s="665"/>
      <c r="AC1434" s="665"/>
      <c r="AD1434" s="665"/>
      <c r="AE1434" s="665"/>
      <c r="AF1434" s="649"/>
      <c r="AG1434" s="650"/>
      <c r="AH1434" s="650"/>
      <c r="AI1434" s="667"/>
    </row>
    <row r="1435" spans="12:35" ht="45" customHeight="1" thickBot="1" x14ac:dyDescent="0.25">
      <c r="L1435" s="645"/>
      <c r="M1435" s="616"/>
      <c r="N1435" s="616"/>
      <c r="O1435" s="616"/>
      <c r="P1435" s="615"/>
      <c r="Q1435" s="616"/>
      <c r="R1435" s="663"/>
      <c r="S1435" s="459"/>
      <c r="T1435" s="459"/>
      <c r="U1435" s="459"/>
      <c r="V1435" s="459"/>
      <c r="W1435" s="459"/>
      <c r="X1435" s="459"/>
      <c r="Y1435" s="666"/>
      <c r="Z1435" s="664"/>
      <c r="AA1435" s="665"/>
      <c r="AB1435" s="665"/>
      <c r="AC1435" s="665"/>
      <c r="AD1435" s="665"/>
      <c r="AE1435" s="665"/>
      <c r="AF1435" s="649"/>
      <c r="AG1435" s="650"/>
      <c r="AH1435" s="650"/>
      <c r="AI1435" s="667"/>
    </row>
    <row r="1436" spans="12:35" ht="45" customHeight="1" thickBot="1" x14ac:dyDescent="0.25">
      <c r="L1436" s="645"/>
      <c r="M1436" s="616"/>
      <c r="N1436" s="616"/>
      <c r="O1436" s="616"/>
      <c r="P1436" s="615"/>
      <c r="Q1436" s="616"/>
      <c r="R1436" s="663"/>
      <c r="S1436" s="459"/>
      <c r="T1436" s="459"/>
      <c r="U1436" s="459"/>
      <c r="V1436" s="459"/>
      <c r="W1436" s="459"/>
      <c r="X1436" s="459"/>
      <c r="Y1436" s="666"/>
      <c r="Z1436" s="664"/>
      <c r="AA1436" s="665"/>
      <c r="AB1436" s="665"/>
      <c r="AC1436" s="665"/>
      <c r="AD1436" s="665"/>
      <c r="AE1436" s="665"/>
      <c r="AF1436" s="649"/>
      <c r="AG1436" s="650"/>
      <c r="AH1436" s="650"/>
      <c r="AI1436" s="667"/>
    </row>
    <row r="1437" spans="12:35" ht="45" customHeight="1" thickBot="1" x14ac:dyDescent="0.25">
      <c r="L1437" s="645"/>
      <c r="M1437" s="616"/>
      <c r="N1437" s="616"/>
      <c r="O1437" s="616"/>
      <c r="P1437" s="615"/>
      <c r="Q1437" s="616"/>
      <c r="R1437" s="663"/>
      <c r="S1437" s="459"/>
      <c r="T1437" s="459"/>
      <c r="U1437" s="459"/>
      <c r="V1437" s="459"/>
      <c r="W1437" s="459"/>
      <c r="X1437" s="459"/>
      <c r="Y1437" s="666"/>
      <c r="Z1437" s="664"/>
      <c r="AA1437" s="665"/>
      <c r="AB1437" s="665"/>
      <c r="AC1437" s="665"/>
      <c r="AD1437" s="665"/>
      <c r="AE1437" s="665"/>
      <c r="AF1437" s="649"/>
      <c r="AG1437" s="650"/>
      <c r="AH1437" s="650"/>
      <c r="AI1437" s="667"/>
    </row>
    <row r="1438" spans="12:35" ht="45" customHeight="1" thickBot="1" x14ac:dyDescent="0.25">
      <c r="L1438" s="645"/>
      <c r="M1438" s="616"/>
      <c r="N1438" s="616"/>
      <c r="O1438" s="616"/>
      <c r="P1438" s="615"/>
      <c r="Q1438" s="616"/>
      <c r="R1438" s="663"/>
      <c r="S1438" s="459"/>
      <c r="T1438" s="459"/>
      <c r="U1438" s="459"/>
      <c r="V1438" s="459"/>
      <c r="W1438" s="459"/>
      <c r="X1438" s="459"/>
      <c r="Y1438" s="666"/>
      <c r="Z1438" s="664"/>
      <c r="AA1438" s="665"/>
      <c r="AB1438" s="665"/>
      <c r="AC1438" s="665"/>
      <c r="AD1438" s="665"/>
      <c r="AE1438" s="665"/>
      <c r="AF1438" s="649"/>
      <c r="AG1438" s="650"/>
      <c r="AH1438" s="650"/>
      <c r="AI1438" s="667"/>
    </row>
    <row r="1439" spans="12:35" ht="45" customHeight="1" thickBot="1" x14ac:dyDescent="0.25">
      <c r="L1439" s="645"/>
      <c r="M1439" s="616"/>
      <c r="N1439" s="616"/>
      <c r="O1439" s="616"/>
      <c r="P1439" s="615"/>
      <c r="Q1439" s="616"/>
      <c r="R1439" s="663"/>
      <c r="S1439" s="459"/>
      <c r="T1439" s="459"/>
      <c r="U1439" s="459"/>
      <c r="V1439" s="459"/>
      <c r="W1439" s="459"/>
      <c r="X1439" s="459"/>
      <c r="Y1439" s="666"/>
      <c r="Z1439" s="664"/>
      <c r="AA1439" s="665"/>
      <c r="AB1439" s="665"/>
      <c r="AC1439" s="665"/>
      <c r="AD1439" s="665"/>
      <c r="AE1439" s="665"/>
      <c r="AF1439" s="649"/>
      <c r="AG1439" s="650"/>
      <c r="AH1439" s="650"/>
      <c r="AI1439" s="667"/>
    </row>
    <row r="1440" spans="12:35" ht="45" customHeight="1" thickBot="1" x14ac:dyDescent="0.25">
      <c r="L1440" s="645"/>
      <c r="M1440" s="616"/>
      <c r="N1440" s="616"/>
      <c r="O1440" s="616"/>
      <c r="P1440" s="615"/>
      <c r="Q1440" s="616"/>
      <c r="R1440" s="663"/>
      <c r="S1440" s="459"/>
      <c r="T1440" s="459"/>
      <c r="U1440" s="459"/>
      <c r="V1440" s="459"/>
      <c r="W1440" s="459"/>
      <c r="X1440" s="459"/>
      <c r="Y1440" s="666"/>
      <c r="Z1440" s="664"/>
      <c r="AA1440" s="665"/>
      <c r="AB1440" s="665"/>
      <c r="AC1440" s="665"/>
      <c r="AD1440" s="665"/>
      <c r="AE1440" s="665"/>
      <c r="AF1440" s="649"/>
      <c r="AG1440" s="650"/>
      <c r="AH1440" s="650"/>
      <c r="AI1440" s="667"/>
    </row>
    <row r="1441" spans="12:35" ht="45" customHeight="1" thickBot="1" x14ac:dyDescent="0.25">
      <c r="L1441" s="645"/>
      <c r="M1441" s="616"/>
      <c r="N1441" s="616"/>
      <c r="O1441" s="616"/>
      <c r="P1441" s="615"/>
      <c r="Q1441" s="616"/>
      <c r="R1441" s="663"/>
      <c r="S1441" s="459"/>
      <c r="T1441" s="459"/>
      <c r="U1441" s="459"/>
      <c r="V1441" s="459"/>
      <c r="W1441" s="459"/>
      <c r="X1441" s="459"/>
      <c r="Y1441" s="666"/>
      <c r="Z1441" s="664"/>
      <c r="AA1441" s="665"/>
      <c r="AB1441" s="665"/>
      <c r="AC1441" s="665"/>
      <c r="AD1441" s="665"/>
      <c r="AE1441" s="665"/>
      <c r="AF1441" s="649"/>
      <c r="AG1441" s="650"/>
      <c r="AH1441" s="650"/>
      <c r="AI1441" s="667"/>
    </row>
    <row r="1442" spans="12:35" ht="45" customHeight="1" thickBot="1" x14ac:dyDescent="0.25">
      <c r="L1442" s="645"/>
      <c r="M1442" s="616"/>
      <c r="N1442" s="616"/>
      <c r="O1442" s="616"/>
      <c r="P1442" s="615"/>
      <c r="Q1442" s="616"/>
      <c r="R1442" s="663"/>
      <c r="S1442" s="459"/>
      <c r="T1442" s="459"/>
      <c r="U1442" s="459"/>
      <c r="V1442" s="459"/>
      <c r="W1442" s="459"/>
      <c r="X1442" s="459"/>
      <c r="Y1442" s="666"/>
      <c r="Z1442" s="664"/>
      <c r="AA1442" s="665"/>
      <c r="AB1442" s="665"/>
      <c r="AC1442" s="665"/>
      <c r="AD1442" s="665"/>
      <c r="AE1442" s="665"/>
      <c r="AF1442" s="649"/>
      <c r="AG1442" s="650"/>
      <c r="AH1442" s="650"/>
      <c r="AI1442" s="667"/>
    </row>
    <row r="1443" spans="12:35" ht="45" customHeight="1" thickBot="1" x14ac:dyDescent="0.25">
      <c r="L1443" s="645"/>
      <c r="M1443" s="616"/>
      <c r="N1443" s="616"/>
      <c r="O1443" s="616"/>
      <c r="P1443" s="615"/>
      <c r="Q1443" s="616"/>
      <c r="R1443" s="663"/>
      <c r="S1443" s="459"/>
      <c r="T1443" s="459"/>
      <c r="U1443" s="459"/>
      <c r="V1443" s="459"/>
      <c r="W1443" s="459"/>
      <c r="X1443" s="459"/>
      <c r="Y1443" s="666"/>
      <c r="Z1443" s="664"/>
      <c r="AA1443" s="665"/>
      <c r="AB1443" s="665"/>
      <c r="AC1443" s="665"/>
      <c r="AD1443" s="665"/>
      <c r="AE1443" s="665"/>
      <c r="AF1443" s="649"/>
      <c r="AG1443" s="650"/>
      <c r="AH1443" s="650"/>
      <c r="AI1443" s="667"/>
    </row>
    <row r="1444" spans="12:35" ht="45" customHeight="1" thickBot="1" x14ac:dyDescent="0.25">
      <c r="L1444" s="645"/>
      <c r="M1444" s="616"/>
      <c r="N1444" s="616"/>
      <c r="O1444" s="616"/>
      <c r="P1444" s="615"/>
      <c r="Q1444" s="616"/>
      <c r="R1444" s="663"/>
      <c r="S1444" s="459"/>
      <c r="T1444" s="459"/>
      <c r="U1444" s="459"/>
      <c r="V1444" s="459"/>
      <c r="W1444" s="459"/>
      <c r="X1444" s="459"/>
      <c r="Y1444" s="666"/>
      <c r="Z1444" s="664"/>
      <c r="AA1444" s="665"/>
      <c r="AB1444" s="665"/>
      <c r="AC1444" s="665"/>
      <c r="AD1444" s="665"/>
      <c r="AE1444" s="665"/>
      <c r="AF1444" s="649"/>
      <c r="AG1444" s="650"/>
      <c r="AH1444" s="650"/>
      <c r="AI1444" s="667"/>
    </row>
    <row r="1445" spans="12:35" ht="45" customHeight="1" thickBot="1" x14ac:dyDescent="0.25">
      <c r="L1445" s="645"/>
      <c r="M1445" s="616"/>
      <c r="N1445" s="616"/>
      <c r="O1445" s="616"/>
      <c r="P1445" s="615"/>
      <c r="Q1445" s="616"/>
      <c r="R1445" s="663"/>
      <c r="S1445" s="459"/>
      <c r="T1445" s="459"/>
      <c r="U1445" s="459"/>
      <c r="V1445" s="459"/>
      <c r="W1445" s="459"/>
      <c r="X1445" s="459"/>
      <c r="Y1445" s="666"/>
      <c r="Z1445" s="664"/>
      <c r="AA1445" s="665"/>
      <c r="AB1445" s="665"/>
      <c r="AC1445" s="665"/>
      <c r="AD1445" s="665"/>
      <c r="AE1445" s="665"/>
      <c r="AF1445" s="649"/>
      <c r="AG1445" s="650"/>
      <c r="AH1445" s="650"/>
      <c r="AI1445" s="667"/>
    </row>
    <row r="1446" spans="12:35" ht="45" customHeight="1" thickBot="1" x14ac:dyDescent="0.25">
      <c r="L1446" s="645"/>
      <c r="M1446" s="616"/>
      <c r="N1446" s="616"/>
      <c r="O1446" s="616"/>
      <c r="P1446" s="615"/>
      <c r="Q1446" s="616"/>
      <c r="R1446" s="663"/>
      <c r="S1446" s="459"/>
      <c r="T1446" s="459"/>
      <c r="U1446" s="459"/>
      <c r="V1446" s="459"/>
      <c r="W1446" s="459"/>
      <c r="X1446" s="459"/>
      <c r="Y1446" s="666"/>
      <c r="Z1446" s="664"/>
      <c r="AA1446" s="665"/>
      <c r="AB1446" s="665"/>
      <c r="AC1446" s="665"/>
      <c r="AD1446" s="665"/>
      <c r="AE1446" s="665"/>
      <c r="AF1446" s="649"/>
      <c r="AG1446" s="650"/>
      <c r="AH1446" s="650"/>
      <c r="AI1446" s="667"/>
    </row>
    <row r="1447" spans="12:35" ht="45" customHeight="1" thickBot="1" x14ac:dyDescent="0.25">
      <c r="L1447" s="645"/>
      <c r="M1447" s="616"/>
      <c r="N1447" s="616"/>
      <c r="O1447" s="616"/>
      <c r="P1447" s="615"/>
      <c r="Q1447" s="616"/>
      <c r="R1447" s="663"/>
      <c r="S1447" s="459"/>
      <c r="T1447" s="459"/>
      <c r="U1447" s="459"/>
      <c r="V1447" s="459"/>
      <c r="W1447" s="459"/>
      <c r="X1447" s="459"/>
      <c r="Y1447" s="666"/>
      <c r="Z1447" s="664"/>
      <c r="AA1447" s="665"/>
      <c r="AB1447" s="665"/>
      <c r="AC1447" s="665"/>
      <c r="AD1447" s="665"/>
      <c r="AE1447" s="665"/>
      <c r="AF1447" s="649"/>
      <c r="AG1447" s="650"/>
      <c r="AH1447" s="650"/>
      <c r="AI1447" s="667"/>
    </row>
    <row r="1448" spans="12:35" ht="45" customHeight="1" thickBot="1" x14ac:dyDescent="0.25">
      <c r="L1448" s="645"/>
      <c r="M1448" s="616"/>
      <c r="N1448" s="616"/>
      <c r="O1448" s="616"/>
      <c r="P1448" s="615"/>
      <c r="Q1448" s="616"/>
      <c r="R1448" s="663"/>
      <c r="S1448" s="459"/>
      <c r="T1448" s="459"/>
      <c r="U1448" s="459"/>
      <c r="V1448" s="459"/>
      <c r="W1448" s="459"/>
      <c r="X1448" s="459"/>
      <c r="Y1448" s="666"/>
      <c r="Z1448" s="664"/>
      <c r="AA1448" s="665"/>
      <c r="AB1448" s="665"/>
      <c r="AC1448" s="665"/>
      <c r="AD1448" s="665"/>
      <c r="AE1448" s="665"/>
      <c r="AF1448" s="649"/>
      <c r="AG1448" s="650"/>
      <c r="AH1448" s="650"/>
      <c r="AI1448" s="667"/>
    </row>
    <row r="1449" spans="12:35" ht="45" customHeight="1" thickBot="1" x14ac:dyDescent="0.25">
      <c r="L1449" s="645"/>
      <c r="M1449" s="616"/>
      <c r="N1449" s="616"/>
      <c r="O1449" s="616"/>
      <c r="P1449" s="615"/>
      <c r="Q1449" s="616"/>
      <c r="R1449" s="663"/>
      <c r="S1449" s="459"/>
      <c r="T1449" s="459"/>
      <c r="U1449" s="459"/>
      <c r="V1449" s="459"/>
      <c r="W1449" s="459"/>
      <c r="X1449" s="459"/>
      <c r="Y1449" s="666"/>
      <c r="Z1449" s="664"/>
      <c r="AA1449" s="665"/>
      <c r="AB1449" s="665"/>
      <c r="AC1449" s="665"/>
      <c r="AD1449" s="665"/>
      <c r="AE1449" s="665"/>
      <c r="AF1449" s="649"/>
      <c r="AG1449" s="650"/>
      <c r="AH1449" s="650"/>
      <c r="AI1449" s="667"/>
    </row>
    <row r="1450" spans="12:35" ht="45" customHeight="1" thickBot="1" x14ac:dyDescent="0.25">
      <c r="L1450" s="645"/>
      <c r="M1450" s="616"/>
      <c r="N1450" s="616"/>
      <c r="O1450" s="616"/>
      <c r="P1450" s="615"/>
      <c r="Q1450" s="616"/>
      <c r="R1450" s="663"/>
      <c r="S1450" s="459"/>
      <c r="T1450" s="459"/>
      <c r="U1450" s="459"/>
      <c r="V1450" s="459"/>
      <c r="W1450" s="459"/>
      <c r="X1450" s="459"/>
      <c r="Y1450" s="666"/>
      <c r="Z1450" s="664"/>
      <c r="AA1450" s="665"/>
      <c r="AB1450" s="665"/>
      <c r="AC1450" s="665"/>
      <c r="AD1450" s="665"/>
      <c r="AE1450" s="665"/>
      <c r="AF1450" s="649"/>
      <c r="AG1450" s="650"/>
      <c r="AH1450" s="650"/>
      <c r="AI1450" s="667"/>
    </row>
    <row r="1451" spans="12:35" ht="45" customHeight="1" thickBot="1" x14ac:dyDescent="0.25">
      <c r="L1451" s="645"/>
      <c r="M1451" s="616"/>
      <c r="N1451" s="616"/>
      <c r="O1451" s="616"/>
      <c r="P1451" s="615"/>
      <c r="Q1451" s="616"/>
      <c r="R1451" s="663"/>
      <c r="S1451" s="459"/>
      <c r="T1451" s="459"/>
      <c r="U1451" s="459"/>
      <c r="V1451" s="459"/>
      <c r="W1451" s="459"/>
      <c r="X1451" s="459"/>
      <c r="Y1451" s="666"/>
      <c r="Z1451" s="664"/>
      <c r="AA1451" s="665"/>
      <c r="AB1451" s="665"/>
      <c r="AC1451" s="665"/>
      <c r="AD1451" s="665"/>
      <c r="AE1451" s="665"/>
      <c r="AF1451" s="649"/>
      <c r="AG1451" s="650"/>
      <c r="AH1451" s="650"/>
      <c r="AI1451" s="667"/>
    </row>
    <row r="1452" spans="12:35" ht="45" customHeight="1" thickBot="1" x14ac:dyDescent="0.25">
      <c r="L1452" s="645"/>
      <c r="M1452" s="616"/>
      <c r="N1452" s="616"/>
      <c r="O1452" s="616"/>
      <c r="P1452" s="615"/>
      <c r="Q1452" s="616"/>
      <c r="R1452" s="663"/>
      <c r="S1452" s="459"/>
      <c r="T1452" s="459"/>
      <c r="U1452" s="459"/>
      <c r="V1452" s="459"/>
      <c r="W1452" s="459"/>
      <c r="X1452" s="459"/>
      <c r="Y1452" s="666"/>
      <c r="Z1452" s="664"/>
      <c r="AA1452" s="665"/>
      <c r="AB1452" s="665"/>
      <c r="AC1452" s="665"/>
      <c r="AD1452" s="665"/>
      <c r="AE1452" s="665"/>
      <c r="AF1452" s="649"/>
      <c r="AG1452" s="650"/>
      <c r="AH1452" s="650"/>
      <c r="AI1452" s="667"/>
    </row>
    <row r="1453" spans="12:35" ht="45" customHeight="1" thickBot="1" x14ac:dyDescent="0.25">
      <c r="L1453" s="645"/>
      <c r="M1453" s="616"/>
      <c r="N1453" s="616"/>
      <c r="O1453" s="616"/>
      <c r="P1453" s="615"/>
      <c r="Q1453" s="616"/>
      <c r="R1453" s="663"/>
      <c r="S1453" s="459"/>
      <c r="T1453" s="459"/>
      <c r="U1453" s="459"/>
      <c r="V1453" s="459"/>
      <c r="W1453" s="459"/>
      <c r="X1453" s="459"/>
      <c r="Y1453" s="666"/>
      <c r="Z1453" s="664"/>
      <c r="AA1453" s="665"/>
      <c r="AB1453" s="665"/>
      <c r="AC1453" s="665"/>
      <c r="AD1453" s="665"/>
      <c r="AE1453" s="665"/>
      <c r="AF1453" s="649"/>
      <c r="AG1453" s="650"/>
      <c r="AH1453" s="650"/>
      <c r="AI1453" s="667"/>
    </row>
    <row r="1454" spans="12:35" ht="45" customHeight="1" thickBot="1" x14ac:dyDescent="0.25">
      <c r="L1454" s="645"/>
      <c r="M1454" s="616"/>
      <c r="N1454" s="616"/>
      <c r="O1454" s="616"/>
      <c r="P1454" s="615"/>
      <c r="Q1454" s="616"/>
      <c r="R1454" s="663"/>
      <c r="S1454" s="459"/>
      <c r="T1454" s="459"/>
      <c r="U1454" s="459"/>
      <c r="V1454" s="459"/>
      <c r="W1454" s="459"/>
      <c r="X1454" s="459"/>
      <c r="Y1454" s="666"/>
      <c r="Z1454" s="664"/>
      <c r="AA1454" s="665"/>
      <c r="AB1454" s="665"/>
      <c r="AC1454" s="665"/>
      <c r="AD1454" s="665"/>
      <c r="AE1454" s="665"/>
      <c r="AF1454" s="649"/>
      <c r="AG1454" s="650"/>
      <c r="AH1454" s="650"/>
      <c r="AI1454" s="667"/>
    </row>
    <row r="1455" spans="12:35" ht="45" customHeight="1" thickBot="1" x14ac:dyDescent="0.25">
      <c r="L1455" s="645"/>
      <c r="M1455" s="616"/>
      <c r="N1455" s="616"/>
      <c r="O1455" s="616"/>
      <c r="P1455" s="615"/>
      <c r="Q1455" s="616"/>
      <c r="R1455" s="663"/>
      <c r="S1455" s="459"/>
      <c r="T1455" s="459"/>
      <c r="U1455" s="459"/>
      <c r="V1455" s="459"/>
      <c r="W1455" s="459"/>
      <c r="X1455" s="459"/>
      <c r="Y1455" s="666"/>
      <c r="Z1455" s="664"/>
      <c r="AA1455" s="665"/>
      <c r="AB1455" s="665"/>
      <c r="AC1455" s="665"/>
      <c r="AD1455" s="665"/>
      <c r="AE1455" s="665"/>
      <c r="AF1455" s="649"/>
      <c r="AG1455" s="650"/>
      <c r="AH1455" s="650"/>
      <c r="AI1455" s="667"/>
    </row>
    <row r="1456" spans="12:35" ht="45" customHeight="1" thickBot="1" x14ac:dyDescent="0.25">
      <c r="L1456" s="645"/>
      <c r="M1456" s="616"/>
      <c r="N1456" s="616"/>
      <c r="O1456" s="616"/>
      <c r="P1456" s="615"/>
      <c r="Q1456" s="616"/>
      <c r="R1456" s="663"/>
      <c r="S1456" s="459"/>
      <c r="T1456" s="459"/>
      <c r="U1456" s="459"/>
      <c r="V1456" s="459"/>
      <c r="W1456" s="459"/>
      <c r="X1456" s="459"/>
      <c r="Y1456" s="666"/>
      <c r="Z1456" s="664"/>
      <c r="AA1456" s="665"/>
      <c r="AB1456" s="665"/>
      <c r="AC1456" s="665"/>
      <c r="AD1456" s="665"/>
      <c r="AE1456" s="665"/>
      <c r="AF1456" s="649"/>
      <c r="AG1456" s="650"/>
      <c r="AH1456" s="650"/>
      <c r="AI1456" s="667"/>
    </row>
    <row r="1457" spans="12:35" ht="45" customHeight="1" thickBot="1" x14ac:dyDescent="0.25">
      <c r="L1457" s="645"/>
      <c r="M1457" s="616"/>
      <c r="N1457" s="616"/>
      <c r="O1457" s="616"/>
      <c r="P1457" s="615"/>
      <c r="Q1457" s="616"/>
      <c r="R1457" s="663"/>
      <c r="S1457" s="459"/>
      <c r="T1457" s="459"/>
      <c r="U1457" s="459"/>
      <c r="V1457" s="459"/>
      <c r="W1457" s="459"/>
      <c r="X1457" s="459"/>
      <c r="Y1457" s="666"/>
      <c r="Z1457" s="664"/>
      <c r="AA1457" s="665"/>
      <c r="AB1457" s="665"/>
      <c r="AC1457" s="665"/>
      <c r="AD1457" s="665"/>
      <c r="AE1457" s="665"/>
      <c r="AF1457" s="649"/>
      <c r="AG1457" s="650"/>
      <c r="AH1457" s="650"/>
      <c r="AI1457" s="667"/>
    </row>
    <row r="1458" spans="12:35" ht="45" customHeight="1" thickBot="1" x14ac:dyDescent="0.25">
      <c r="L1458" s="645"/>
      <c r="M1458" s="616"/>
      <c r="N1458" s="616"/>
      <c r="O1458" s="616"/>
      <c r="P1458" s="615"/>
      <c r="Q1458" s="616"/>
      <c r="R1458" s="663"/>
      <c r="S1458" s="459"/>
      <c r="T1458" s="459"/>
      <c r="U1458" s="459"/>
      <c r="V1458" s="459"/>
      <c r="W1458" s="459"/>
      <c r="X1458" s="459"/>
      <c r="Y1458" s="666"/>
      <c r="Z1458" s="664"/>
      <c r="AA1458" s="665"/>
      <c r="AB1458" s="665"/>
      <c r="AC1458" s="665"/>
      <c r="AD1458" s="665"/>
      <c r="AE1458" s="665"/>
      <c r="AF1458" s="649"/>
      <c r="AG1458" s="650"/>
      <c r="AH1458" s="650"/>
      <c r="AI1458" s="667"/>
    </row>
    <row r="1459" spans="12:35" ht="45" customHeight="1" thickBot="1" x14ac:dyDescent="0.25">
      <c r="L1459" s="645"/>
      <c r="M1459" s="616"/>
      <c r="N1459" s="616"/>
      <c r="O1459" s="616"/>
      <c r="P1459" s="615"/>
      <c r="Q1459" s="616"/>
      <c r="R1459" s="663"/>
      <c r="S1459" s="459"/>
      <c r="T1459" s="459"/>
      <c r="U1459" s="459"/>
      <c r="V1459" s="459"/>
      <c r="W1459" s="459"/>
      <c r="X1459" s="459"/>
      <c r="Y1459" s="666"/>
      <c r="Z1459" s="664"/>
      <c r="AA1459" s="665"/>
      <c r="AB1459" s="665"/>
      <c r="AC1459" s="665"/>
      <c r="AD1459" s="665"/>
      <c r="AE1459" s="665"/>
      <c r="AF1459" s="649"/>
      <c r="AG1459" s="650"/>
      <c r="AH1459" s="650"/>
      <c r="AI1459" s="667"/>
    </row>
    <row r="1460" spans="12:35" ht="45" customHeight="1" thickBot="1" x14ac:dyDescent="0.25">
      <c r="L1460" s="645"/>
      <c r="M1460" s="616"/>
      <c r="N1460" s="616"/>
      <c r="O1460" s="616"/>
      <c r="P1460" s="615"/>
      <c r="Q1460" s="616"/>
      <c r="R1460" s="663"/>
      <c r="S1460" s="459"/>
      <c r="T1460" s="459"/>
      <c r="U1460" s="459"/>
      <c r="V1460" s="459"/>
      <c r="W1460" s="459"/>
      <c r="X1460" s="459"/>
      <c r="Y1460" s="666"/>
      <c r="Z1460" s="664"/>
      <c r="AA1460" s="665"/>
      <c r="AB1460" s="665"/>
      <c r="AC1460" s="665"/>
      <c r="AD1460" s="665"/>
      <c r="AE1460" s="665"/>
      <c r="AF1460" s="649"/>
      <c r="AG1460" s="650"/>
      <c r="AH1460" s="650"/>
      <c r="AI1460" s="667"/>
    </row>
    <row r="1461" spans="12:35" ht="45" customHeight="1" thickBot="1" x14ac:dyDescent="0.25">
      <c r="L1461" s="645"/>
      <c r="M1461" s="616"/>
      <c r="N1461" s="616"/>
      <c r="O1461" s="616"/>
      <c r="P1461" s="615"/>
      <c r="Q1461" s="616"/>
      <c r="R1461" s="663"/>
      <c r="S1461" s="459"/>
      <c r="T1461" s="459"/>
      <c r="U1461" s="459"/>
      <c r="V1461" s="459"/>
      <c r="W1461" s="459"/>
      <c r="X1461" s="459"/>
      <c r="Y1461" s="666"/>
      <c r="Z1461" s="664"/>
      <c r="AA1461" s="665"/>
      <c r="AB1461" s="665"/>
      <c r="AC1461" s="665"/>
      <c r="AD1461" s="665"/>
      <c r="AE1461" s="665"/>
      <c r="AF1461" s="649"/>
      <c r="AG1461" s="650"/>
      <c r="AH1461" s="650"/>
      <c r="AI1461" s="667"/>
    </row>
    <row r="1462" spans="12:35" ht="45" customHeight="1" thickBot="1" x14ac:dyDescent="0.25">
      <c r="L1462" s="645"/>
      <c r="M1462" s="616"/>
      <c r="N1462" s="616"/>
      <c r="O1462" s="616"/>
      <c r="P1462" s="615"/>
      <c r="Q1462" s="616"/>
      <c r="R1462" s="663"/>
      <c r="S1462" s="459"/>
      <c r="T1462" s="459"/>
      <c r="U1462" s="459"/>
      <c r="V1462" s="459"/>
      <c r="W1462" s="459"/>
      <c r="X1462" s="459"/>
      <c r="Y1462" s="666"/>
      <c r="Z1462" s="664"/>
      <c r="AA1462" s="665"/>
      <c r="AB1462" s="665"/>
      <c r="AC1462" s="665"/>
      <c r="AD1462" s="665"/>
      <c r="AE1462" s="665"/>
      <c r="AF1462" s="649"/>
      <c r="AG1462" s="650"/>
      <c r="AH1462" s="650"/>
      <c r="AI1462" s="667"/>
    </row>
    <row r="1463" spans="12:35" ht="45" customHeight="1" thickBot="1" x14ac:dyDescent="0.25">
      <c r="L1463" s="645"/>
      <c r="M1463" s="616"/>
      <c r="N1463" s="616"/>
      <c r="O1463" s="616"/>
      <c r="P1463" s="615"/>
      <c r="Q1463" s="616"/>
      <c r="R1463" s="663"/>
      <c r="S1463" s="459"/>
      <c r="T1463" s="459"/>
      <c r="U1463" s="459"/>
      <c r="V1463" s="459"/>
      <c r="W1463" s="459"/>
      <c r="X1463" s="459"/>
      <c r="Y1463" s="666"/>
      <c r="Z1463" s="664"/>
      <c r="AA1463" s="665"/>
      <c r="AB1463" s="665"/>
      <c r="AC1463" s="665"/>
      <c r="AD1463" s="665"/>
      <c r="AE1463" s="665"/>
      <c r="AF1463" s="649"/>
      <c r="AG1463" s="650"/>
      <c r="AH1463" s="650"/>
      <c r="AI1463" s="667"/>
    </row>
    <row r="1464" spans="12:35" ht="45" customHeight="1" thickBot="1" x14ac:dyDescent="0.25">
      <c r="L1464" s="645"/>
      <c r="M1464" s="616"/>
      <c r="N1464" s="616"/>
      <c r="O1464" s="616"/>
      <c r="P1464" s="615"/>
      <c r="Q1464" s="616"/>
      <c r="R1464" s="663"/>
      <c r="S1464" s="459"/>
      <c r="T1464" s="459"/>
      <c r="U1464" s="459"/>
      <c r="V1464" s="459"/>
      <c r="W1464" s="459"/>
      <c r="X1464" s="459"/>
      <c r="Y1464" s="666"/>
      <c r="Z1464" s="664"/>
      <c r="AA1464" s="665"/>
      <c r="AB1464" s="665"/>
      <c r="AC1464" s="665"/>
      <c r="AD1464" s="665"/>
      <c r="AE1464" s="665"/>
      <c r="AF1464" s="649"/>
      <c r="AG1464" s="650"/>
      <c r="AH1464" s="650"/>
      <c r="AI1464" s="667"/>
    </row>
    <row r="1465" spans="12:35" ht="45" customHeight="1" thickBot="1" x14ac:dyDescent="0.25">
      <c r="L1465" s="645"/>
      <c r="M1465" s="616"/>
      <c r="N1465" s="616"/>
      <c r="O1465" s="616"/>
      <c r="P1465" s="615"/>
      <c r="Q1465" s="616"/>
      <c r="R1465" s="663"/>
      <c r="S1465" s="459"/>
      <c r="T1465" s="459"/>
      <c r="U1465" s="459"/>
      <c r="V1465" s="459"/>
      <c r="W1465" s="459"/>
      <c r="X1465" s="459"/>
      <c r="Y1465" s="666"/>
      <c r="Z1465" s="664"/>
      <c r="AA1465" s="665"/>
      <c r="AB1465" s="665"/>
      <c r="AC1465" s="665"/>
      <c r="AD1465" s="665"/>
      <c r="AE1465" s="665"/>
      <c r="AF1465" s="649"/>
      <c r="AG1465" s="650"/>
      <c r="AH1465" s="650"/>
      <c r="AI1465" s="667"/>
    </row>
    <row r="1466" spans="12:35" ht="45" customHeight="1" thickBot="1" x14ac:dyDescent="0.25">
      <c r="L1466" s="645"/>
      <c r="M1466" s="616"/>
      <c r="N1466" s="616"/>
      <c r="O1466" s="616"/>
      <c r="P1466" s="615"/>
      <c r="Q1466" s="616"/>
      <c r="R1466" s="663"/>
      <c r="S1466" s="459"/>
      <c r="T1466" s="459"/>
      <c r="U1466" s="459"/>
      <c r="V1466" s="459"/>
      <c r="W1466" s="459"/>
      <c r="X1466" s="459"/>
      <c r="Y1466" s="666"/>
      <c r="Z1466" s="664"/>
      <c r="AA1466" s="665"/>
      <c r="AB1466" s="665"/>
      <c r="AC1466" s="665"/>
      <c r="AD1466" s="665"/>
      <c r="AE1466" s="665"/>
      <c r="AF1466" s="649"/>
      <c r="AG1466" s="650"/>
      <c r="AH1466" s="650"/>
      <c r="AI1466" s="667"/>
    </row>
    <row r="1467" spans="12:35" ht="45" customHeight="1" thickBot="1" x14ac:dyDescent="0.25">
      <c r="L1467" s="645"/>
      <c r="M1467" s="616"/>
      <c r="N1467" s="616"/>
      <c r="O1467" s="616"/>
      <c r="P1467" s="615"/>
      <c r="Q1467" s="616"/>
      <c r="R1467" s="663"/>
      <c r="S1467" s="459"/>
      <c r="T1467" s="459"/>
      <c r="U1467" s="459"/>
      <c r="V1467" s="459"/>
      <c r="W1467" s="459"/>
      <c r="X1467" s="459"/>
      <c r="Y1467" s="666"/>
      <c r="Z1467" s="664"/>
      <c r="AA1467" s="665"/>
      <c r="AB1467" s="665"/>
      <c r="AC1467" s="665"/>
      <c r="AD1467" s="665"/>
      <c r="AE1467" s="665"/>
      <c r="AF1467" s="649"/>
      <c r="AG1467" s="650"/>
      <c r="AH1467" s="650"/>
      <c r="AI1467" s="667"/>
    </row>
    <row r="1468" spans="12:35" ht="45" customHeight="1" thickBot="1" x14ac:dyDescent="0.25">
      <c r="L1468" s="645"/>
      <c r="M1468" s="616"/>
      <c r="N1468" s="616"/>
      <c r="O1468" s="616"/>
      <c r="P1468" s="615"/>
      <c r="Q1468" s="616"/>
      <c r="R1468" s="663"/>
      <c r="S1468" s="459"/>
      <c r="T1468" s="459"/>
      <c r="U1468" s="459"/>
      <c r="V1468" s="459"/>
      <c r="W1468" s="459"/>
      <c r="X1468" s="459"/>
      <c r="Y1468" s="666"/>
      <c r="Z1468" s="664"/>
      <c r="AA1468" s="665"/>
      <c r="AB1468" s="665"/>
      <c r="AC1468" s="665"/>
      <c r="AD1468" s="665"/>
      <c r="AE1468" s="665"/>
      <c r="AF1468" s="649"/>
      <c r="AG1468" s="650"/>
      <c r="AH1468" s="650"/>
      <c r="AI1468" s="667"/>
    </row>
    <row r="1469" spans="12:35" ht="45" customHeight="1" thickBot="1" x14ac:dyDescent="0.25">
      <c r="L1469" s="645"/>
      <c r="M1469" s="616"/>
      <c r="N1469" s="616"/>
      <c r="O1469" s="616"/>
      <c r="P1469" s="615"/>
      <c r="Q1469" s="616"/>
      <c r="R1469" s="663"/>
      <c r="S1469" s="459"/>
      <c r="T1469" s="459"/>
      <c r="U1469" s="459"/>
      <c r="V1469" s="459"/>
      <c r="W1469" s="459"/>
      <c r="X1469" s="459"/>
      <c r="Y1469" s="666"/>
      <c r="Z1469" s="664"/>
      <c r="AA1469" s="665"/>
      <c r="AB1469" s="665"/>
      <c r="AC1469" s="665"/>
      <c r="AD1469" s="665"/>
      <c r="AE1469" s="665"/>
      <c r="AF1469" s="649"/>
      <c r="AG1469" s="650"/>
      <c r="AH1469" s="650"/>
      <c r="AI1469" s="667"/>
    </row>
    <row r="1470" spans="12:35" ht="45" customHeight="1" thickBot="1" x14ac:dyDescent="0.25">
      <c r="L1470" s="645"/>
      <c r="M1470" s="616"/>
      <c r="N1470" s="616"/>
      <c r="O1470" s="616"/>
      <c r="P1470" s="615"/>
      <c r="Q1470" s="616"/>
      <c r="R1470" s="663"/>
      <c r="S1470" s="459"/>
      <c r="T1470" s="459"/>
      <c r="U1470" s="459"/>
      <c r="V1470" s="459"/>
      <c r="W1470" s="459"/>
      <c r="X1470" s="459"/>
      <c r="Y1470" s="666"/>
      <c r="Z1470" s="664"/>
      <c r="AA1470" s="665"/>
      <c r="AB1470" s="665"/>
      <c r="AC1470" s="665"/>
      <c r="AD1470" s="665"/>
      <c r="AE1470" s="665"/>
      <c r="AF1470" s="649"/>
      <c r="AG1470" s="650"/>
      <c r="AH1470" s="650"/>
      <c r="AI1470" s="667"/>
    </row>
    <row r="1471" spans="12:35" ht="45" customHeight="1" thickBot="1" x14ac:dyDescent="0.25">
      <c r="L1471" s="645"/>
      <c r="M1471" s="616"/>
      <c r="N1471" s="616"/>
      <c r="O1471" s="616"/>
      <c r="P1471" s="615"/>
      <c r="Q1471" s="616"/>
      <c r="R1471" s="663"/>
      <c r="S1471" s="459"/>
      <c r="T1471" s="459"/>
      <c r="U1471" s="459"/>
      <c r="V1471" s="459"/>
      <c r="W1471" s="459"/>
      <c r="X1471" s="459"/>
      <c r="Y1471" s="666"/>
      <c r="Z1471" s="664"/>
      <c r="AA1471" s="665"/>
      <c r="AB1471" s="665"/>
      <c r="AC1471" s="665"/>
      <c r="AD1471" s="665"/>
      <c r="AE1471" s="665"/>
      <c r="AF1471" s="649"/>
      <c r="AG1471" s="650"/>
      <c r="AH1471" s="650"/>
      <c r="AI1471" s="667"/>
    </row>
    <row r="1472" spans="12:35" ht="45" customHeight="1" thickBot="1" x14ac:dyDescent="0.25">
      <c r="L1472" s="645"/>
      <c r="M1472" s="616"/>
      <c r="N1472" s="616"/>
      <c r="O1472" s="616"/>
      <c r="P1472" s="615"/>
      <c r="Q1472" s="616"/>
      <c r="R1472" s="663"/>
      <c r="S1472" s="459"/>
      <c r="T1472" s="459"/>
      <c r="U1472" s="459"/>
      <c r="V1472" s="459"/>
      <c r="W1472" s="459"/>
      <c r="X1472" s="459"/>
      <c r="Y1472" s="666"/>
      <c r="Z1472" s="664"/>
      <c r="AA1472" s="665"/>
      <c r="AB1472" s="665"/>
      <c r="AC1472" s="665"/>
      <c r="AD1472" s="665"/>
      <c r="AE1472" s="665"/>
      <c r="AF1472" s="649"/>
      <c r="AG1472" s="650"/>
      <c r="AH1472" s="650"/>
      <c r="AI1472" s="667"/>
    </row>
    <row r="1473" spans="12:35" ht="45" customHeight="1" thickBot="1" x14ac:dyDescent="0.25">
      <c r="L1473" s="645"/>
      <c r="M1473" s="616"/>
      <c r="N1473" s="616"/>
      <c r="O1473" s="616"/>
      <c r="P1473" s="615"/>
      <c r="Q1473" s="616"/>
      <c r="R1473" s="663"/>
      <c r="S1473" s="459"/>
      <c r="T1473" s="459"/>
      <c r="U1473" s="459"/>
      <c r="V1473" s="459"/>
      <c r="W1473" s="459"/>
      <c r="X1473" s="459"/>
      <c r="Y1473" s="666"/>
      <c r="Z1473" s="664"/>
      <c r="AA1473" s="665"/>
      <c r="AB1473" s="665"/>
      <c r="AC1473" s="665"/>
      <c r="AD1473" s="665"/>
      <c r="AE1473" s="665"/>
      <c r="AF1473" s="649"/>
      <c r="AG1473" s="650"/>
      <c r="AH1473" s="650"/>
      <c r="AI1473" s="667"/>
    </row>
    <row r="1474" spans="12:35" ht="45" customHeight="1" thickBot="1" x14ac:dyDescent="0.25">
      <c r="L1474" s="645"/>
      <c r="M1474" s="616"/>
      <c r="N1474" s="616"/>
      <c r="O1474" s="616"/>
      <c r="P1474" s="615"/>
      <c r="Q1474" s="616"/>
      <c r="R1474" s="663"/>
      <c r="S1474" s="459"/>
      <c r="T1474" s="459"/>
      <c r="U1474" s="459"/>
      <c r="V1474" s="459"/>
      <c r="W1474" s="459"/>
      <c r="X1474" s="459"/>
      <c r="Y1474" s="666"/>
      <c r="Z1474" s="664"/>
      <c r="AA1474" s="665"/>
      <c r="AB1474" s="665"/>
      <c r="AC1474" s="665"/>
      <c r="AD1474" s="665"/>
      <c r="AE1474" s="665"/>
      <c r="AF1474" s="649"/>
      <c r="AG1474" s="650"/>
      <c r="AH1474" s="650"/>
      <c r="AI1474" s="667"/>
    </row>
    <row r="1475" spans="12:35" ht="45" customHeight="1" thickBot="1" x14ac:dyDescent="0.25">
      <c r="L1475" s="645"/>
      <c r="M1475" s="616"/>
      <c r="N1475" s="616"/>
      <c r="O1475" s="616"/>
      <c r="P1475" s="615"/>
      <c r="Q1475" s="616"/>
      <c r="R1475" s="663"/>
      <c r="S1475" s="459"/>
      <c r="T1475" s="459"/>
      <c r="U1475" s="459"/>
      <c r="V1475" s="459"/>
      <c r="W1475" s="459"/>
      <c r="X1475" s="459"/>
      <c r="Y1475" s="666"/>
      <c r="Z1475" s="664"/>
      <c r="AA1475" s="665"/>
      <c r="AB1475" s="665"/>
      <c r="AC1475" s="665"/>
      <c r="AD1475" s="665"/>
      <c r="AE1475" s="665"/>
      <c r="AF1475" s="649"/>
      <c r="AG1475" s="650"/>
      <c r="AH1475" s="650"/>
      <c r="AI1475" s="667"/>
    </row>
    <row r="1476" spans="12:35" ht="45" customHeight="1" thickBot="1" x14ac:dyDescent="0.25">
      <c r="L1476" s="645"/>
      <c r="M1476" s="616"/>
      <c r="N1476" s="616"/>
      <c r="O1476" s="616"/>
      <c r="P1476" s="615"/>
      <c r="Q1476" s="616"/>
      <c r="R1476" s="663"/>
      <c r="S1476" s="459"/>
      <c r="T1476" s="459"/>
      <c r="U1476" s="459"/>
      <c r="V1476" s="459"/>
      <c r="W1476" s="459"/>
      <c r="X1476" s="459"/>
      <c r="Y1476" s="666"/>
      <c r="Z1476" s="664"/>
      <c r="AA1476" s="665"/>
      <c r="AB1476" s="665"/>
      <c r="AC1476" s="665"/>
      <c r="AD1476" s="665"/>
      <c r="AE1476" s="665"/>
      <c r="AF1476" s="649"/>
      <c r="AG1476" s="650"/>
      <c r="AH1476" s="650"/>
      <c r="AI1476" s="667"/>
    </row>
    <row r="1477" spans="12:35" ht="45" customHeight="1" thickBot="1" x14ac:dyDescent="0.25">
      <c r="L1477" s="645"/>
      <c r="M1477" s="616"/>
      <c r="N1477" s="616"/>
      <c r="O1477" s="616"/>
      <c r="P1477" s="615"/>
      <c r="Q1477" s="616"/>
      <c r="R1477" s="663"/>
      <c r="S1477" s="459"/>
      <c r="T1477" s="459"/>
      <c r="U1477" s="459"/>
      <c r="V1477" s="459"/>
      <c r="W1477" s="459"/>
      <c r="X1477" s="459"/>
      <c r="Y1477" s="666"/>
      <c r="Z1477" s="664"/>
      <c r="AA1477" s="665"/>
      <c r="AB1477" s="665"/>
      <c r="AC1477" s="665"/>
      <c r="AD1477" s="665"/>
      <c r="AE1477" s="665"/>
      <c r="AF1477" s="649"/>
      <c r="AG1477" s="650"/>
      <c r="AH1477" s="650"/>
      <c r="AI1477" s="667"/>
    </row>
    <row r="1478" spans="12:35" ht="45" customHeight="1" thickBot="1" x14ac:dyDescent="0.25">
      <c r="L1478" s="645"/>
      <c r="M1478" s="616"/>
      <c r="N1478" s="616"/>
      <c r="O1478" s="616"/>
      <c r="P1478" s="615"/>
      <c r="Q1478" s="616"/>
      <c r="R1478" s="663"/>
      <c r="S1478" s="459"/>
      <c r="T1478" s="459"/>
      <c r="U1478" s="459"/>
      <c r="V1478" s="459"/>
      <c r="W1478" s="459"/>
      <c r="X1478" s="459"/>
      <c r="Y1478" s="666"/>
      <c r="Z1478" s="664"/>
      <c r="AA1478" s="665"/>
      <c r="AB1478" s="665"/>
      <c r="AC1478" s="665"/>
      <c r="AD1478" s="665"/>
      <c r="AE1478" s="665"/>
      <c r="AF1478" s="649"/>
      <c r="AG1478" s="650"/>
      <c r="AH1478" s="650"/>
      <c r="AI1478" s="667"/>
    </row>
    <row r="1479" spans="12:35" ht="45" customHeight="1" thickBot="1" x14ac:dyDescent="0.25">
      <c r="L1479" s="645"/>
      <c r="M1479" s="616"/>
      <c r="N1479" s="616"/>
      <c r="O1479" s="616"/>
      <c r="P1479" s="615"/>
      <c r="Q1479" s="616"/>
      <c r="R1479" s="663"/>
      <c r="S1479" s="459"/>
      <c r="T1479" s="459"/>
      <c r="U1479" s="459"/>
      <c r="V1479" s="459"/>
      <c r="W1479" s="459"/>
      <c r="X1479" s="459"/>
      <c r="Y1479" s="666"/>
      <c r="Z1479" s="664"/>
      <c r="AA1479" s="665"/>
      <c r="AB1479" s="665"/>
      <c r="AC1479" s="665"/>
      <c r="AD1479" s="665"/>
      <c r="AE1479" s="665"/>
      <c r="AF1479" s="649"/>
      <c r="AG1479" s="650"/>
      <c r="AH1479" s="650"/>
      <c r="AI1479" s="667"/>
    </row>
    <row r="1480" spans="12:35" ht="45" customHeight="1" thickBot="1" x14ac:dyDescent="0.25">
      <c r="L1480" s="645"/>
      <c r="M1480" s="616"/>
      <c r="N1480" s="616"/>
      <c r="O1480" s="616"/>
      <c r="P1480" s="615"/>
      <c r="Q1480" s="616"/>
      <c r="R1480" s="663"/>
      <c r="S1480" s="459"/>
      <c r="T1480" s="459"/>
      <c r="U1480" s="459"/>
      <c r="V1480" s="459"/>
      <c r="W1480" s="459"/>
      <c r="X1480" s="459"/>
      <c r="Y1480" s="666"/>
      <c r="Z1480" s="664"/>
      <c r="AA1480" s="665"/>
      <c r="AB1480" s="665"/>
      <c r="AC1480" s="665"/>
      <c r="AD1480" s="665"/>
      <c r="AE1480" s="665"/>
      <c r="AF1480" s="649"/>
      <c r="AG1480" s="650"/>
      <c r="AH1480" s="650"/>
      <c r="AI1480" s="667"/>
    </row>
    <row r="1481" spans="12:35" ht="45" customHeight="1" thickBot="1" x14ac:dyDescent="0.25">
      <c r="L1481" s="645"/>
      <c r="M1481" s="616"/>
      <c r="N1481" s="616"/>
      <c r="O1481" s="616"/>
      <c r="P1481" s="615"/>
      <c r="Q1481" s="616"/>
      <c r="R1481" s="663"/>
      <c r="S1481" s="459"/>
      <c r="T1481" s="459"/>
      <c r="U1481" s="459"/>
      <c r="V1481" s="459"/>
      <c r="W1481" s="459"/>
      <c r="X1481" s="459"/>
      <c r="Y1481" s="666"/>
      <c r="Z1481" s="664"/>
      <c r="AA1481" s="665"/>
      <c r="AB1481" s="665"/>
      <c r="AC1481" s="665"/>
      <c r="AD1481" s="665"/>
      <c r="AE1481" s="665"/>
      <c r="AF1481" s="649"/>
      <c r="AG1481" s="650"/>
      <c r="AH1481" s="650"/>
      <c r="AI1481" s="667"/>
    </row>
    <row r="1482" spans="12:35" ht="45" customHeight="1" thickBot="1" x14ac:dyDescent="0.25">
      <c r="L1482" s="645"/>
      <c r="M1482" s="616"/>
      <c r="N1482" s="616"/>
      <c r="O1482" s="616"/>
      <c r="P1482" s="615"/>
      <c r="Q1482" s="616"/>
      <c r="R1482" s="663"/>
      <c r="S1482" s="459"/>
      <c r="T1482" s="459"/>
      <c r="U1482" s="459"/>
      <c r="V1482" s="459"/>
      <c r="W1482" s="459"/>
      <c r="X1482" s="459"/>
      <c r="Y1482" s="666"/>
      <c r="Z1482" s="664"/>
      <c r="AA1482" s="665"/>
      <c r="AB1482" s="665"/>
      <c r="AC1482" s="665"/>
      <c r="AD1482" s="665"/>
      <c r="AE1482" s="665"/>
      <c r="AF1482" s="649"/>
      <c r="AG1482" s="650"/>
      <c r="AH1482" s="650"/>
      <c r="AI1482" s="667"/>
    </row>
    <row r="1483" spans="12:35" ht="45" customHeight="1" thickBot="1" x14ac:dyDescent="0.25">
      <c r="L1483" s="645"/>
      <c r="M1483" s="616"/>
      <c r="N1483" s="616"/>
      <c r="O1483" s="616"/>
      <c r="P1483" s="615"/>
      <c r="Q1483" s="616"/>
      <c r="R1483" s="663"/>
      <c r="S1483" s="459"/>
      <c r="T1483" s="459"/>
      <c r="U1483" s="459"/>
      <c r="V1483" s="459"/>
      <c r="W1483" s="459"/>
      <c r="X1483" s="459"/>
      <c r="Y1483" s="666"/>
      <c r="Z1483" s="664"/>
      <c r="AA1483" s="665"/>
      <c r="AB1483" s="665"/>
      <c r="AC1483" s="665"/>
      <c r="AD1483" s="665"/>
      <c r="AE1483" s="665"/>
      <c r="AF1483" s="649"/>
      <c r="AG1483" s="650"/>
      <c r="AH1483" s="650"/>
      <c r="AI1483" s="667"/>
    </row>
    <row r="1484" spans="12:35" ht="45" customHeight="1" thickBot="1" x14ac:dyDescent="0.25">
      <c r="L1484" s="645"/>
      <c r="M1484" s="616"/>
      <c r="N1484" s="616"/>
      <c r="O1484" s="616"/>
      <c r="P1484" s="615"/>
      <c r="Q1484" s="616"/>
      <c r="R1484" s="663"/>
      <c r="S1484" s="459"/>
      <c r="T1484" s="459"/>
      <c r="U1484" s="459"/>
      <c r="V1484" s="459"/>
      <c r="W1484" s="459"/>
      <c r="X1484" s="459"/>
      <c r="Y1484" s="666"/>
      <c r="Z1484" s="664"/>
      <c r="AA1484" s="665"/>
      <c r="AB1484" s="665"/>
      <c r="AC1484" s="665"/>
      <c r="AD1484" s="665"/>
      <c r="AE1484" s="665"/>
      <c r="AF1484" s="649"/>
      <c r="AG1484" s="650"/>
      <c r="AH1484" s="650"/>
      <c r="AI1484" s="667"/>
    </row>
    <row r="1485" spans="12:35" ht="45" customHeight="1" thickBot="1" x14ac:dyDescent="0.25">
      <c r="L1485" s="645"/>
      <c r="M1485" s="616"/>
      <c r="N1485" s="616"/>
      <c r="O1485" s="616"/>
      <c r="P1485" s="615"/>
      <c r="Q1485" s="616"/>
      <c r="R1485" s="663"/>
      <c r="S1485" s="459"/>
      <c r="T1485" s="459"/>
      <c r="U1485" s="459"/>
      <c r="V1485" s="459"/>
      <c r="W1485" s="459"/>
      <c r="X1485" s="459"/>
      <c r="Y1485" s="666"/>
      <c r="Z1485" s="664"/>
      <c r="AA1485" s="665"/>
      <c r="AB1485" s="665"/>
      <c r="AC1485" s="665"/>
      <c r="AD1485" s="665"/>
      <c r="AE1485" s="665"/>
      <c r="AF1485" s="649"/>
      <c r="AG1485" s="650"/>
      <c r="AH1485" s="650"/>
      <c r="AI1485" s="667"/>
    </row>
    <row r="1486" spans="12:35" ht="45" customHeight="1" thickBot="1" x14ac:dyDescent="0.25">
      <c r="L1486" s="645"/>
      <c r="M1486" s="616"/>
      <c r="N1486" s="616"/>
      <c r="O1486" s="616"/>
      <c r="P1486" s="615"/>
      <c r="Q1486" s="616"/>
      <c r="R1486" s="663"/>
      <c r="S1486" s="459"/>
      <c r="T1486" s="459"/>
      <c r="U1486" s="459"/>
      <c r="V1486" s="459"/>
      <c r="W1486" s="459"/>
      <c r="X1486" s="459"/>
      <c r="Y1486" s="666"/>
      <c r="Z1486" s="664"/>
      <c r="AA1486" s="665"/>
      <c r="AB1486" s="665"/>
      <c r="AC1486" s="665"/>
      <c r="AD1486" s="665"/>
      <c r="AE1486" s="665"/>
      <c r="AF1486" s="649"/>
      <c r="AG1486" s="650"/>
      <c r="AH1486" s="650"/>
      <c r="AI1486" s="667"/>
    </row>
    <row r="1487" spans="12:35" ht="45" customHeight="1" thickBot="1" x14ac:dyDescent="0.25">
      <c r="L1487" s="645"/>
      <c r="M1487" s="616"/>
      <c r="N1487" s="616"/>
      <c r="O1487" s="616"/>
      <c r="P1487" s="615"/>
      <c r="Q1487" s="616"/>
      <c r="R1487" s="663"/>
      <c r="S1487" s="459"/>
      <c r="T1487" s="459"/>
      <c r="U1487" s="459"/>
      <c r="V1487" s="459"/>
      <c r="W1487" s="459"/>
      <c r="X1487" s="459"/>
      <c r="Y1487" s="666"/>
      <c r="Z1487" s="664"/>
      <c r="AA1487" s="665"/>
      <c r="AB1487" s="665"/>
      <c r="AC1487" s="665"/>
      <c r="AD1487" s="665"/>
      <c r="AE1487" s="665"/>
      <c r="AF1487" s="649"/>
      <c r="AG1487" s="650"/>
      <c r="AH1487" s="650"/>
      <c r="AI1487" s="667"/>
    </row>
    <row r="1488" spans="12:35" ht="45" customHeight="1" thickBot="1" x14ac:dyDescent="0.25">
      <c r="L1488" s="645"/>
      <c r="M1488" s="616"/>
      <c r="N1488" s="616"/>
      <c r="O1488" s="616"/>
      <c r="P1488" s="615"/>
      <c r="Q1488" s="616"/>
      <c r="R1488" s="663"/>
      <c r="S1488" s="459"/>
      <c r="T1488" s="459"/>
      <c r="U1488" s="459"/>
      <c r="V1488" s="459"/>
      <c r="W1488" s="459"/>
      <c r="X1488" s="459"/>
      <c r="Y1488" s="666"/>
      <c r="Z1488" s="664"/>
      <c r="AA1488" s="665"/>
      <c r="AB1488" s="665"/>
      <c r="AC1488" s="665"/>
      <c r="AD1488" s="665"/>
      <c r="AE1488" s="665"/>
      <c r="AF1488" s="649"/>
      <c r="AG1488" s="650"/>
      <c r="AH1488" s="650"/>
      <c r="AI1488" s="667"/>
    </row>
    <row r="1489" spans="12:35" ht="45" customHeight="1" thickBot="1" x14ac:dyDescent="0.25">
      <c r="L1489" s="645"/>
      <c r="M1489" s="616"/>
      <c r="N1489" s="616"/>
      <c r="O1489" s="616"/>
      <c r="P1489" s="615"/>
      <c r="Q1489" s="616"/>
      <c r="R1489" s="663"/>
      <c r="S1489" s="459"/>
      <c r="T1489" s="459"/>
      <c r="U1489" s="459"/>
      <c r="V1489" s="459"/>
      <c r="W1489" s="459"/>
      <c r="X1489" s="459"/>
      <c r="Y1489" s="666"/>
      <c r="Z1489" s="664"/>
      <c r="AA1489" s="665"/>
      <c r="AB1489" s="665"/>
      <c r="AC1489" s="665"/>
      <c r="AD1489" s="665"/>
      <c r="AE1489" s="665"/>
      <c r="AF1489" s="649"/>
      <c r="AG1489" s="650"/>
      <c r="AH1489" s="650"/>
      <c r="AI1489" s="667"/>
    </row>
    <row r="1490" spans="12:35" ht="45" customHeight="1" thickBot="1" x14ac:dyDescent="0.25">
      <c r="L1490" s="645"/>
      <c r="M1490" s="616"/>
      <c r="N1490" s="616"/>
      <c r="O1490" s="616"/>
      <c r="P1490" s="615"/>
      <c r="Q1490" s="616"/>
      <c r="R1490" s="663"/>
      <c r="S1490" s="459"/>
      <c r="T1490" s="459"/>
      <c r="U1490" s="459"/>
      <c r="V1490" s="459"/>
      <c r="W1490" s="459"/>
      <c r="X1490" s="459"/>
      <c r="Y1490" s="666"/>
      <c r="Z1490" s="664"/>
      <c r="AA1490" s="665"/>
      <c r="AB1490" s="665"/>
      <c r="AC1490" s="665"/>
      <c r="AD1490" s="665"/>
      <c r="AE1490" s="665"/>
      <c r="AF1490" s="649"/>
      <c r="AG1490" s="650"/>
      <c r="AH1490" s="650"/>
      <c r="AI1490" s="667"/>
    </row>
    <row r="1491" spans="12:35" ht="45" customHeight="1" thickBot="1" x14ac:dyDescent="0.25">
      <c r="L1491" s="645"/>
      <c r="M1491" s="616"/>
      <c r="N1491" s="616"/>
      <c r="O1491" s="616"/>
      <c r="P1491" s="615"/>
      <c r="Q1491" s="616"/>
      <c r="R1491" s="663"/>
      <c r="S1491" s="459"/>
      <c r="T1491" s="459"/>
      <c r="U1491" s="459"/>
      <c r="V1491" s="459"/>
      <c r="W1491" s="459"/>
      <c r="X1491" s="459"/>
      <c r="Y1491" s="666"/>
      <c r="Z1491" s="664"/>
      <c r="AA1491" s="665"/>
      <c r="AB1491" s="665"/>
      <c r="AC1491" s="665"/>
      <c r="AD1491" s="665"/>
      <c r="AE1491" s="665"/>
      <c r="AF1491" s="649"/>
      <c r="AG1491" s="650"/>
      <c r="AH1491" s="650"/>
      <c r="AI1491" s="667"/>
    </row>
    <row r="1492" spans="12:35" ht="45" customHeight="1" thickBot="1" x14ac:dyDescent="0.25">
      <c r="L1492" s="645"/>
      <c r="M1492" s="616"/>
      <c r="N1492" s="616"/>
      <c r="O1492" s="616"/>
      <c r="P1492" s="615"/>
      <c r="Q1492" s="616"/>
      <c r="R1492" s="663"/>
      <c r="S1492" s="459"/>
      <c r="T1492" s="459"/>
      <c r="U1492" s="459"/>
      <c r="V1492" s="459"/>
      <c r="W1492" s="459"/>
      <c r="X1492" s="459"/>
      <c r="Y1492" s="666"/>
      <c r="Z1492" s="664"/>
      <c r="AA1492" s="665"/>
      <c r="AB1492" s="665"/>
      <c r="AC1492" s="665"/>
      <c r="AD1492" s="665"/>
      <c r="AE1492" s="665"/>
      <c r="AF1492" s="649"/>
      <c r="AG1492" s="650"/>
      <c r="AH1492" s="650"/>
      <c r="AI1492" s="667"/>
    </row>
    <row r="1493" spans="12:35" ht="45" customHeight="1" thickBot="1" x14ac:dyDescent="0.25">
      <c r="L1493" s="645"/>
      <c r="M1493" s="616"/>
      <c r="N1493" s="616"/>
      <c r="O1493" s="616"/>
      <c r="P1493" s="615"/>
      <c r="Q1493" s="616"/>
      <c r="R1493" s="663"/>
      <c r="S1493" s="459"/>
      <c r="T1493" s="459"/>
      <c r="U1493" s="459"/>
      <c r="V1493" s="459"/>
      <c r="W1493" s="459"/>
      <c r="X1493" s="459"/>
      <c r="Y1493" s="666"/>
      <c r="Z1493" s="664"/>
      <c r="AA1493" s="665"/>
      <c r="AB1493" s="665"/>
      <c r="AC1493" s="665"/>
      <c r="AD1493" s="665"/>
      <c r="AE1493" s="665"/>
      <c r="AF1493" s="649"/>
      <c r="AG1493" s="650"/>
      <c r="AH1493" s="650"/>
      <c r="AI1493" s="667"/>
    </row>
    <row r="1494" spans="12:35" ht="45" customHeight="1" thickBot="1" x14ac:dyDescent="0.25">
      <c r="L1494" s="645"/>
      <c r="M1494" s="616"/>
      <c r="N1494" s="616"/>
      <c r="O1494" s="616"/>
      <c r="P1494" s="615"/>
      <c r="Q1494" s="616"/>
      <c r="R1494" s="663"/>
      <c r="S1494" s="459"/>
      <c r="T1494" s="459"/>
      <c r="U1494" s="459"/>
      <c r="V1494" s="459"/>
      <c r="W1494" s="459"/>
      <c r="X1494" s="459"/>
      <c r="Y1494" s="666"/>
      <c r="Z1494" s="664"/>
      <c r="AA1494" s="665"/>
      <c r="AB1494" s="665"/>
      <c r="AC1494" s="665"/>
      <c r="AD1494" s="665"/>
      <c r="AE1494" s="665"/>
      <c r="AF1494" s="649"/>
      <c r="AG1494" s="650"/>
      <c r="AH1494" s="650"/>
      <c r="AI1494" s="667"/>
    </row>
    <row r="1495" spans="12:35" ht="45" customHeight="1" thickBot="1" x14ac:dyDescent="0.25">
      <c r="L1495" s="645"/>
      <c r="M1495" s="616"/>
      <c r="N1495" s="616"/>
      <c r="O1495" s="616"/>
      <c r="P1495" s="615"/>
      <c r="Q1495" s="616"/>
      <c r="R1495" s="663"/>
      <c r="S1495" s="459"/>
      <c r="T1495" s="459"/>
      <c r="U1495" s="459"/>
      <c r="V1495" s="459"/>
      <c r="W1495" s="459"/>
      <c r="X1495" s="459"/>
      <c r="Y1495" s="666"/>
      <c r="Z1495" s="664"/>
      <c r="AA1495" s="665"/>
      <c r="AB1495" s="665"/>
      <c r="AC1495" s="665"/>
      <c r="AD1495" s="665"/>
      <c r="AE1495" s="665"/>
      <c r="AF1495" s="649"/>
      <c r="AG1495" s="650"/>
      <c r="AH1495" s="650"/>
      <c r="AI1495" s="667"/>
    </row>
    <row r="1496" spans="12:35" ht="45" customHeight="1" thickBot="1" x14ac:dyDescent="0.25">
      <c r="L1496" s="645"/>
      <c r="M1496" s="616"/>
      <c r="N1496" s="616"/>
      <c r="O1496" s="616"/>
      <c r="P1496" s="615"/>
      <c r="Q1496" s="616"/>
      <c r="R1496" s="663"/>
      <c r="S1496" s="459"/>
      <c r="T1496" s="459"/>
      <c r="U1496" s="459"/>
      <c r="V1496" s="459"/>
      <c r="W1496" s="459"/>
      <c r="X1496" s="459"/>
      <c r="Y1496" s="666"/>
      <c r="Z1496" s="664"/>
      <c r="AA1496" s="665"/>
      <c r="AB1496" s="665"/>
      <c r="AC1496" s="665"/>
      <c r="AD1496" s="665"/>
      <c r="AE1496" s="665"/>
      <c r="AF1496" s="649"/>
      <c r="AG1496" s="650"/>
      <c r="AH1496" s="650"/>
      <c r="AI1496" s="667"/>
    </row>
    <row r="1497" spans="12:35" ht="45" customHeight="1" thickBot="1" x14ac:dyDescent="0.25">
      <c r="L1497" s="645"/>
      <c r="M1497" s="616"/>
      <c r="N1497" s="616"/>
      <c r="O1497" s="616"/>
      <c r="P1497" s="615"/>
      <c r="Q1497" s="616"/>
      <c r="R1497" s="663"/>
      <c r="S1497" s="459"/>
      <c r="T1497" s="459"/>
      <c r="U1497" s="459"/>
      <c r="V1497" s="459"/>
      <c r="W1497" s="459"/>
      <c r="X1497" s="459"/>
      <c r="Y1497" s="666"/>
      <c r="Z1497" s="664"/>
      <c r="AA1497" s="665"/>
      <c r="AB1497" s="665"/>
      <c r="AC1497" s="665"/>
      <c r="AD1497" s="665"/>
      <c r="AE1497" s="665"/>
      <c r="AF1497" s="649"/>
      <c r="AG1497" s="650"/>
      <c r="AH1497" s="650"/>
      <c r="AI1497" s="667"/>
    </row>
    <row r="1498" spans="12:35" ht="45" customHeight="1" thickBot="1" x14ac:dyDescent="0.25">
      <c r="L1498" s="645"/>
      <c r="M1498" s="616"/>
      <c r="N1498" s="616"/>
      <c r="O1498" s="616"/>
      <c r="P1498" s="615"/>
      <c r="Q1498" s="616"/>
      <c r="R1498" s="663"/>
      <c r="S1498" s="459"/>
      <c r="T1498" s="459"/>
      <c r="U1498" s="459"/>
      <c r="V1498" s="459"/>
      <c r="W1498" s="459"/>
      <c r="X1498" s="459"/>
      <c r="Y1498" s="666"/>
      <c r="Z1498" s="664"/>
      <c r="AA1498" s="665"/>
      <c r="AB1498" s="665"/>
      <c r="AC1498" s="665"/>
      <c r="AD1498" s="665"/>
      <c r="AE1498" s="665"/>
      <c r="AF1498" s="649"/>
      <c r="AG1498" s="650"/>
      <c r="AH1498" s="650"/>
      <c r="AI1498" s="667"/>
    </row>
    <row r="1499" spans="12:35" ht="45" customHeight="1" thickBot="1" x14ac:dyDescent="0.25">
      <c r="L1499" s="645"/>
      <c r="M1499" s="616"/>
      <c r="N1499" s="616"/>
      <c r="O1499" s="616"/>
      <c r="P1499" s="615"/>
      <c r="Q1499" s="616"/>
      <c r="R1499" s="663"/>
      <c r="S1499" s="459"/>
      <c r="T1499" s="459"/>
      <c r="U1499" s="459"/>
      <c r="V1499" s="459"/>
      <c r="W1499" s="459"/>
      <c r="X1499" s="459"/>
      <c r="Y1499" s="666"/>
      <c r="Z1499" s="664"/>
      <c r="AA1499" s="665"/>
      <c r="AB1499" s="665"/>
      <c r="AC1499" s="665"/>
      <c r="AD1499" s="665"/>
      <c r="AE1499" s="665"/>
      <c r="AF1499" s="649"/>
      <c r="AG1499" s="650"/>
      <c r="AH1499" s="650"/>
      <c r="AI1499" s="667"/>
    </row>
    <row r="1500" spans="12:35" ht="45" customHeight="1" thickBot="1" x14ac:dyDescent="0.25">
      <c r="L1500" s="645"/>
      <c r="M1500" s="616"/>
      <c r="N1500" s="616"/>
      <c r="O1500" s="616"/>
      <c r="P1500" s="615"/>
      <c r="Q1500" s="616"/>
      <c r="R1500" s="663"/>
      <c r="S1500" s="459"/>
      <c r="T1500" s="459"/>
      <c r="U1500" s="459"/>
      <c r="V1500" s="459"/>
      <c r="W1500" s="459"/>
      <c r="X1500" s="459"/>
      <c r="Y1500" s="666"/>
      <c r="Z1500" s="664"/>
      <c r="AA1500" s="665"/>
      <c r="AB1500" s="665"/>
      <c r="AC1500" s="665"/>
      <c r="AD1500" s="665"/>
      <c r="AE1500" s="665"/>
      <c r="AF1500" s="649"/>
      <c r="AG1500" s="650"/>
      <c r="AH1500" s="650"/>
      <c r="AI1500" s="667"/>
    </row>
    <row r="1501" spans="12:35" ht="45" customHeight="1" thickBot="1" x14ac:dyDescent="0.25">
      <c r="L1501" s="645"/>
      <c r="M1501" s="616"/>
      <c r="N1501" s="616"/>
      <c r="O1501" s="616"/>
      <c r="P1501" s="615"/>
      <c r="Q1501" s="616"/>
      <c r="R1501" s="663"/>
      <c r="S1501" s="459"/>
      <c r="T1501" s="459"/>
      <c r="U1501" s="459"/>
      <c r="V1501" s="459"/>
      <c r="W1501" s="459"/>
      <c r="X1501" s="459"/>
      <c r="Y1501" s="666"/>
      <c r="Z1501" s="664"/>
      <c r="AA1501" s="665"/>
      <c r="AB1501" s="665"/>
      <c r="AC1501" s="665"/>
      <c r="AD1501" s="665"/>
      <c r="AE1501" s="665"/>
      <c r="AF1501" s="649"/>
      <c r="AG1501" s="650"/>
      <c r="AH1501" s="650"/>
      <c r="AI1501" s="667"/>
    </row>
    <row r="1502" spans="12:35" ht="45" customHeight="1" thickBot="1" x14ac:dyDescent="0.25">
      <c r="L1502" s="645"/>
      <c r="M1502" s="616"/>
      <c r="N1502" s="616"/>
      <c r="O1502" s="616"/>
      <c r="P1502" s="615"/>
      <c r="Q1502" s="616"/>
      <c r="R1502" s="663"/>
      <c r="S1502" s="459"/>
      <c r="T1502" s="459"/>
      <c r="U1502" s="459"/>
      <c r="V1502" s="459"/>
      <c r="W1502" s="459"/>
      <c r="X1502" s="459"/>
      <c r="Y1502" s="666"/>
      <c r="Z1502" s="664"/>
      <c r="AA1502" s="665"/>
      <c r="AB1502" s="665"/>
      <c r="AC1502" s="665"/>
      <c r="AD1502" s="665"/>
      <c r="AE1502" s="665"/>
      <c r="AF1502" s="649"/>
      <c r="AG1502" s="650"/>
      <c r="AH1502" s="650"/>
      <c r="AI1502" s="667"/>
    </row>
    <row r="1503" spans="12:35" ht="45" customHeight="1" thickBot="1" x14ac:dyDescent="0.25">
      <c r="L1503" s="645"/>
      <c r="M1503" s="616"/>
      <c r="N1503" s="616"/>
      <c r="O1503" s="616"/>
      <c r="P1503" s="615"/>
      <c r="Q1503" s="616"/>
      <c r="R1503" s="663"/>
      <c r="S1503" s="459"/>
      <c r="T1503" s="459"/>
      <c r="U1503" s="459"/>
      <c r="V1503" s="459"/>
      <c r="W1503" s="459"/>
      <c r="X1503" s="459"/>
      <c r="Y1503" s="666"/>
      <c r="Z1503" s="664"/>
      <c r="AA1503" s="665"/>
      <c r="AB1503" s="665"/>
      <c r="AC1503" s="665"/>
      <c r="AD1503" s="665"/>
      <c r="AE1503" s="665"/>
      <c r="AF1503" s="649"/>
      <c r="AG1503" s="650"/>
      <c r="AH1503" s="650"/>
      <c r="AI1503" s="667"/>
    </row>
    <row r="1504" spans="12:35" ht="45" customHeight="1" thickBot="1" x14ac:dyDescent="0.25">
      <c r="L1504" s="645"/>
      <c r="M1504" s="616"/>
      <c r="N1504" s="616"/>
      <c r="O1504" s="616"/>
      <c r="P1504" s="615"/>
      <c r="Q1504" s="616"/>
      <c r="R1504" s="663"/>
      <c r="S1504" s="459"/>
      <c r="T1504" s="459"/>
      <c r="U1504" s="459"/>
      <c r="V1504" s="459"/>
      <c r="W1504" s="459"/>
      <c r="X1504" s="459"/>
      <c r="Y1504" s="666"/>
      <c r="Z1504" s="664"/>
      <c r="AA1504" s="665"/>
      <c r="AB1504" s="665"/>
      <c r="AC1504" s="665"/>
      <c r="AD1504" s="665"/>
      <c r="AE1504" s="665"/>
      <c r="AF1504" s="649"/>
      <c r="AG1504" s="650"/>
      <c r="AH1504" s="650"/>
      <c r="AI1504" s="667"/>
    </row>
    <row r="1505" spans="12:35" ht="45" customHeight="1" thickBot="1" x14ac:dyDescent="0.25">
      <c r="L1505" s="645"/>
      <c r="M1505" s="616"/>
      <c r="N1505" s="616"/>
      <c r="O1505" s="616"/>
      <c r="P1505" s="615"/>
      <c r="Q1505" s="616"/>
      <c r="R1505" s="663"/>
      <c r="S1505" s="459"/>
      <c r="T1505" s="459"/>
      <c r="U1505" s="459"/>
      <c r="V1505" s="459"/>
      <c r="W1505" s="459"/>
      <c r="X1505" s="459"/>
      <c r="Y1505" s="666"/>
      <c r="Z1505" s="664"/>
      <c r="AA1505" s="665"/>
      <c r="AB1505" s="665"/>
      <c r="AC1505" s="665"/>
      <c r="AD1505" s="665"/>
      <c r="AE1505" s="665"/>
      <c r="AF1505" s="649"/>
      <c r="AG1505" s="650"/>
      <c r="AH1505" s="650"/>
      <c r="AI1505" s="667"/>
    </row>
    <row r="1506" spans="12:35" ht="45" customHeight="1" thickBot="1" x14ac:dyDescent="0.25">
      <c r="L1506" s="645"/>
      <c r="M1506" s="616"/>
      <c r="N1506" s="616"/>
      <c r="O1506" s="616"/>
      <c r="P1506" s="615"/>
      <c r="Q1506" s="616"/>
      <c r="R1506" s="663"/>
      <c r="S1506" s="459"/>
      <c r="T1506" s="459"/>
      <c r="U1506" s="459"/>
      <c r="V1506" s="459"/>
      <c r="W1506" s="459"/>
      <c r="X1506" s="459"/>
      <c r="Y1506" s="666"/>
      <c r="Z1506" s="664"/>
      <c r="AA1506" s="665"/>
      <c r="AB1506" s="665"/>
      <c r="AC1506" s="665"/>
      <c r="AD1506" s="665"/>
      <c r="AE1506" s="665"/>
      <c r="AF1506" s="649"/>
      <c r="AG1506" s="650"/>
      <c r="AH1506" s="650"/>
      <c r="AI1506" s="667"/>
    </row>
    <row r="1507" spans="12:35" ht="45" customHeight="1" thickBot="1" x14ac:dyDescent="0.25">
      <c r="L1507" s="645"/>
      <c r="M1507" s="616"/>
      <c r="N1507" s="616"/>
      <c r="O1507" s="616"/>
      <c r="P1507" s="615"/>
      <c r="Q1507" s="616"/>
      <c r="R1507" s="663"/>
      <c r="S1507" s="459"/>
      <c r="T1507" s="459"/>
      <c r="U1507" s="459"/>
      <c r="V1507" s="459"/>
      <c r="W1507" s="459"/>
      <c r="X1507" s="459"/>
      <c r="Y1507" s="666"/>
      <c r="Z1507" s="664"/>
      <c r="AA1507" s="665"/>
      <c r="AB1507" s="665"/>
      <c r="AC1507" s="665"/>
      <c r="AD1507" s="665"/>
      <c r="AE1507" s="665"/>
      <c r="AF1507" s="649"/>
      <c r="AG1507" s="650"/>
      <c r="AH1507" s="650"/>
      <c r="AI1507" s="667"/>
    </row>
    <row r="1508" spans="12:35" ht="45" customHeight="1" thickBot="1" x14ac:dyDescent="0.25">
      <c r="L1508" s="645"/>
      <c r="M1508" s="616"/>
      <c r="N1508" s="616"/>
      <c r="O1508" s="616"/>
      <c r="P1508" s="615"/>
      <c r="Q1508" s="616"/>
      <c r="R1508" s="663"/>
      <c r="S1508" s="459"/>
      <c r="T1508" s="459"/>
      <c r="U1508" s="459"/>
      <c r="V1508" s="459"/>
      <c r="W1508" s="459"/>
      <c r="X1508" s="459"/>
      <c r="Y1508" s="666"/>
      <c r="Z1508" s="664"/>
      <c r="AA1508" s="665"/>
      <c r="AB1508" s="665"/>
      <c r="AC1508" s="665"/>
      <c r="AD1508" s="665"/>
      <c r="AE1508" s="665"/>
      <c r="AF1508" s="649"/>
      <c r="AG1508" s="650"/>
      <c r="AH1508" s="650"/>
      <c r="AI1508" s="667"/>
    </row>
    <row r="1509" spans="12:35" ht="45" customHeight="1" thickBot="1" x14ac:dyDescent="0.25">
      <c r="L1509" s="645"/>
      <c r="M1509" s="616"/>
      <c r="N1509" s="616"/>
      <c r="O1509" s="616"/>
      <c r="P1509" s="615"/>
      <c r="Q1509" s="616"/>
      <c r="R1509" s="663"/>
      <c r="S1509" s="459"/>
      <c r="T1509" s="459"/>
      <c r="U1509" s="459"/>
      <c r="V1509" s="459"/>
      <c r="W1509" s="459"/>
      <c r="X1509" s="459"/>
      <c r="Y1509" s="666"/>
      <c r="Z1509" s="664"/>
      <c r="AA1509" s="665"/>
      <c r="AB1509" s="665"/>
      <c r="AC1509" s="665"/>
      <c r="AD1509" s="665"/>
      <c r="AE1509" s="665"/>
      <c r="AF1509" s="649"/>
      <c r="AG1509" s="650"/>
      <c r="AH1509" s="650"/>
      <c r="AI1509" s="667"/>
    </row>
    <row r="1510" spans="12:35" ht="45" customHeight="1" thickBot="1" x14ac:dyDescent="0.25">
      <c r="L1510" s="645"/>
      <c r="M1510" s="616"/>
      <c r="N1510" s="616"/>
      <c r="O1510" s="616"/>
      <c r="P1510" s="615"/>
      <c r="Q1510" s="616"/>
      <c r="R1510" s="663"/>
      <c r="S1510" s="459"/>
      <c r="T1510" s="459"/>
      <c r="U1510" s="459"/>
      <c r="V1510" s="459"/>
      <c r="W1510" s="459"/>
      <c r="X1510" s="459"/>
      <c r="Y1510" s="666"/>
      <c r="Z1510" s="664"/>
      <c r="AA1510" s="665"/>
      <c r="AB1510" s="665"/>
      <c r="AC1510" s="665"/>
      <c r="AD1510" s="665"/>
      <c r="AE1510" s="665"/>
      <c r="AF1510" s="649"/>
      <c r="AG1510" s="650"/>
      <c r="AH1510" s="650"/>
      <c r="AI1510" s="667"/>
    </row>
    <row r="1511" spans="12:35" ht="45" customHeight="1" thickBot="1" x14ac:dyDescent="0.25">
      <c r="L1511" s="645"/>
      <c r="M1511" s="616"/>
      <c r="N1511" s="616"/>
      <c r="O1511" s="616"/>
      <c r="P1511" s="615"/>
      <c r="Q1511" s="616"/>
      <c r="R1511" s="663"/>
      <c r="S1511" s="459"/>
      <c r="T1511" s="459"/>
      <c r="U1511" s="459"/>
      <c r="V1511" s="459"/>
      <c r="W1511" s="459"/>
      <c r="X1511" s="459"/>
      <c r="Y1511" s="666"/>
      <c r="Z1511" s="664"/>
      <c r="AA1511" s="665"/>
      <c r="AB1511" s="665"/>
      <c r="AC1511" s="665"/>
      <c r="AD1511" s="665"/>
      <c r="AE1511" s="665"/>
      <c r="AF1511" s="649"/>
      <c r="AG1511" s="650"/>
      <c r="AH1511" s="650"/>
      <c r="AI1511" s="667"/>
    </row>
    <row r="1512" spans="12:35" ht="45" customHeight="1" thickBot="1" x14ac:dyDescent="0.25">
      <c r="L1512" s="645"/>
      <c r="M1512" s="616"/>
      <c r="N1512" s="616"/>
      <c r="O1512" s="616"/>
      <c r="P1512" s="615"/>
      <c r="Q1512" s="616"/>
      <c r="R1512" s="663"/>
      <c r="S1512" s="459"/>
      <c r="T1512" s="459"/>
      <c r="U1512" s="459"/>
      <c r="V1512" s="459"/>
      <c r="W1512" s="459"/>
      <c r="X1512" s="459"/>
      <c r="Y1512" s="666"/>
      <c r="Z1512" s="664"/>
      <c r="AA1512" s="665"/>
      <c r="AB1512" s="665"/>
      <c r="AC1512" s="665"/>
      <c r="AD1512" s="665"/>
      <c r="AE1512" s="665"/>
      <c r="AF1512" s="649"/>
      <c r="AG1512" s="650"/>
      <c r="AH1512" s="650"/>
      <c r="AI1512" s="667"/>
    </row>
    <row r="1513" spans="12:35" ht="45" customHeight="1" thickBot="1" x14ac:dyDescent="0.25">
      <c r="L1513" s="645"/>
      <c r="M1513" s="616"/>
      <c r="N1513" s="616"/>
      <c r="O1513" s="616"/>
      <c r="P1513" s="615"/>
      <c r="Q1513" s="616"/>
      <c r="R1513" s="663"/>
      <c r="S1513" s="459"/>
      <c r="T1513" s="459"/>
      <c r="U1513" s="459"/>
      <c r="V1513" s="459"/>
      <c r="W1513" s="459"/>
      <c r="X1513" s="459"/>
      <c r="Y1513" s="666"/>
      <c r="Z1513" s="664"/>
      <c r="AA1513" s="665"/>
      <c r="AB1513" s="665"/>
      <c r="AC1513" s="665"/>
      <c r="AD1513" s="665"/>
      <c r="AE1513" s="665"/>
      <c r="AF1513" s="649"/>
      <c r="AG1513" s="650"/>
      <c r="AH1513" s="650"/>
      <c r="AI1513" s="667"/>
    </row>
    <row r="1514" spans="12:35" ht="45" customHeight="1" thickBot="1" x14ac:dyDescent="0.25">
      <c r="L1514" s="645"/>
      <c r="M1514" s="616"/>
      <c r="N1514" s="616"/>
      <c r="O1514" s="616"/>
      <c r="P1514" s="615"/>
      <c r="Q1514" s="616"/>
      <c r="R1514" s="663"/>
      <c r="S1514" s="459"/>
      <c r="T1514" s="459"/>
      <c r="U1514" s="459"/>
      <c r="V1514" s="459"/>
      <c r="W1514" s="459"/>
      <c r="X1514" s="459"/>
      <c r="Y1514" s="666"/>
      <c r="Z1514" s="664"/>
      <c r="AA1514" s="665"/>
      <c r="AB1514" s="665"/>
      <c r="AC1514" s="665"/>
      <c r="AD1514" s="665"/>
      <c r="AE1514" s="665"/>
      <c r="AF1514" s="649"/>
      <c r="AG1514" s="650"/>
      <c r="AH1514" s="650"/>
      <c r="AI1514" s="667"/>
    </row>
    <row r="1515" spans="12:35" ht="45" customHeight="1" thickBot="1" x14ac:dyDescent="0.25">
      <c r="L1515" s="645"/>
      <c r="M1515" s="616"/>
      <c r="N1515" s="616"/>
      <c r="O1515" s="616"/>
      <c r="P1515" s="615"/>
      <c r="Q1515" s="616"/>
      <c r="R1515" s="663"/>
      <c r="S1515" s="459"/>
      <c r="T1515" s="459"/>
      <c r="U1515" s="459"/>
      <c r="V1515" s="459"/>
      <c r="W1515" s="459"/>
      <c r="X1515" s="459"/>
      <c r="Y1515" s="666"/>
      <c r="Z1515" s="664"/>
      <c r="AA1515" s="665"/>
      <c r="AB1515" s="665"/>
      <c r="AC1515" s="665"/>
      <c r="AD1515" s="665"/>
      <c r="AE1515" s="665"/>
      <c r="AF1515" s="649"/>
      <c r="AG1515" s="650"/>
      <c r="AH1515" s="650"/>
      <c r="AI1515" s="667"/>
    </row>
    <row r="1516" spans="12:35" ht="45" customHeight="1" thickBot="1" x14ac:dyDescent="0.25">
      <c r="L1516" s="645"/>
      <c r="M1516" s="616"/>
      <c r="N1516" s="616"/>
      <c r="O1516" s="616"/>
      <c r="P1516" s="615"/>
      <c r="Q1516" s="616"/>
      <c r="R1516" s="663"/>
      <c r="S1516" s="459"/>
      <c r="T1516" s="459"/>
      <c r="U1516" s="459"/>
      <c r="V1516" s="459"/>
      <c r="W1516" s="459"/>
      <c r="X1516" s="459"/>
      <c r="Y1516" s="666"/>
      <c r="Z1516" s="664"/>
      <c r="AA1516" s="665"/>
      <c r="AB1516" s="665"/>
      <c r="AC1516" s="665"/>
      <c r="AD1516" s="665"/>
      <c r="AE1516" s="665"/>
      <c r="AF1516" s="649"/>
      <c r="AG1516" s="650"/>
      <c r="AH1516" s="650"/>
      <c r="AI1516" s="667"/>
    </row>
    <row r="1517" spans="12:35" ht="45" customHeight="1" thickBot="1" x14ac:dyDescent="0.25">
      <c r="L1517" s="645"/>
      <c r="M1517" s="616"/>
      <c r="N1517" s="616"/>
      <c r="O1517" s="616"/>
      <c r="P1517" s="615"/>
      <c r="Q1517" s="616"/>
      <c r="R1517" s="663"/>
      <c r="S1517" s="459"/>
      <c r="T1517" s="459"/>
      <c r="U1517" s="459"/>
      <c r="V1517" s="459"/>
      <c r="W1517" s="459"/>
      <c r="X1517" s="459"/>
      <c r="Y1517" s="666"/>
      <c r="Z1517" s="664"/>
      <c r="AA1517" s="665"/>
      <c r="AB1517" s="665"/>
      <c r="AC1517" s="665"/>
      <c r="AD1517" s="665"/>
      <c r="AE1517" s="665"/>
      <c r="AF1517" s="649"/>
      <c r="AG1517" s="650"/>
      <c r="AH1517" s="650"/>
      <c r="AI1517" s="667"/>
    </row>
    <row r="1518" spans="12:35" ht="45" customHeight="1" thickBot="1" x14ac:dyDescent="0.25">
      <c r="L1518" s="645"/>
      <c r="M1518" s="616"/>
      <c r="N1518" s="616"/>
      <c r="O1518" s="616"/>
      <c r="P1518" s="615"/>
      <c r="Q1518" s="616"/>
      <c r="R1518" s="663"/>
      <c r="S1518" s="459"/>
      <c r="T1518" s="459"/>
      <c r="U1518" s="459"/>
      <c r="V1518" s="459"/>
      <c r="W1518" s="459"/>
      <c r="X1518" s="459"/>
      <c r="Y1518" s="666"/>
      <c r="Z1518" s="664"/>
      <c r="AA1518" s="665"/>
      <c r="AB1518" s="665"/>
      <c r="AC1518" s="665"/>
      <c r="AD1518" s="665"/>
      <c r="AE1518" s="665"/>
      <c r="AF1518" s="649"/>
      <c r="AG1518" s="650"/>
      <c r="AH1518" s="650"/>
      <c r="AI1518" s="667"/>
    </row>
    <row r="1519" spans="12:35" ht="45" customHeight="1" thickBot="1" x14ac:dyDescent="0.25">
      <c r="L1519" s="645"/>
      <c r="M1519" s="616"/>
      <c r="N1519" s="616"/>
      <c r="O1519" s="616"/>
      <c r="P1519" s="615"/>
      <c r="Q1519" s="616"/>
      <c r="R1519" s="663"/>
      <c r="S1519" s="459"/>
      <c r="T1519" s="459"/>
      <c r="U1519" s="459"/>
      <c r="V1519" s="459"/>
      <c r="W1519" s="459"/>
      <c r="X1519" s="459"/>
      <c r="Y1519" s="666"/>
      <c r="Z1519" s="664"/>
      <c r="AA1519" s="665"/>
      <c r="AB1519" s="665"/>
      <c r="AC1519" s="665"/>
      <c r="AD1519" s="665"/>
      <c r="AE1519" s="665"/>
      <c r="AF1519" s="649"/>
      <c r="AG1519" s="650"/>
      <c r="AH1519" s="650"/>
      <c r="AI1519" s="667"/>
    </row>
    <row r="1520" spans="12:35" ht="45" customHeight="1" thickBot="1" x14ac:dyDescent="0.25">
      <c r="L1520" s="645"/>
      <c r="M1520" s="616"/>
      <c r="N1520" s="616"/>
      <c r="O1520" s="616"/>
      <c r="P1520" s="615"/>
      <c r="Q1520" s="616"/>
      <c r="R1520" s="663"/>
      <c r="S1520" s="459"/>
      <c r="T1520" s="459"/>
      <c r="U1520" s="459"/>
      <c r="V1520" s="459"/>
      <c r="W1520" s="459"/>
      <c r="X1520" s="459"/>
      <c r="Y1520" s="666"/>
      <c r="Z1520" s="664"/>
      <c r="AA1520" s="665"/>
      <c r="AB1520" s="665"/>
      <c r="AC1520" s="665"/>
      <c r="AD1520" s="665"/>
      <c r="AE1520" s="665"/>
      <c r="AF1520" s="649"/>
      <c r="AG1520" s="650"/>
      <c r="AH1520" s="650"/>
      <c r="AI1520" s="667"/>
    </row>
    <row r="1521" spans="12:35" ht="45" customHeight="1" thickBot="1" x14ac:dyDescent="0.25">
      <c r="L1521" s="645"/>
      <c r="M1521" s="616"/>
      <c r="N1521" s="616"/>
      <c r="O1521" s="616"/>
      <c r="P1521" s="615"/>
      <c r="Q1521" s="616"/>
      <c r="R1521" s="663"/>
      <c r="S1521" s="459"/>
      <c r="T1521" s="459"/>
      <c r="U1521" s="459"/>
      <c r="V1521" s="459"/>
      <c r="W1521" s="459"/>
      <c r="X1521" s="459"/>
      <c r="Y1521" s="666"/>
      <c r="Z1521" s="664"/>
      <c r="AA1521" s="665"/>
      <c r="AB1521" s="665"/>
      <c r="AC1521" s="665"/>
      <c r="AD1521" s="665"/>
      <c r="AE1521" s="665"/>
      <c r="AF1521" s="649"/>
      <c r="AG1521" s="650"/>
      <c r="AH1521" s="650"/>
      <c r="AI1521" s="667"/>
    </row>
    <row r="1522" spans="12:35" ht="45" customHeight="1" thickBot="1" x14ac:dyDescent="0.25">
      <c r="L1522" s="645"/>
      <c r="M1522" s="616"/>
      <c r="N1522" s="616"/>
      <c r="O1522" s="616"/>
      <c r="P1522" s="615"/>
      <c r="Q1522" s="616"/>
      <c r="R1522" s="663"/>
      <c r="S1522" s="459"/>
      <c r="T1522" s="459"/>
      <c r="U1522" s="459"/>
      <c r="V1522" s="459"/>
      <c r="W1522" s="459"/>
      <c r="X1522" s="459"/>
      <c r="Y1522" s="666"/>
      <c r="Z1522" s="664"/>
      <c r="AA1522" s="665"/>
      <c r="AB1522" s="665"/>
      <c r="AC1522" s="665"/>
      <c r="AD1522" s="665"/>
      <c r="AE1522" s="665"/>
      <c r="AF1522" s="649"/>
      <c r="AG1522" s="650"/>
      <c r="AH1522" s="650"/>
      <c r="AI1522" s="667"/>
    </row>
    <row r="1523" spans="12:35" ht="45" customHeight="1" thickBot="1" x14ac:dyDescent="0.25">
      <c r="L1523" s="645"/>
      <c r="M1523" s="616"/>
      <c r="N1523" s="616"/>
      <c r="O1523" s="616"/>
      <c r="P1523" s="615"/>
      <c r="Q1523" s="616"/>
      <c r="R1523" s="663"/>
      <c r="S1523" s="459"/>
      <c r="T1523" s="459"/>
      <c r="U1523" s="459"/>
      <c r="V1523" s="459"/>
      <c r="W1523" s="459"/>
      <c r="X1523" s="459"/>
      <c r="Y1523" s="666"/>
      <c r="Z1523" s="664"/>
      <c r="AA1523" s="665"/>
      <c r="AB1523" s="665"/>
      <c r="AC1523" s="665"/>
      <c r="AD1523" s="665"/>
      <c r="AE1523" s="665"/>
      <c r="AF1523" s="649"/>
      <c r="AG1523" s="650"/>
      <c r="AH1523" s="650"/>
      <c r="AI1523" s="667"/>
    </row>
    <row r="1524" spans="12:35" ht="45" customHeight="1" thickBot="1" x14ac:dyDescent="0.25">
      <c r="L1524" s="645"/>
      <c r="M1524" s="616"/>
      <c r="N1524" s="616"/>
      <c r="O1524" s="616"/>
      <c r="P1524" s="615"/>
      <c r="Q1524" s="616"/>
      <c r="R1524" s="663"/>
      <c r="S1524" s="459"/>
      <c r="T1524" s="459"/>
      <c r="U1524" s="459"/>
      <c r="V1524" s="459"/>
      <c r="W1524" s="459"/>
      <c r="X1524" s="459"/>
      <c r="Y1524" s="666"/>
      <c r="Z1524" s="664"/>
      <c r="AA1524" s="665"/>
      <c r="AB1524" s="665"/>
      <c r="AC1524" s="665"/>
      <c r="AD1524" s="665"/>
      <c r="AE1524" s="665"/>
      <c r="AF1524" s="649"/>
      <c r="AG1524" s="650"/>
      <c r="AH1524" s="650"/>
      <c r="AI1524" s="667"/>
    </row>
    <row r="1525" spans="12:35" ht="45" customHeight="1" thickBot="1" x14ac:dyDescent="0.25">
      <c r="L1525" s="645"/>
      <c r="M1525" s="616"/>
      <c r="N1525" s="616"/>
      <c r="O1525" s="616"/>
      <c r="P1525" s="615"/>
      <c r="Q1525" s="616"/>
      <c r="R1525" s="663"/>
      <c r="S1525" s="459"/>
      <c r="T1525" s="459"/>
      <c r="U1525" s="459"/>
      <c r="V1525" s="459"/>
      <c r="W1525" s="459"/>
      <c r="X1525" s="459"/>
      <c r="Y1525" s="666"/>
      <c r="Z1525" s="664"/>
      <c r="AA1525" s="665"/>
      <c r="AB1525" s="665"/>
      <c r="AC1525" s="665"/>
      <c r="AD1525" s="665"/>
      <c r="AE1525" s="665"/>
      <c r="AF1525" s="649"/>
      <c r="AG1525" s="650"/>
      <c r="AH1525" s="650"/>
      <c r="AI1525" s="667"/>
    </row>
    <row r="1526" spans="12:35" ht="45" customHeight="1" thickBot="1" x14ac:dyDescent="0.25">
      <c r="L1526" s="645"/>
      <c r="M1526" s="616"/>
      <c r="N1526" s="616"/>
      <c r="O1526" s="616"/>
      <c r="P1526" s="615"/>
      <c r="Q1526" s="616"/>
      <c r="R1526" s="663"/>
      <c r="S1526" s="459"/>
      <c r="T1526" s="459"/>
      <c r="U1526" s="459"/>
      <c r="V1526" s="459"/>
      <c r="W1526" s="459"/>
      <c r="X1526" s="459"/>
      <c r="Y1526" s="666"/>
      <c r="Z1526" s="664"/>
      <c r="AA1526" s="665"/>
      <c r="AB1526" s="665"/>
      <c r="AC1526" s="665"/>
      <c r="AD1526" s="665"/>
      <c r="AE1526" s="665"/>
      <c r="AF1526" s="649"/>
      <c r="AG1526" s="650"/>
      <c r="AH1526" s="650"/>
      <c r="AI1526" s="667"/>
    </row>
    <row r="1527" spans="12:35" ht="45" customHeight="1" thickBot="1" x14ac:dyDescent="0.25">
      <c r="L1527" s="645"/>
      <c r="M1527" s="616"/>
      <c r="N1527" s="616"/>
      <c r="O1527" s="616"/>
      <c r="P1527" s="615"/>
      <c r="Q1527" s="616"/>
      <c r="R1527" s="663"/>
      <c r="S1527" s="459"/>
      <c r="T1527" s="459"/>
      <c r="U1527" s="459"/>
      <c r="V1527" s="459"/>
      <c r="W1527" s="459"/>
      <c r="X1527" s="459"/>
      <c r="Y1527" s="666"/>
      <c r="Z1527" s="664"/>
      <c r="AA1527" s="665"/>
      <c r="AB1527" s="665"/>
      <c r="AC1527" s="665"/>
      <c r="AD1527" s="665"/>
      <c r="AE1527" s="665"/>
      <c r="AF1527" s="649"/>
      <c r="AG1527" s="650"/>
      <c r="AH1527" s="650"/>
      <c r="AI1527" s="667"/>
    </row>
    <row r="1528" spans="12:35" ht="45" customHeight="1" thickBot="1" x14ac:dyDescent="0.25">
      <c r="L1528" s="645"/>
      <c r="M1528" s="616"/>
      <c r="N1528" s="616"/>
      <c r="O1528" s="616"/>
      <c r="P1528" s="615"/>
      <c r="Q1528" s="616"/>
      <c r="R1528" s="663"/>
      <c r="S1528" s="459"/>
      <c r="T1528" s="459"/>
      <c r="U1528" s="459"/>
      <c r="V1528" s="459"/>
      <c r="W1528" s="459"/>
      <c r="X1528" s="459"/>
      <c r="Y1528" s="666"/>
      <c r="Z1528" s="664"/>
      <c r="AA1528" s="665"/>
      <c r="AB1528" s="665"/>
      <c r="AC1528" s="665"/>
      <c r="AD1528" s="665"/>
      <c r="AE1528" s="665"/>
      <c r="AF1528" s="649"/>
      <c r="AG1528" s="650"/>
      <c r="AH1528" s="650"/>
      <c r="AI1528" s="667"/>
    </row>
    <row r="1529" spans="12:35" ht="45" customHeight="1" thickBot="1" x14ac:dyDescent="0.25">
      <c r="L1529" s="645"/>
      <c r="M1529" s="616"/>
      <c r="N1529" s="616"/>
      <c r="O1529" s="616"/>
      <c r="P1529" s="615"/>
      <c r="Q1529" s="616"/>
      <c r="R1529" s="663"/>
      <c r="S1529" s="459"/>
      <c r="T1529" s="459"/>
      <c r="U1529" s="459"/>
      <c r="V1529" s="459"/>
      <c r="W1529" s="459"/>
      <c r="X1529" s="459"/>
      <c r="Y1529" s="666"/>
      <c r="Z1529" s="664"/>
      <c r="AA1529" s="665"/>
      <c r="AB1529" s="665"/>
      <c r="AC1529" s="665"/>
      <c r="AD1529" s="665"/>
      <c r="AE1529" s="665"/>
      <c r="AF1529" s="649"/>
      <c r="AG1529" s="650"/>
      <c r="AH1529" s="650"/>
      <c r="AI1529" s="667"/>
    </row>
    <row r="1530" spans="12:35" ht="45" customHeight="1" thickBot="1" x14ac:dyDescent="0.25">
      <c r="L1530" s="645"/>
      <c r="M1530" s="616"/>
      <c r="N1530" s="616"/>
      <c r="O1530" s="616"/>
      <c r="P1530" s="615"/>
      <c r="Q1530" s="616"/>
      <c r="R1530" s="663"/>
      <c r="S1530" s="459"/>
      <c r="T1530" s="459"/>
      <c r="U1530" s="459"/>
      <c r="V1530" s="459"/>
      <c r="W1530" s="459"/>
      <c r="X1530" s="459"/>
      <c r="Y1530" s="666"/>
      <c r="Z1530" s="664"/>
      <c r="AA1530" s="665"/>
      <c r="AB1530" s="665"/>
      <c r="AC1530" s="665"/>
      <c r="AD1530" s="665"/>
      <c r="AE1530" s="665"/>
      <c r="AF1530" s="649"/>
      <c r="AG1530" s="650"/>
      <c r="AH1530" s="650"/>
      <c r="AI1530" s="667"/>
    </row>
    <row r="1531" spans="12:35" ht="45" customHeight="1" thickBot="1" x14ac:dyDescent="0.25">
      <c r="L1531" s="645"/>
      <c r="M1531" s="616"/>
      <c r="N1531" s="616"/>
      <c r="O1531" s="616"/>
      <c r="P1531" s="615"/>
      <c r="Q1531" s="616"/>
      <c r="R1531" s="663"/>
      <c r="S1531" s="459"/>
      <c r="T1531" s="459"/>
      <c r="U1531" s="459"/>
      <c r="V1531" s="459"/>
      <c r="W1531" s="459"/>
      <c r="X1531" s="459"/>
      <c r="Y1531" s="666"/>
      <c r="Z1531" s="664"/>
      <c r="AA1531" s="665"/>
      <c r="AB1531" s="665"/>
      <c r="AC1531" s="665"/>
      <c r="AD1531" s="665"/>
      <c r="AE1531" s="665"/>
      <c r="AF1531" s="649"/>
      <c r="AG1531" s="650"/>
      <c r="AH1531" s="650"/>
      <c r="AI1531" s="667"/>
    </row>
    <row r="1532" spans="12:35" ht="45" customHeight="1" thickBot="1" x14ac:dyDescent="0.25">
      <c r="L1532" s="645"/>
      <c r="M1532" s="616"/>
      <c r="N1532" s="616"/>
      <c r="O1532" s="616"/>
      <c r="P1532" s="615"/>
      <c r="Q1532" s="616"/>
      <c r="R1532" s="663"/>
      <c r="S1532" s="459"/>
      <c r="T1532" s="459"/>
      <c r="U1532" s="459"/>
      <c r="V1532" s="459"/>
      <c r="W1532" s="459"/>
      <c r="X1532" s="459"/>
      <c r="Y1532" s="666"/>
      <c r="Z1532" s="664"/>
      <c r="AA1532" s="665"/>
      <c r="AB1532" s="665"/>
      <c r="AC1532" s="665"/>
      <c r="AD1532" s="665"/>
      <c r="AE1532" s="665"/>
      <c r="AF1532" s="649"/>
      <c r="AG1532" s="650"/>
      <c r="AH1532" s="650"/>
      <c r="AI1532" s="667"/>
    </row>
    <row r="1533" spans="12:35" ht="45" customHeight="1" thickBot="1" x14ac:dyDescent="0.25">
      <c r="L1533" s="645"/>
      <c r="M1533" s="616"/>
      <c r="N1533" s="616"/>
      <c r="O1533" s="616"/>
      <c r="P1533" s="615"/>
      <c r="Q1533" s="616"/>
      <c r="R1533" s="663"/>
      <c r="S1533" s="459"/>
      <c r="T1533" s="459"/>
      <c r="U1533" s="459"/>
      <c r="V1533" s="459"/>
      <c r="W1533" s="459"/>
      <c r="X1533" s="459"/>
      <c r="Y1533" s="666"/>
      <c r="Z1533" s="664"/>
      <c r="AA1533" s="665"/>
      <c r="AB1533" s="665"/>
      <c r="AC1533" s="665"/>
      <c r="AD1533" s="665"/>
      <c r="AE1533" s="665"/>
      <c r="AF1533" s="649"/>
      <c r="AG1533" s="650"/>
      <c r="AH1533" s="650"/>
      <c r="AI1533" s="667"/>
    </row>
    <row r="1534" spans="12:35" ht="45" customHeight="1" thickBot="1" x14ac:dyDescent="0.25">
      <c r="L1534" s="645"/>
      <c r="M1534" s="616"/>
      <c r="N1534" s="616"/>
      <c r="O1534" s="616"/>
      <c r="P1534" s="615"/>
      <c r="Q1534" s="616"/>
      <c r="R1534" s="663"/>
      <c r="S1534" s="459"/>
      <c r="T1534" s="459"/>
      <c r="U1534" s="459"/>
      <c r="V1534" s="459"/>
      <c r="W1534" s="459"/>
      <c r="X1534" s="459"/>
      <c r="Y1534" s="666"/>
      <c r="Z1534" s="664"/>
      <c r="AA1534" s="665"/>
      <c r="AB1534" s="665"/>
      <c r="AC1534" s="665"/>
      <c r="AD1534" s="665"/>
      <c r="AE1534" s="665"/>
      <c r="AF1534" s="649"/>
      <c r="AG1534" s="650"/>
      <c r="AH1534" s="650"/>
      <c r="AI1534" s="667"/>
    </row>
    <row r="1535" spans="12:35" ht="45" customHeight="1" thickBot="1" x14ac:dyDescent="0.25">
      <c r="L1535" s="645"/>
      <c r="M1535" s="616"/>
      <c r="N1535" s="616"/>
      <c r="O1535" s="616"/>
      <c r="P1535" s="615"/>
      <c r="Q1535" s="616"/>
      <c r="R1535" s="663"/>
      <c r="S1535" s="459"/>
      <c r="T1535" s="459"/>
      <c r="U1535" s="459"/>
      <c r="V1535" s="459"/>
      <c r="W1535" s="459"/>
      <c r="X1535" s="459"/>
      <c r="Y1535" s="666"/>
      <c r="Z1535" s="664"/>
      <c r="AA1535" s="665"/>
      <c r="AB1535" s="665"/>
      <c r="AC1535" s="665"/>
      <c r="AD1535" s="665"/>
      <c r="AE1535" s="665"/>
      <c r="AF1535" s="649"/>
      <c r="AG1535" s="650"/>
      <c r="AH1535" s="650"/>
      <c r="AI1535" s="667"/>
    </row>
    <row r="1536" spans="12:35" ht="45" customHeight="1" thickBot="1" x14ac:dyDescent="0.25">
      <c r="L1536" s="645"/>
      <c r="M1536" s="616"/>
      <c r="N1536" s="616"/>
      <c r="O1536" s="616"/>
      <c r="P1536" s="615"/>
      <c r="Q1536" s="616"/>
      <c r="R1536" s="663"/>
      <c r="S1536" s="459"/>
      <c r="T1536" s="459"/>
      <c r="U1536" s="459"/>
      <c r="V1536" s="459"/>
      <c r="W1536" s="459"/>
      <c r="X1536" s="459"/>
      <c r="Y1536" s="666"/>
      <c r="Z1536" s="664"/>
      <c r="AA1536" s="665"/>
      <c r="AB1536" s="665"/>
      <c r="AC1536" s="665"/>
      <c r="AD1536" s="665"/>
      <c r="AE1536" s="665"/>
      <c r="AF1536" s="649"/>
      <c r="AG1536" s="650"/>
      <c r="AH1536" s="650"/>
      <c r="AI1536" s="667"/>
    </row>
    <row r="1537" spans="12:35" ht="45" customHeight="1" thickBot="1" x14ac:dyDescent="0.25">
      <c r="L1537" s="645"/>
      <c r="M1537" s="616"/>
      <c r="N1537" s="616"/>
      <c r="O1537" s="616"/>
      <c r="P1537" s="615"/>
      <c r="Q1537" s="616"/>
      <c r="R1537" s="663"/>
      <c r="S1537" s="459"/>
      <c r="T1537" s="459"/>
      <c r="U1537" s="459"/>
      <c r="V1537" s="459"/>
      <c r="W1537" s="459"/>
      <c r="X1537" s="459"/>
      <c r="Y1537" s="666"/>
      <c r="Z1537" s="664"/>
      <c r="AA1537" s="665"/>
      <c r="AB1537" s="665"/>
      <c r="AC1537" s="665"/>
      <c r="AD1537" s="665"/>
      <c r="AE1537" s="665"/>
      <c r="AF1537" s="649"/>
      <c r="AG1537" s="650"/>
      <c r="AH1537" s="650"/>
      <c r="AI1537" s="667"/>
    </row>
    <row r="1538" spans="12:35" ht="45" customHeight="1" thickBot="1" x14ac:dyDescent="0.25">
      <c r="L1538" s="645"/>
      <c r="M1538" s="616"/>
      <c r="N1538" s="616"/>
      <c r="O1538" s="616"/>
      <c r="P1538" s="615"/>
      <c r="Q1538" s="616"/>
      <c r="R1538" s="663"/>
      <c r="S1538" s="459"/>
      <c r="T1538" s="459"/>
      <c r="U1538" s="459"/>
      <c r="V1538" s="459"/>
      <c r="W1538" s="459"/>
      <c r="X1538" s="459"/>
      <c r="Y1538" s="666"/>
      <c r="Z1538" s="664"/>
      <c r="AA1538" s="665"/>
      <c r="AB1538" s="665"/>
      <c r="AC1538" s="665"/>
      <c r="AD1538" s="665"/>
      <c r="AE1538" s="665"/>
      <c r="AF1538" s="649"/>
      <c r="AG1538" s="650"/>
      <c r="AH1538" s="650"/>
      <c r="AI1538" s="667"/>
    </row>
    <row r="1539" spans="12:35" ht="45" customHeight="1" thickBot="1" x14ac:dyDescent="0.25">
      <c r="L1539" s="645"/>
      <c r="M1539" s="616"/>
      <c r="N1539" s="616"/>
      <c r="O1539" s="616"/>
      <c r="P1539" s="615"/>
      <c r="Q1539" s="616"/>
      <c r="R1539" s="663"/>
      <c r="S1539" s="459"/>
      <c r="T1539" s="459"/>
      <c r="U1539" s="459"/>
      <c r="V1539" s="459"/>
      <c r="W1539" s="459"/>
      <c r="X1539" s="459"/>
      <c r="Y1539" s="666"/>
      <c r="Z1539" s="664"/>
      <c r="AA1539" s="665"/>
      <c r="AB1539" s="665"/>
      <c r="AC1539" s="665"/>
      <c r="AD1539" s="665"/>
      <c r="AE1539" s="665"/>
      <c r="AF1539" s="649"/>
      <c r="AG1539" s="650"/>
      <c r="AH1539" s="650"/>
      <c r="AI1539" s="667"/>
    </row>
    <row r="1540" spans="12:35" ht="45" customHeight="1" thickBot="1" x14ac:dyDescent="0.25">
      <c r="L1540" s="645"/>
      <c r="M1540" s="616"/>
      <c r="N1540" s="616"/>
      <c r="O1540" s="616"/>
      <c r="P1540" s="615"/>
      <c r="Q1540" s="616"/>
      <c r="R1540" s="663"/>
      <c r="S1540" s="459"/>
      <c r="T1540" s="459"/>
      <c r="U1540" s="459"/>
      <c r="V1540" s="459"/>
      <c r="W1540" s="459"/>
      <c r="X1540" s="459"/>
      <c r="Y1540" s="666"/>
      <c r="Z1540" s="664"/>
      <c r="AA1540" s="665"/>
      <c r="AB1540" s="665"/>
      <c r="AC1540" s="665"/>
      <c r="AD1540" s="665"/>
      <c r="AE1540" s="665"/>
      <c r="AF1540" s="649"/>
      <c r="AG1540" s="650"/>
      <c r="AH1540" s="650"/>
      <c r="AI1540" s="667"/>
    </row>
    <row r="1541" spans="12:35" ht="45" customHeight="1" thickBot="1" x14ac:dyDescent="0.25">
      <c r="L1541" s="645"/>
      <c r="M1541" s="616"/>
      <c r="N1541" s="616"/>
      <c r="O1541" s="616"/>
      <c r="P1541" s="615"/>
      <c r="Q1541" s="616"/>
      <c r="R1541" s="663"/>
      <c r="S1541" s="459"/>
      <c r="T1541" s="459"/>
      <c r="U1541" s="459"/>
      <c r="V1541" s="459"/>
      <c r="W1541" s="459"/>
      <c r="X1541" s="459"/>
      <c r="Y1541" s="666"/>
      <c r="Z1541" s="664"/>
      <c r="AA1541" s="665"/>
      <c r="AB1541" s="665"/>
      <c r="AC1541" s="665"/>
      <c r="AD1541" s="665"/>
      <c r="AE1541" s="665"/>
      <c r="AF1541" s="649"/>
      <c r="AG1541" s="650"/>
      <c r="AH1541" s="650"/>
      <c r="AI1541" s="667"/>
    </row>
    <row r="1542" spans="12:35" ht="45" customHeight="1" thickBot="1" x14ac:dyDescent="0.25">
      <c r="L1542" s="645"/>
      <c r="M1542" s="616"/>
      <c r="N1542" s="616"/>
      <c r="O1542" s="616"/>
      <c r="P1542" s="615"/>
      <c r="Q1542" s="616"/>
      <c r="R1542" s="663"/>
      <c r="S1542" s="459"/>
      <c r="T1542" s="459"/>
      <c r="U1542" s="459"/>
      <c r="V1542" s="459"/>
      <c r="W1542" s="459"/>
      <c r="X1542" s="459"/>
      <c r="Y1542" s="666"/>
      <c r="Z1542" s="664"/>
      <c r="AA1542" s="665"/>
      <c r="AB1542" s="665"/>
      <c r="AC1542" s="665"/>
      <c r="AD1542" s="665"/>
      <c r="AE1542" s="665"/>
      <c r="AF1542" s="649"/>
      <c r="AG1542" s="650"/>
      <c r="AH1542" s="650"/>
      <c r="AI1542" s="667"/>
    </row>
    <row r="1543" spans="12:35" ht="45" customHeight="1" thickBot="1" x14ac:dyDescent="0.25">
      <c r="L1543" s="645"/>
      <c r="M1543" s="616"/>
      <c r="N1543" s="616"/>
      <c r="O1543" s="616"/>
      <c r="P1543" s="615"/>
      <c r="Q1543" s="616"/>
      <c r="R1543" s="663"/>
      <c r="S1543" s="459"/>
      <c r="T1543" s="459"/>
      <c r="U1543" s="459"/>
      <c r="V1543" s="459"/>
      <c r="W1543" s="459"/>
      <c r="X1543" s="459"/>
      <c r="Y1543" s="666"/>
      <c r="Z1543" s="664"/>
      <c r="AA1543" s="665"/>
      <c r="AB1543" s="665"/>
      <c r="AC1543" s="665"/>
      <c r="AD1543" s="665"/>
      <c r="AE1543" s="665"/>
      <c r="AF1543" s="649"/>
      <c r="AG1543" s="650"/>
      <c r="AH1543" s="650"/>
      <c r="AI1543" s="667"/>
    </row>
    <row r="1544" spans="12:35" ht="45" customHeight="1" thickBot="1" x14ac:dyDescent="0.25">
      <c r="L1544" s="645"/>
      <c r="M1544" s="616"/>
      <c r="N1544" s="616"/>
      <c r="O1544" s="616"/>
      <c r="P1544" s="615"/>
      <c r="Q1544" s="616"/>
      <c r="R1544" s="663"/>
      <c r="S1544" s="459"/>
      <c r="T1544" s="459"/>
      <c r="U1544" s="459"/>
      <c r="V1544" s="459"/>
      <c r="W1544" s="459"/>
      <c r="X1544" s="459"/>
      <c r="Y1544" s="666"/>
      <c r="Z1544" s="664"/>
      <c r="AA1544" s="665"/>
      <c r="AB1544" s="665"/>
      <c r="AC1544" s="665"/>
      <c r="AD1544" s="665"/>
      <c r="AE1544" s="665"/>
      <c r="AF1544" s="649"/>
      <c r="AG1544" s="650"/>
      <c r="AH1544" s="650"/>
      <c r="AI1544" s="667"/>
    </row>
    <row r="1545" spans="12:35" ht="45" customHeight="1" thickBot="1" x14ac:dyDescent="0.25">
      <c r="L1545" s="645"/>
      <c r="M1545" s="616"/>
      <c r="N1545" s="616"/>
      <c r="O1545" s="616"/>
      <c r="P1545" s="615"/>
      <c r="Q1545" s="616"/>
      <c r="R1545" s="663"/>
      <c r="S1545" s="459"/>
      <c r="T1545" s="459"/>
      <c r="U1545" s="459"/>
      <c r="V1545" s="459"/>
      <c r="W1545" s="459"/>
      <c r="X1545" s="459"/>
      <c r="Y1545" s="666"/>
      <c r="Z1545" s="664"/>
      <c r="AA1545" s="665"/>
      <c r="AB1545" s="665"/>
      <c r="AC1545" s="665"/>
      <c r="AD1545" s="665"/>
      <c r="AE1545" s="665"/>
      <c r="AF1545" s="649"/>
      <c r="AG1545" s="650"/>
      <c r="AH1545" s="650"/>
      <c r="AI1545" s="667"/>
    </row>
    <row r="1546" spans="12:35" ht="45" customHeight="1" thickBot="1" x14ac:dyDescent="0.25">
      <c r="L1546" s="645"/>
      <c r="M1546" s="616"/>
      <c r="N1546" s="616"/>
      <c r="O1546" s="616"/>
      <c r="P1546" s="615"/>
      <c r="Q1546" s="616"/>
      <c r="R1546" s="663"/>
      <c r="S1546" s="459"/>
      <c r="T1546" s="459"/>
      <c r="U1546" s="459"/>
      <c r="V1546" s="459"/>
      <c r="W1546" s="459"/>
      <c r="X1546" s="459"/>
      <c r="Y1546" s="666"/>
      <c r="Z1546" s="664"/>
      <c r="AA1546" s="665"/>
      <c r="AB1546" s="665"/>
      <c r="AC1546" s="665"/>
      <c r="AD1546" s="665"/>
      <c r="AE1546" s="665"/>
      <c r="AF1546" s="649"/>
      <c r="AG1546" s="650"/>
      <c r="AH1546" s="650"/>
      <c r="AI1546" s="667"/>
    </row>
    <row r="1547" spans="12:35" ht="45" customHeight="1" thickBot="1" x14ac:dyDescent="0.25">
      <c r="L1547" s="645"/>
      <c r="M1547" s="616"/>
      <c r="N1547" s="616"/>
      <c r="O1547" s="616"/>
      <c r="P1547" s="615"/>
      <c r="Q1547" s="616"/>
      <c r="R1547" s="663"/>
      <c r="S1547" s="459"/>
      <c r="T1547" s="459"/>
      <c r="U1547" s="459"/>
      <c r="V1547" s="459"/>
      <c r="W1547" s="459"/>
      <c r="X1547" s="459"/>
      <c r="Y1547" s="666"/>
      <c r="Z1547" s="664"/>
      <c r="AA1547" s="665"/>
      <c r="AB1547" s="665"/>
      <c r="AC1547" s="665"/>
      <c r="AD1547" s="665"/>
      <c r="AE1547" s="665"/>
      <c r="AF1547" s="649"/>
      <c r="AG1547" s="650"/>
      <c r="AH1547" s="650"/>
      <c r="AI1547" s="667"/>
    </row>
    <row r="1548" spans="12:35" ht="45" customHeight="1" thickBot="1" x14ac:dyDescent="0.25">
      <c r="L1548" s="645"/>
      <c r="M1548" s="616"/>
      <c r="N1548" s="616"/>
      <c r="O1548" s="616"/>
      <c r="P1548" s="615"/>
      <c r="Q1548" s="616"/>
      <c r="R1548" s="663"/>
      <c r="S1548" s="459"/>
      <c r="T1548" s="459"/>
      <c r="U1548" s="459"/>
      <c r="V1548" s="459"/>
      <c r="W1548" s="459"/>
      <c r="X1548" s="459"/>
      <c r="Y1548" s="666"/>
      <c r="Z1548" s="664"/>
      <c r="AA1548" s="665"/>
      <c r="AB1548" s="665"/>
      <c r="AC1548" s="665"/>
      <c r="AD1548" s="665"/>
      <c r="AE1548" s="665"/>
      <c r="AF1548" s="649"/>
      <c r="AG1548" s="650"/>
      <c r="AH1548" s="650"/>
      <c r="AI1548" s="667"/>
    </row>
    <row r="1549" spans="12:35" ht="45" customHeight="1" thickBot="1" x14ac:dyDescent="0.25">
      <c r="L1549" s="645"/>
      <c r="M1549" s="616"/>
      <c r="N1549" s="616"/>
      <c r="O1549" s="616"/>
      <c r="P1549" s="615"/>
      <c r="Q1549" s="616"/>
      <c r="R1549" s="663"/>
      <c r="S1549" s="459"/>
      <c r="T1549" s="459"/>
      <c r="U1549" s="459"/>
      <c r="V1549" s="459"/>
      <c r="W1549" s="459"/>
      <c r="X1549" s="459"/>
      <c r="Y1549" s="666"/>
      <c r="Z1549" s="664"/>
      <c r="AA1549" s="665"/>
      <c r="AB1549" s="665"/>
      <c r="AC1549" s="665"/>
      <c r="AD1549" s="665"/>
      <c r="AE1549" s="665"/>
      <c r="AF1549" s="649"/>
      <c r="AG1549" s="650"/>
      <c r="AH1549" s="650"/>
      <c r="AI1549" s="667"/>
    </row>
    <row r="1550" spans="12:35" ht="45" customHeight="1" thickBot="1" x14ac:dyDescent="0.25">
      <c r="L1550" s="645"/>
      <c r="M1550" s="616"/>
      <c r="N1550" s="616"/>
      <c r="O1550" s="616"/>
      <c r="P1550" s="615"/>
      <c r="Q1550" s="616"/>
      <c r="R1550" s="663"/>
      <c r="S1550" s="459"/>
      <c r="T1550" s="459"/>
      <c r="U1550" s="459"/>
      <c r="V1550" s="459"/>
      <c r="W1550" s="459"/>
      <c r="X1550" s="459"/>
      <c r="Y1550" s="666"/>
      <c r="Z1550" s="664"/>
      <c r="AA1550" s="665"/>
      <c r="AB1550" s="665"/>
      <c r="AC1550" s="665"/>
      <c r="AD1550" s="665"/>
      <c r="AE1550" s="665"/>
      <c r="AF1550" s="649"/>
      <c r="AG1550" s="650"/>
      <c r="AH1550" s="650"/>
      <c r="AI1550" s="667"/>
    </row>
    <row r="1551" spans="12:35" ht="45" customHeight="1" thickBot="1" x14ac:dyDescent="0.25">
      <c r="L1551" s="645"/>
      <c r="M1551" s="616"/>
      <c r="N1551" s="616"/>
      <c r="O1551" s="616"/>
      <c r="P1551" s="615"/>
      <c r="Q1551" s="616"/>
      <c r="R1551" s="663"/>
      <c r="S1551" s="459"/>
      <c r="T1551" s="459"/>
      <c r="U1551" s="459"/>
      <c r="V1551" s="459"/>
      <c r="W1551" s="459"/>
      <c r="X1551" s="459"/>
      <c r="Y1551" s="666"/>
      <c r="Z1551" s="664"/>
      <c r="AA1551" s="665"/>
      <c r="AB1551" s="665"/>
      <c r="AC1551" s="665"/>
      <c r="AD1551" s="665"/>
      <c r="AE1551" s="665"/>
      <c r="AF1551" s="649"/>
      <c r="AG1551" s="650"/>
      <c r="AH1551" s="650"/>
      <c r="AI1551" s="667"/>
    </row>
    <row r="1552" spans="12:35" ht="45" customHeight="1" thickBot="1" x14ac:dyDescent="0.25">
      <c r="L1552" s="645"/>
      <c r="M1552" s="616"/>
      <c r="N1552" s="616"/>
      <c r="O1552" s="616"/>
      <c r="P1552" s="615"/>
      <c r="Q1552" s="616"/>
      <c r="R1552" s="663"/>
      <c r="S1552" s="459"/>
      <c r="T1552" s="459"/>
      <c r="U1552" s="459"/>
      <c r="V1552" s="459"/>
      <c r="W1552" s="459"/>
      <c r="X1552" s="459"/>
      <c r="Y1552" s="666"/>
      <c r="Z1552" s="664"/>
      <c r="AA1552" s="665"/>
      <c r="AB1552" s="665"/>
      <c r="AC1552" s="665"/>
      <c r="AD1552" s="665"/>
      <c r="AE1552" s="665"/>
      <c r="AF1552" s="649"/>
      <c r="AG1552" s="650"/>
      <c r="AH1552" s="650"/>
      <c r="AI1552" s="667"/>
    </row>
    <row r="1553" spans="12:35" ht="45" customHeight="1" thickBot="1" x14ac:dyDescent="0.25">
      <c r="L1553" s="645"/>
      <c r="M1553" s="616"/>
      <c r="N1553" s="616"/>
      <c r="O1553" s="616"/>
      <c r="P1553" s="615"/>
      <c r="Q1553" s="616"/>
      <c r="R1553" s="663"/>
      <c r="S1553" s="459"/>
      <c r="T1553" s="459"/>
      <c r="U1553" s="459"/>
      <c r="V1553" s="459"/>
      <c r="W1553" s="459"/>
      <c r="X1553" s="459"/>
      <c r="Y1553" s="666"/>
      <c r="Z1553" s="664"/>
      <c r="AA1553" s="665"/>
      <c r="AB1553" s="665"/>
      <c r="AC1553" s="665"/>
      <c r="AD1553" s="665"/>
      <c r="AE1553" s="665"/>
      <c r="AF1553" s="649"/>
      <c r="AG1553" s="650"/>
      <c r="AH1553" s="650"/>
      <c r="AI1553" s="667"/>
    </row>
    <row r="1554" spans="12:35" ht="45" customHeight="1" thickBot="1" x14ac:dyDescent="0.25">
      <c r="L1554" s="645"/>
      <c r="M1554" s="616"/>
      <c r="N1554" s="616"/>
      <c r="O1554" s="616"/>
      <c r="P1554" s="615"/>
      <c r="Q1554" s="616"/>
      <c r="R1554" s="663"/>
      <c r="S1554" s="459"/>
      <c r="T1554" s="459"/>
      <c r="U1554" s="459"/>
      <c r="V1554" s="459"/>
      <c r="W1554" s="459"/>
      <c r="X1554" s="459"/>
      <c r="Y1554" s="666"/>
      <c r="Z1554" s="664"/>
      <c r="AA1554" s="665"/>
      <c r="AB1554" s="665"/>
      <c r="AC1554" s="665"/>
      <c r="AD1554" s="665"/>
      <c r="AE1554" s="665"/>
      <c r="AF1554" s="649"/>
      <c r="AG1554" s="650"/>
      <c r="AH1554" s="650"/>
      <c r="AI1554" s="667"/>
    </row>
    <row r="1555" spans="12:35" ht="45" customHeight="1" thickBot="1" x14ac:dyDescent="0.25">
      <c r="L1555" s="645"/>
      <c r="M1555" s="616"/>
      <c r="N1555" s="616"/>
      <c r="O1555" s="616"/>
      <c r="P1555" s="615"/>
      <c r="Q1555" s="616"/>
      <c r="R1555" s="663"/>
      <c r="S1555" s="459"/>
      <c r="T1555" s="459"/>
      <c r="U1555" s="459"/>
      <c r="V1555" s="459"/>
      <c r="W1555" s="459"/>
      <c r="X1555" s="459"/>
      <c r="Y1555" s="666"/>
      <c r="Z1555" s="664"/>
      <c r="AA1555" s="665"/>
      <c r="AB1555" s="665"/>
      <c r="AC1555" s="665"/>
      <c r="AD1555" s="665"/>
      <c r="AE1555" s="665"/>
      <c r="AF1555" s="649"/>
      <c r="AG1555" s="650"/>
      <c r="AH1555" s="650"/>
      <c r="AI1555" s="667"/>
    </row>
    <row r="1556" spans="12:35" ht="45" customHeight="1" thickBot="1" x14ac:dyDescent="0.25">
      <c r="L1556" s="645"/>
      <c r="M1556" s="616"/>
      <c r="N1556" s="616"/>
      <c r="O1556" s="616"/>
      <c r="P1556" s="615"/>
      <c r="Q1556" s="616"/>
      <c r="R1556" s="663"/>
      <c r="S1556" s="459"/>
      <c r="T1556" s="459"/>
      <c r="U1556" s="459"/>
      <c r="V1556" s="459"/>
      <c r="W1556" s="459"/>
      <c r="X1556" s="459"/>
      <c r="Y1556" s="666"/>
      <c r="Z1556" s="664"/>
      <c r="AA1556" s="665"/>
      <c r="AB1556" s="665"/>
      <c r="AC1556" s="665"/>
      <c r="AD1556" s="665"/>
      <c r="AE1556" s="665"/>
      <c r="AF1556" s="649"/>
      <c r="AG1556" s="650"/>
      <c r="AH1556" s="650"/>
      <c r="AI1556" s="667"/>
    </row>
    <row r="1557" spans="12:35" ht="45" customHeight="1" thickBot="1" x14ac:dyDescent="0.25">
      <c r="L1557" s="645"/>
      <c r="M1557" s="616"/>
      <c r="N1557" s="616"/>
      <c r="O1557" s="616"/>
      <c r="P1557" s="615"/>
      <c r="Q1557" s="616"/>
      <c r="R1557" s="663"/>
      <c r="S1557" s="459"/>
      <c r="T1557" s="459"/>
      <c r="U1557" s="459"/>
      <c r="V1557" s="459"/>
      <c r="W1557" s="459"/>
      <c r="X1557" s="459"/>
      <c r="Y1557" s="666"/>
      <c r="Z1557" s="664"/>
      <c r="AA1557" s="665"/>
      <c r="AB1557" s="665"/>
      <c r="AC1557" s="665"/>
      <c r="AD1557" s="665"/>
      <c r="AE1557" s="665"/>
      <c r="AF1557" s="649"/>
      <c r="AG1557" s="650"/>
      <c r="AH1557" s="650"/>
      <c r="AI1557" s="667"/>
    </row>
    <row r="1558" spans="12:35" ht="45" customHeight="1" thickBot="1" x14ac:dyDescent="0.25">
      <c r="L1558" s="645"/>
      <c r="M1558" s="616"/>
      <c r="N1558" s="616"/>
      <c r="O1558" s="616"/>
      <c r="P1558" s="615"/>
      <c r="Q1558" s="616"/>
      <c r="R1558" s="663"/>
      <c r="S1558" s="459"/>
      <c r="T1558" s="459"/>
      <c r="U1558" s="459"/>
      <c r="V1558" s="459"/>
      <c r="W1558" s="459"/>
      <c r="X1558" s="459"/>
      <c r="Y1558" s="666"/>
      <c r="Z1558" s="664"/>
      <c r="AA1558" s="665"/>
      <c r="AB1558" s="665"/>
      <c r="AC1558" s="665"/>
      <c r="AD1558" s="665"/>
      <c r="AE1558" s="665"/>
      <c r="AF1558" s="649"/>
      <c r="AG1558" s="650"/>
      <c r="AH1558" s="650"/>
      <c r="AI1558" s="667"/>
    </row>
    <row r="1559" spans="12:35" ht="45" customHeight="1" thickBot="1" x14ac:dyDescent="0.25">
      <c r="L1559" s="645"/>
      <c r="M1559" s="616"/>
      <c r="N1559" s="616"/>
      <c r="O1559" s="616"/>
      <c r="P1559" s="615"/>
      <c r="Q1559" s="616"/>
      <c r="R1559" s="663"/>
      <c r="S1559" s="459"/>
      <c r="T1559" s="459"/>
      <c r="U1559" s="459"/>
      <c r="V1559" s="459"/>
      <c r="W1559" s="459"/>
      <c r="X1559" s="459"/>
      <c r="Y1559" s="666"/>
      <c r="Z1559" s="664"/>
      <c r="AA1559" s="665"/>
      <c r="AB1559" s="665"/>
      <c r="AC1559" s="665"/>
      <c r="AD1559" s="665"/>
      <c r="AE1559" s="665"/>
      <c r="AF1559" s="649"/>
      <c r="AG1559" s="650"/>
      <c r="AH1559" s="650"/>
      <c r="AI1559" s="667"/>
    </row>
    <row r="1560" spans="12:35" ht="45" customHeight="1" thickBot="1" x14ac:dyDescent="0.25">
      <c r="L1560" s="645"/>
      <c r="M1560" s="616"/>
      <c r="N1560" s="616"/>
      <c r="O1560" s="616"/>
      <c r="P1560" s="615"/>
      <c r="Q1560" s="616"/>
      <c r="R1560" s="663"/>
      <c r="S1560" s="459"/>
      <c r="T1560" s="459"/>
      <c r="U1560" s="459"/>
      <c r="V1560" s="459"/>
      <c r="W1560" s="459"/>
      <c r="X1560" s="459"/>
      <c r="Y1560" s="666"/>
      <c r="Z1560" s="664"/>
      <c r="AA1560" s="665"/>
      <c r="AB1560" s="665"/>
      <c r="AC1560" s="665"/>
      <c r="AD1560" s="665"/>
      <c r="AE1560" s="665"/>
      <c r="AF1560" s="649"/>
      <c r="AG1560" s="650"/>
      <c r="AH1560" s="650"/>
      <c r="AI1560" s="667"/>
    </row>
    <row r="1561" spans="12:35" ht="45" customHeight="1" thickBot="1" x14ac:dyDescent="0.25">
      <c r="L1561" s="645"/>
      <c r="M1561" s="616"/>
      <c r="N1561" s="616"/>
      <c r="O1561" s="616"/>
      <c r="P1561" s="615"/>
      <c r="Q1561" s="616"/>
      <c r="R1561" s="663"/>
      <c r="S1561" s="459"/>
      <c r="T1561" s="459"/>
      <c r="U1561" s="459"/>
      <c r="V1561" s="459"/>
      <c r="W1561" s="459"/>
      <c r="X1561" s="459"/>
      <c r="Y1561" s="666"/>
      <c r="Z1561" s="664"/>
      <c r="AA1561" s="665"/>
      <c r="AB1561" s="665"/>
      <c r="AC1561" s="665"/>
      <c r="AD1561" s="665"/>
      <c r="AE1561" s="665"/>
      <c r="AF1561" s="649"/>
      <c r="AG1561" s="650"/>
      <c r="AH1561" s="650"/>
      <c r="AI1561" s="667"/>
    </row>
    <row r="1562" spans="12:35" ht="45" customHeight="1" thickBot="1" x14ac:dyDescent="0.25">
      <c r="L1562" s="645"/>
      <c r="M1562" s="616"/>
      <c r="N1562" s="616"/>
      <c r="O1562" s="616"/>
      <c r="P1562" s="615"/>
      <c r="Q1562" s="616"/>
      <c r="R1562" s="663"/>
      <c r="S1562" s="459"/>
      <c r="T1562" s="459"/>
      <c r="U1562" s="459"/>
      <c r="V1562" s="459"/>
      <c r="W1562" s="459"/>
      <c r="X1562" s="459"/>
      <c r="Y1562" s="666"/>
      <c r="Z1562" s="664"/>
      <c r="AA1562" s="665"/>
      <c r="AB1562" s="665"/>
      <c r="AC1562" s="665"/>
      <c r="AD1562" s="665"/>
      <c r="AE1562" s="665"/>
      <c r="AF1562" s="649"/>
      <c r="AG1562" s="650"/>
      <c r="AH1562" s="650"/>
      <c r="AI1562" s="667"/>
    </row>
    <row r="1563" spans="12:35" ht="45" customHeight="1" thickBot="1" x14ac:dyDescent="0.25">
      <c r="L1563" s="645"/>
      <c r="M1563" s="616"/>
      <c r="N1563" s="616"/>
      <c r="O1563" s="616"/>
      <c r="P1563" s="615"/>
      <c r="Q1563" s="616"/>
      <c r="R1563" s="663"/>
      <c r="S1563" s="459"/>
      <c r="T1563" s="459"/>
      <c r="U1563" s="459"/>
      <c r="V1563" s="459"/>
      <c r="W1563" s="459"/>
      <c r="X1563" s="459"/>
      <c r="Y1563" s="666"/>
      <c r="Z1563" s="664"/>
      <c r="AA1563" s="665"/>
      <c r="AB1563" s="665"/>
      <c r="AC1563" s="665"/>
      <c r="AD1563" s="665"/>
      <c r="AE1563" s="665"/>
      <c r="AF1563" s="649"/>
      <c r="AG1563" s="650"/>
      <c r="AH1563" s="650"/>
      <c r="AI1563" s="667"/>
    </row>
    <row r="1564" spans="12:35" ht="45" customHeight="1" thickBot="1" x14ac:dyDescent="0.25">
      <c r="L1564" s="645"/>
      <c r="M1564" s="616"/>
      <c r="N1564" s="616"/>
      <c r="O1564" s="616"/>
      <c r="P1564" s="615"/>
      <c r="Q1564" s="616"/>
      <c r="R1564" s="663"/>
      <c r="S1564" s="459"/>
      <c r="T1564" s="459"/>
      <c r="U1564" s="459"/>
      <c r="V1564" s="459"/>
      <c r="W1564" s="459"/>
      <c r="X1564" s="459"/>
      <c r="Y1564" s="666"/>
      <c r="Z1564" s="664"/>
      <c r="AA1564" s="665"/>
      <c r="AB1564" s="665"/>
      <c r="AC1564" s="665"/>
      <c r="AD1564" s="665"/>
      <c r="AE1564" s="665"/>
      <c r="AF1564" s="649"/>
      <c r="AG1564" s="650"/>
      <c r="AH1564" s="650"/>
      <c r="AI1564" s="667"/>
    </row>
    <row r="1565" spans="12:35" ht="45" customHeight="1" thickBot="1" x14ac:dyDescent="0.25">
      <c r="L1565" s="645"/>
      <c r="M1565" s="616"/>
      <c r="N1565" s="616"/>
      <c r="O1565" s="616"/>
      <c r="P1565" s="615"/>
      <c r="Q1565" s="616"/>
      <c r="R1565" s="663"/>
      <c r="S1565" s="459"/>
      <c r="T1565" s="459"/>
      <c r="U1565" s="459"/>
      <c r="V1565" s="459"/>
      <c r="W1565" s="459"/>
      <c r="X1565" s="459"/>
      <c r="Y1565" s="666"/>
      <c r="Z1565" s="664"/>
      <c r="AA1565" s="665"/>
      <c r="AB1565" s="665"/>
      <c r="AC1565" s="665"/>
      <c r="AD1565" s="665"/>
      <c r="AE1565" s="665"/>
      <c r="AF1565" s="649"/>
      <c r="AG1565" s="650"/>
      <c r="AH1565" s="650"/>
      <c r="AI1565" s="667"/>
    </row>
    <row r="1566" spans="12:35" ht="45" customHeight="1" thickBot="1" x14ac:dyDescent="0.25">
      <c r="L1566" s="645"/>
      <c r="M1566" s="616"/>
      <c r="N1566" s="616"/>
      <c r="O1566" s="616"/>
      <c r="P1566" s="615"/>
      <c r="Q1566" s="616"/>
      <c r="R1566" s="663"/>
      <c r="S1566" s="459"/>
      <c r="T1566" s="459"/>
      <c r="U1566" s="459"/>
      <c r="V1566" s="459"/>
      <c r="W1566" s="459"/>
      <c r="X1566" s="459"/>
      <c r="Y1566" s="666"/>
      <c r="Z1566" s="664"/>
      <c r="AA1566" s="665"/>
      <c r="AB1566" s="665"/>
      <c r="AC1566" s="665"/>
      <c r="AD1566" s="665"/>
      <c r="AE1566" s="665"/>
      <c r="AF1566" s="649"/>
      <c r="AG1566" s="650"/>
      <c r="AH1566" s="650"/>
      <c r="AI1566" s="667"/>
    </row>
    <row r="1567" spans="12:35" ht="45" customHeight="1" thickBot="1" x14ac:dyDescent="0.25">
      <c r="L1567" s="645"/>
      <c r="M1567" s="616"/>
      <c r="N1567" s="616"/>
      <c r="O1567" s="616"/>
      <c r="P1567" s="615"/>
      <c r="Q1567" s="616"/>
      <c r="R1567" s="663"/>
      <c r="S1567" s="459"/>
      <c r="T1567" s="459"/>
      <c r="U1567" s="459"/>
      <c r="V1567" s="459"/>
      <c r="W1567" s="459"/>
      <c r="X1567" s="459"/>
      <c r="Y1567" s="666"/>
      <c r="Z1567" s="664"/>
      <c r="AA1567" s="665"/>
      <c r="AB1567" s="665"/>
      <c r="AC1567" s="665"/>
      <c r="AD1567" s="665"/>
      <c r="AE1567" s="665"/>
      <c r="AF1567" s="649"/>
      <c r="AG1567" s="650"/>
      <c r="AH1567" s="650"/>
      <c r="AI1567" s="667"/>
    </row>
    <row r="1568" spans="12:35" ht="45" customHeight="1" thickBot="1" x14ac:dyDescent="0.25">
      <c r="L1568" s="645"/>
      <c r="M1568" s="616"/>
      <c r="N1568" s="616"/>
      <c r="O1568" s="616"/>
      <c r="P1568" s="615"/>
      <c r="Q1568" s="616"/>
      <c r="R1568" s="663"/>
      <c r="S1568" s="459"/>
      <c r="T1568" s="459"/>
      <c r="U1568" s="459"/>
      <c r="V1568" s="459"/>
      <c r="W1568" s="459"/>
      <c r="X1568" s="459"/>
      <c r="Y1568" s="666"/>
      <c r="Z1568" s="664"/>
      <c r="AA1568" s="665"/>
      <c r="AB1568" s="665"/>
      <c r="AC1568" s="665"/>
      <c r="AD1568" s="665"/>
      <c r="AE1568" s="665"/>
      <c r="AF1568" s="649"/>
      <c r="AG1568" s="650"/>
      <c r="AH1568" s="650"/>
      <c r="AI1568" s="667"/>
    </row>
    <row r="1569" spans="12:35" ht="45" customHeight="1" thickBot="1" x14ac:dyDescent="0.25">
      <c r="L1569" s="645"/>
      <c r="M1569" s="616"/>
      <c r="N1569" s="616"/>
      <c r="O1569" s="616"/>
      <c r="P1569" s="615"/>
      <c r="Q1569" s="616"/>
      <c r="R1569" s="663"/>
      <c r="S1569" s="459"/>
      <c r="T1569" s="459"/>
      <c r="U1569" s="459"/>
      <c r="V1569" s="459"/>
      <c r="W1569" s="459"/>
      <c r="X1569" s="459"/>
      <c r="Y1569" s="666"/>
      <c r="Z1569" s="664"/>
      <c r="AA1569" s="665"/>
      <c r="AB1569" s="665"/>
      <c r="AC1569" s="665"/>
      <c r="AD1569" s="665"/>
      <c r="AE1569" s="665"/>
      <c r="AF1569" s="649"/>
      <c r="AG1569" s="650"/>
      <c r="AH1569" s="650"/>
      <c r="AI1569" s="667"/>
    </row>
    <row r="1570" spans="12:35" ht="45" customHeight="1" thickBot="1" x14ac:dyDescent="0.25">
      <c r="L1570" s="645"/>
      <c r="M1570" s="616"/>
      <c r="N1570" s="616"/>
      <c r="O1570" s="616"/>
      <c r="P1570" s="615"/>
      <c r="Q1570" s="616"/>
      <c r="R1570" s="663"/>
      <c r="S1570" s="459"/>
      <c r="T1570" s="459"/>
      <c r="U1570" s="459"/>
      <c r="V1570" s="459"/>
      <c r="W1570" s="459"/>
      <c r="X1570" s="459"/>
      <c r="Y1570" s="666"/>
      <c r="Z1570" s="664"/>
      <c r="AA1570" s="665"/>
      <c r="AB1570" s="665"/>
      <c r="AC1570" s="665"/>
      <c r="AD1570" s="665"/>
      <c r="AE1570" s="665"/>
      <c r="AF1570" s="649"/>
      <c r="AG1570" s="650"/>
      <c r="AH1570" s="650"/>
      <c r="AI1570" s="667"/>
    </row>
    <row r="1571" spans="12:35" ht="45" customHeight="1" thickBot="1" x14ac:dyDescent="0.25">
      <c r="L1571" s="645"/>
      <c r="M1571" s="616"/>
      <c r="N1571" s="616"/>
      <c r="O1571" s="616"/>
      <c r="P1571" s="615"/>
      <c r="Q1571" s="616"/>
      <c r="R1571" s="663"/>
      <c r="S1571" s="459"/>
      <c r="T1571" s="459"/>
      <c r="U1571" s="459"/>
      <c r="V1571" s="459"/>
      <c r="W1571" s="459"/>
      <c r="X1571" s="459"/>
      <c r="Y1571" s="666"/>
      <c r="Z1571" s="664"/>
      <c r="AA1571" s="665"/>
      <c r="AB1571" s="665"/>
      <c r="AC1571" s="665"/>
      <c r="AD1571" s="665"/>
      <c r="AE1571" s="665"/>
      <c r="AF1571" s="649"/>
      <c r="AG1571" s="650"/>
      <c r="AH1571" s="650"/>
      <c r="AI1571" s="667"/>
    </row>
    <row r="1572" spans="12:35" ht="45" customHeight="1" thickBot="1" x14ac:dyDescent="0.25">
      <c r="L1572" s="645"/>
      <c r="M1572" s="616"/>
      <c r="N1572" s="616"/>
      <c r="O1572" s="616"/>
      <c r="P1572" s="615"/>
      <c r="Q1572" s="616"/>
      <c r="R1572" s="663"/>
      <c r="S1572" s="459"/>
      <c r="T1572" s="459"/>
      <c r="U1572" s="459"/>
      <c r="V1572" s="459"/>
      <c r="W1572" s="459"/>
      <c r="X1572" s="459"/>
      <c r="Y1572" s="666"/>
      <c r="Z1572" s="664"/>
      <c r="AA1572" s="665"/>
      <c r="AB1572" s="665"/>
      <c r="AC1572" s="665"/>
      <c r="AD1572" s="665"/>
      <c r="AE1572" s="665"/>
      <c r="AF1572" s="649"/>
      <c r="AG1572" s="650"/>
      <c r="AH1572" s="650"/>
      <c r="AI1572" s="667"/>
    </row>
    <row r="1573" spans="12:35" ht="45" customHeight="1" thickBot="1" x14ac:dyDescent="0.25">
      <c r="L1573" s="645"/>
      <c r="M1573" s="616"/>
      <c r="N1573" s="616"/>
      <c r="O1573" s="616"/>
      <c r="P1573" s="615"/>
      <c r="Q1573" s="616"/>
      <c r="R1573" s="663"/>
      <c r="S1573" s="459"/>
      <c r="T1573" s="459"/>
      <c r="U1573" s="459"/>
      <c r="V1573" s="459"/>
      <c r="W1573" s="459"/>
      <c r="X1573" s="459"/>
      <c r="Y1573" s="666"/>
      <c r="Z1573" s="664"/>
      <c r="AA1573" s="665"/>
      <c r="AB1573" s="665"/>
      <c r="AC1573" s="665"/>
      <c r="AD1573" s="665"/>
      <c r="AE1573" s="665"/>
      <c r="AF1573" s="649"/>
      <c r="AG1573" s="650"/>
      <c r="AH1573" s="650"/>
      <c r="AI1573" s="667"/>
    </row>
    <row r="1574" spans="12:35" ht="45" customHeight="1" thickBot="1" x14ac:dyDescent="0.25">
      <c r="L1574" s="645"/>
      <c r="M1574" s="616"/>
      <c r="N1574" s="616"/>
      <c r="O1574" s="616"/>
      <c r="P1574" s="615"/>
      <c r="Q1574" s="616"/>
      <c r="R1574" s="663"/>
      <c r="S1574" s="459"/>
      <c r="T1574" s="459"/>
      <c r="U1574" s="459"/>
      <c r="V1574" s="459"/>
      <c r="W1574" s="459"/>
      <c r="X1574" s="459"/>
      <c r="Y1574" s="666"/>
      <c r="Z1574" s="664"/>
      <c r="AA1574" s="665"/>
      <c r="AB1574" s="665"/>
      <c r="AC1574" s="665"/>
      <c r="AD1574" s="665"/>
      <c r="AE1574" s="665"/>
      <c r="AF1574" s="649"/>
      <c r="AG1574" s="650"/>
      <c r="AH1574" s="650"/>
      <c r="AI1574" s="667"/>
    </row>
    <row r="1575" spans="12:35" ht="45" customHeight="1" thickBot="1" x14ac:dyDescent="0.25">
      <c r="L1575" s="645"/>
      <c r="M1575" s="616"/>
      <c r="N1575" s="616"/>
      <c r="O1575" s="616"/>
      <c r="P1575" s="615"/>
      <c r="Q1575" s="616"/>
      <c r="R1575" s="663"/>
      <c r="S1575" s="459"/>
      <c r="T1575" s="459"/>
      <c r="U1575" s="459"/>
      <c r="V1575" s="459"/>
      <c r="W1575" s="459"/>
      <c r="X1575" s="459"/>
      <c r="Y1575" s="666"/>
      <c r="Z1575" s="664"/>
      <c r="AA1575" s="665"/>
      <c r="AB1575" s="665"/>
      <c r="AC1575" s="665"/>
      <c r="AD1575" s="665"/>
      <c r="AE1575" s="665"/>
      <c r="AF1575" s="649"/>
      <c r="AG1575" s="650"/>
      <c r="AH1575" s="650"/>
      <c r="AI1575" s="667"/>
    </row>
    <row r="1576" spans="12:35" ht="45" customHeight="1" thickBot="1" x14ac:dyDescent="0.25">
      <c r="L1576" s="645"/>
      <c r="M1576" s="616"/>
      <c r="N1576" s="616"/>
      <c r="O1576" s="616"/>
      <c r="P1576" s="615"/>
      <c r="Q1576" s="616"/>
      <c r="R1576" s="663"/>
      <c r="S1576" s="459"/>
      <c r="T1576" s="459"/>
      <c r="U1576" s="459"/>
      <c r="V1576" s="459"/>
      <c r="W1576" s="459"/>
      <c r="X1576" s="459"/>
      <c r="Y1576" s="666"/>
      <c r="Z1576" s="664"/>
      <c r="AA1576" s="665"/>
      <c r="AB1576" s="665"/>
      <c r="AC1576" s="665"/>
      <c r="AD1576" s="665"/>
      <c r="AE1576" s="665"/>
      <c r="AF1576" s="649"/>
      <c r="AG1576" s="650"/>
      <c r="AH1576" s="650"/>
      <c r="AI1576" s="667"/>
    </row>
    <row r="1577" spans="12:35" ht="45" customHeight="1" thickBot="1" x14ac:dyDescent="0.25">
      <c r="L1577" s="645"/>
      <c r="M1577" s="616"/>
      <c r="N1577" s="616"/>
      <c r="O1577" s="616"/>
      <c r="P1577" s="615"/>
      <c r="Q1577" s="616"/>
      <c r="R1577" s="663"/>
      <c r="S1577" s="459"/>
      <c r="T1577" s="459"/>
      <c r="U1577" s="459"/>
      <c r="V1577" s="459"/>
      <c r="W1577" s="459"/>
      <c r="X1577" s="459"/>
      <c r="Y1577" s="666"/>
      <c r="Z1577" s="664"/>
      <c r="AA1577" s="665"/>
      <c r="AB1577" s="665"/>
      <c r="AC1577" s="665"/>
      <c r="AD1577" s="665"/>
      <c r="AE1577" s="665"/>
      <c r="AF1577" s="649"/>
      <c r="AG1577" s="650"/>
      <c r="AH1577" s="650"/>
      <c r="AI1577" s="667"/>
    </row>
    <row r="1578" spans="12:35" ht="45" customHeight="1" thickBot="1" x14ac:dyDescent="0.25">
      <c r="L1578" s="645"/>
      <c r="M1578" s="616"/>
      <c r="N1578" s="616"/>
      <c r="O1578" s="616"/>
      <c r="P1578" s="615"/>
      <c r="Q1578" s="616"/>
      <c r="R1578" s="663"/>
      <c r="S1578" s="459"/>
      <c r="T1578" s="459"/>
      <c r="U1578" s="459"/>
      <c r="V1578" s="459"/>
      <c r="W1578" s="459"/>
      <c r="X1578" s="459"/>
      <c r="Y1578" s="666"/>
      <c r="Z1578" s="664"/>
      <c r="AA1578" s="665"/>
      <c r="AB1578" s="665"/>
      <c r="AC1578" s="665"/>
      <c r="AD1578" s="665"/>
      <c r="AE1578" s="665"/>
      <c r="AF1578" s="649"/>
      <c r="AG1578" s="650"/>
      <c r="AH1578" s="650"/>
      <c r="AI1578" s="667"/>
    </row>
    <row r="1579" spans="12:35" ht="45" customHeight="1" thickBot="1" x14ac:dyDescent="0.25">
      <c r="L1579" s="645"/>
      <c r="M1579" s="616"/>
      <c r="N1579" s="616"/>
      <c r="O1579" s="616"/>
      <c r="P1579" s="615"/>
      <c r="Q1579" s="616"/>
      <c r="R1579" s="663"/>
      <c r="S1579" s="459"/>
      <c r="T1579" s="459"/>
      <c r="U1579" s="459"/>
      <c r="V1579" s="459"/>
      <c r="W1579" s="459"/>
      <c r="X1579" s="459"/>
      <c r="Y1579" s="666"/>
      <c r="Z1579" s="664"/>
      <c r="AA1579" s="665"/>
      <c r="AB1579" s="665"/>
      <c r="AC1579" s="665"/>
      <c r="AD1579" s="665"/>
      <c r="AE1579" s="665"/>
      <c r="AF1579" s="649"/>
      <c r="AG1579" s="650"/>
      <c r="AH1579" s="650"/>
      <c r="AI1579" s="667"/>
    </row>
    <row r="1580" spans="12:35" ht="45" customHeight="1" thickBot="1" x14ac:dyDescent="0.25">
      <c r="L1580" s="645"/>
      <c r="M1580" s="616"/>
      <c r="N1580" s="616"/>
      <c r="O1580" s="616"/>
      <c r="P1580" s="615"/>
      <c r="Q1580" s="616"/>
      <c r="R1580" s="663"/>
      <c r="S1580" s="459"/>
      <c r="T1580" s="459"/>
      <c r="U1580" s="459"/>
      <c r="V1580" s="459"/>
      <c r="W1580" s="459"/>
      <c r="X1580" s="459"/>
      <c r="Y1580" s="666"/>
      <c r="Z1580" s="664"/>
      <c r="AA1580" s="665"/>
      <c r="AB1580" s="665"/>
      <c r="AC1580" s="665"/>
      <c r="AD1580" s="665"/>
      <c r="AE1580" s="665"/>
      <c r="AF1580" s="649"/>
      <c r="AG1580" s="650"/>
      <c r="AH1580" s="650"/>
      <c r="AI1580" s="667"/>
    </row>
    <row r="1581" spans="12:35" ht="45" customHeight="1" thickBot="1" x14ac:dyDescent="0.25">
      <c r="L1581" s="645"/>
      <c r="M1581" s="616"/>
      <c r="N1581" s="616"/>
      <c r="O1581" s="616"/>
      <c r="P1581" s="615"/>
      <c r="Q1581" s="616"/>
      <c r="R1581" s="663"/>
      <c r="S1581" s="459"/>
      <c r="T1581" s="459"/>
      <c r="U1581" s="459"/>
      <c r="V1581" s="459"/>
      <c r="W1581" s="459"/>
      <c r="X1581" s="459"/>
      <c r="Y1581" s="666"/>
      <c r="Z1581" s="664"/>
      <c r="AA1581" s="665"/>
      <c r="AB1581" s="665"/>
      <c r="AC1581" s="665"/>
      <c r="AD1581" s="665"/>
      <c r="AE1581" s="665"/>
      <c r="AF1581" s="649"/>
      <c r="AG1581" s="650"/>
      <c r="AH1581" s="650"/>
      <c r="AI1581" s="667"/>
    </row>
    <row r="1582" spans="12:35" ht="45" customHeight="1" thickBot="1" x14ac:dyDescent="0.25">
      <c r="L1582" s="645"/>
      <c r="M1582" s="616"/>
      <c r="N1582" s="616"/>
      <c r="O1582" s="616"/>
      <c r="P1582" s="615"/>
      <c r="Q1582" s="616"/>
      <c r="R1582" s="663"/>
      <c r="S1582" s="459"/>
      <c r="T1582" s="459"/>
      <c r="U1582" s="459"/>
      <c r="V1582" s="459"/>
      <c r="W1582" s="459"/>
      <c r="X1582" s="459"/>
      <c r="Y1582" s="666"/>
      <c r="Z1582" s="664"/>
      <c r="AA1582" s="665"/>
      <c r="AB1582" s="665"/>
      <c r="AC1582" s="665"/>
      <c r="AD1582" s="665"/>
      <c r="AE1582" s="665"/>
      <c r="AF1582" s="649"/>
      <c r="AG1582" s="650"/>
      <c r="AH1582" s="650"/>
      <c r="AI1582" s="667"/>
    </row>
    <row r="1583" spans="12:35" ht="45" customHeight="1" thickBot="1" x14ac:dyDescent="0.25">
      <c r="L1583" s="645"/>
      <c r="M1583" s="616"/>
      <c r="N1583" s="616"/>
      <c r="O1583" s="616"/>
      <c r="P1583" s="615"/>
      <c r="Q1583" s="616"/>
      <c r="R1583" s="663"/>
      <c r="S1583" s="459"/>
      <c r="T1583" s="459"/>
      <c r="U1583" s="459"/>
      <c r="V1583" s="459"/>
      <c r="W1583" s="459"/>
      <c r="X1583" s="459"/>
      <c r="Y1583" s="666"/>
      <c r="Z1583" s="664"/>
      <c r="AA1583" s="665"/>
      <c r="AB1583" s="665"/>
      <c r="AC1583" s="665"/>
      <c r="AD1583" s="665"/>
      <c r="AE1583" s="665"/>
      <c r="AF1583" s="649"/>
      <c r="AG1583" s="650"/>
      <c r="AH1583" s="650"/>
      <c r="AI1583" s="667"/>
    </row>
    <row r="1584" spans="12:35" ht="45" customHeight="1" thickBot="1" x14ac:dyDescent="0.25">
      <c r="L1584" s="645"/>
      <c r="M1584" s="616"/>
      <c r="N1584" s="616"/>
      <c r="O1584" s="616"/>
      <c r="P1584" s="615"/>
      <c r="Q1584" s="616"/>
      <c r="R1584" s="663"/>
      <c r="S1584" s="459"/>
      <c r="T1584" s="459"/>
      <c r="U1584" s="459"/>
      <c r="V1584" s="459"/>
      <c r="W1584" s="459"/>
      <c r="X1584" s="459"/>
      <c r="Y1584" s="666"/>
      <c r="Z1584" s="664"/>
      <c r="AA1584" s="665"/>
      <c r="AB1584" s="665"/>
      <c r="AC1584" s="665"/>
      <c r="AD1584" s="665"/>
      <c r="AE1584" s="665"/>
      <c r="AF1584" s="649"/>
      <c r="AG1584" s="650"/>
      <c r="AH1584" s="650"/>
      <c r="AI1584" s="667"/>
    </row>
    <row r="1585" spans="12:35" ht="45" customHeight="1" thickBot="1" x14ac:dyDescent="0.25">
      <c r="L1585" s="645"/>
      <c r="M1585" s="616"/>
      <c r="N1585" s="616"/>
      <c r="O1585" s="616"/>
      <c r="P1585" s="615"/>
      <c r="Q1585" s="616"/>
      <c r="R1585" s="663"/>
      <c r="S1585" s="459"/>
      <c r="T1585" s="459"/>
      <c r="U1585" s="459"/>
      <c r="V1585" s="459"/>
      <c r="W1585" s="459"/>
      <c r="X1585" s="459"/>
      <c r="Y1585" s="666"/>
      <c r="Z1585" s="664"/>
      <c r="AA1585" s="665"/>
      <c r="AB1585" s="665"/>
      <c r="AC1585" s="665"/>
      <c r="AD1585" s="665"/>
      <c r="AE1585" s="665"/>
      <c r="AF1585" s="649"/>
      <c r="AG1585" s="650"/>
      <c r="AH1585" s="650"/>
      <c r="AI1585" s="667"/>
    </row>
    <row r="1586" spans="12:35" ht="45" customHeight="1" thickBot="1" x14ac:dyDescent="0.25">
      <c r="L1586" s="645"/>
      <c r="M1586" s="616"/>
      <c r="N1586" s="616"/>
      <c r="O1586" s="616"/>
      <c r="P1586" s="615"/>
      <c r="Q1586" s="616"/>
      <c r="R1586" s="663"/>
      <c r="S1586" s="459"/>
      <c r="T1586" s="459"/>
      <c r="U1586" s="459"/>
      <c r="V1586" s="459"/>
      <c r="W1586" s="459"/>
      <c r="X1586" s="459"/>
      <c r="Y1586" s="666"/>
      <c r="Z1586" s="664"/>
      <c r="AA1586" s="665"/>
      <c r="AB1586" s="665"/>
      <c r="AC1586" s="665"/>
      <c r="AD1586" s="665"/>
      <c r="AE1586" s="665"/>
      <c r="AF1586" s="649"/>
      <c r="AG1586" s="650"/>
      <c r="AH1586" s="650"/>
      <c r="AI1586" s="667"/>
    </row>
    <row r="1587" spans="12:35" ht="45" customHeight="1" thickBot="1" x14ac:dyDescent="0.25">
      <c r="L1587" s="645"/>
      <c r="M1587" s="616"/>
      <c r="N1587" s="616"/>
      <c r="O1587" s="616"/>
      <c r="P1587" s="615"/>
      <c r="Q1587" s="616"/>
      <c r="R1587" s="663"/>
      <c r="S1587" s="459"/>
      <c r="T1587" s="459"/>
      <c r="U1587" s="459"/>
      <c r="V1587" s="459"/>
      <c r="W1587" s="459"/>
      <c r="X1587" s="459"/>
      <c r="Y1587" s="666"/>
      <c r="Z1587" s="664"/>
      <c r="AA1587" s="665"/>
      <c r="AB1587" s="665"/>
      <c r="AC1587" s="665"/>
      <c r="AD1587" s="665"/>
      <c r="AE1587" s="665"/>
      <c r="AF1587" s="649"/>
      <c r="AG1587" s="650"/>
      <c r="AH1587" s="650"/>
      <c r="AI1587" s="667"/>
    </row>
    <row r="1588" spans="12:35" ht="45" customHeight="1" thickBot="1" x14ac:dyDescent="0.25">
      <c r="L1588" s="645"/>
      <c r="M1588" s="616"/>
      <c r="N1588" s="616"/>
      <c r="O1588" s="616"/>
      <c r="P1588" s="615"/>
      <c r="Q1588" s="616"/>
      <c r="R1588" s="663"/>
      <c r="S1588" s="459"/>
      <c r="T1588" s="459"/>
      <c r="U1588" s="459"/>
      <c r="V1588" s="459"/>
      <c r="W1588" s="459"/>
      <c r="X1588" s="459"/>
      <c r="Y1588" s="666"/>
      <c r="Z1588" s="664"/>
      <c r="AA1588" s="665"/>
      <c r="AB1588" s="665"/>
      <c r="AC1588" s="665"/>
      <c r="AD1588" s="665"/>
      <c r="AE1588" s="665"/>
      <c r="AF1588" s="649"/>
      <c r="AG1588" s="650"/>
      <c r="AH1588" s="650"/>
      <c r="AI1588" s="667"/>
    </row>
    <row r="1589" spans="12:35" ht="45" customHeight="1" thickBot="1" x14ac:dyDescent="0.25">
      <c r="L1589" s="645"/>
      <c r="M1589" s="616"/>
      <c r="N1589" s="616"/>
      <c r="O1589" s="616"/>
      <c r="P1589" s="615"/>
      <c r="Q1589" s="616"/>
      <c r="R1589" s="663"/>
      <c r="S1589" s="459"/>
      <c r="T1589" s="459"/>
      <c r="U1589" s="459"/>
      <c r="V1589" s="459"/>
      <c r="W1589" s="459"/>
      <c r="X1589" s="459"/>
      <c r="Y1589" s="666"/>
      <c r="Z1589" s="664"/>
      <c r="AA1589" s="665"/>
      <c r="AB1589" s="665"/>
      <c r="AC1589" s="665"/>
      <c r="AD1589" s="665"/>
      <c r="AE1589" s="665"/>
      <c r="AF1589" s="649"/>
      <c r="AG1589" s="650"/>
      <c r="AH1589" s="650"/>
      <c r="AI1589" s="667"/>
    </row>
    <row r="1590" spans="12:35" ht="45" customHeight="1" thickBot="1" x14ac:dyDescent="0.25">
      <c r="L1590" s="645"/>
      <c r="M1590" s="616"/>
      <c r="N1590" s="616"/>
      <c r="O1590" s="616"/>
      <c r="P1590" s="615"/>
      <c r="Q1590" s="616"/>
      <c r="R1590" s="663"/>
      <c r="S1590" s="459"/>
      <c r="T1590" s="459"/>
      <c r="U1590" s="459"/>
      <c r="V1590" s="459"/>
      <c r="W1590" s="459"/>
      <c r="X1590" s="459"/>
      <c r="Y1590" s="666"/>
      <c r="Z1590" s="664"/>
      <c r="AA1590" s="665"/>
      <c r="AB1590" s="665"/>
      <c r="AC1590" s="665"/>
      <c r="AD1590" s="665"/>
      <c r="AE1590" s="665"/>
      <c r="AF1590" s="649"/>
      <c r="AG1590" s="650"/>
      <c r="AH1590" s="650"/>
      <c r="AI1590" s="667"/>
    </row>
    <row r="1591" spans="12:35" ht="45" customHeight="1" thickBot="1" x14ac:dyDescent="0.25">
      <c r="L1591" s="645"/>
      <c r="M1591" s="616"/>
      <c r="N1591" s="616"/>
      <c r="O1591" s="616"/>
      <c r="P1591" s="615"/>
      <c r="Q1591" s="616"/>
      <c r="R1591" s="663"/>
      <c r="S1591" s="459"/>
      <c r="T1591" s="459"/>
      <c r="U1591" s="459"/>
      <c r="V1591" s="459"/>
      <c r="W1591" s="459"/>
      <c r="X1591" s="459"/>
      <c r="Y1591" s="666"/>
      <c r="Z1591" s="664"/>
      <c r="AA1591" s="665"/>
      <c r="AB1591" s="665"/>
      <c r="AC1591" s="665"/>
      <c r="AD1591" s="665"/>
      <c r="AE1591" s="665"/>
      <c r="AF1591" s="649"/>
      <c r="AG1591" s="650"/>
      <c r="AH1591" s="650"/>
      <c r="AI1591" s="667"/>
    </row>
    <row r="1592" spans="12:35" ht="45" customHeight="1" thickBot="1" x14ac:dyDescent="0.25">
      <c r="L1592" s="645"/>
      <c r="M1592" s="616"/>
      <c r="N1592" s="616"/>
      <c r="O1592" s="616"/>
      <c r="P1592" s="615"/>
      <c r="Q1592" s="616"/>
      <c r="R1592" s="663"/>
      <c r="S1592" s="459"/>
      <c r="T1592" s="459"/>
      <c r="U1592" s="459"/>
      <c r="V1592" s="459"/>
      <c r="W1592" s="459"/>
      <c r="X1592" s="459"/>
      <c r="Y1592" s="666"/>
      <c r="Z1592" s="664"/>
      <c r="AA1592" s="665"/>
      <c r="AB1592" s="665"/>
      <c r="AC1592" s="665"/>
      <c r="AD1592" s="665"/>
      <c r="AE1592" s="665"/>
      <c r="AF1592" s="649"/>
      <c r="AG1592" s="650"/>
      <c r="AH1592" s="650"/>
      <c r="AI1592" s="667"/>
    </row>
    <row r="1593" spans="12:35" ht="45" customHeight="1" thickBot="1" x14ac:dyDescent="0.25">
      <c r="L1593" s="645"/>
      <c r="M1593" s="616"/>
      <c r="N1593" s="616"/>
      <c r="O1593" s="616"/>
      <c r="P1593" s="615"/>
      <c r="Q1593" s="616"/>
      <c r="R1593" s="663"/>
      <c r="S1593" s="459"/>
      <c r="T1593" s="459"/>
      <c r="U1593" s="459"/>
      <c r="V1593" s="459"/>
      <c r="W1593" s="459"/>
      <c r="X1593" s="459"/>
      <c r="Y1593" s="666"/>
      <c r="Z1593" s="664"/>
      <c r="AA1593" s="665"/>
      <c r="AB1593" s="665"/>
      <c r="AC1593" s="665"/>
      <c r="AD1593" s="665"/>
      <c r="AE1593" s="665"/>
      <c r="AF1593" s="649"/>
      <c r="AG1593" s="650"/>
      <c r="AH1593" s="650"/>
      <c r="AI1593" s="667"/>
    </row>
    <row r="1594" spans="12:35" ht="45" customHeight="1" thickBot="1" x14ac:dyDescent="0.25">
      <c r="L1594" s="645"/>
      <c r="M1594" s="616"/>
      <c r="N1594" s="616"/>
      <c r="O1594" s="616"/>
      <c r="P1594" s="615"/>
      <c r="Q1594" s="616"/>
      <c r="R1594" s="663"/>
      <c r="S1594" s="459"/>
      <c r="T1594" s="459"/>
      <c r="U1594" s="459"/>
      <c r="V1594" s="459"/>
      <c r="W1594" s="459"/>
      <c r="X1594" s="459"/>
      <c r="Y1594" s="666"/>
      <c r="Z1594" s="664"/>
      <c r="AA1594" s="665"/>
      <c r="AB1594" s="665"/>
      <c r="AC1594" s="665"/>
      <c r="AD1594" s="665"/>
      <c r="AE1594" s="665"/>
      <c r="AF1594" s="649"/>
      <c r="AG1594" s="650"/>
      <c r="AH1594" s="650"/>
      <c r="AI1594" s="667"/>
    </row>
    <row r="1595" spans="12:35" ht="45" customHeight="1" thickBot="1" x14ac:dyDescent="0.25">
      <c r="L1595" s="645"/>
      <c r="M1595" s="616"/>
      <c r="N1595" s="616"/>
      <c r="O1595" s="616"/>
      <c r="P1595" s="615"/>
      <c r="Q1595" s="616"/>
      <c r="R1595" s="663"/>
      <c r="S1595" s="459"/>
      <c r="T1595" s="459"/>
      <c r="U1595" s="459"/>
      <c r="V1595" s="459"/>
      <c r="W1595" s="459"/>
      <c r="X1595" s="459"/>
      <c r="Y1595" s="666"/>
      <c r="Z1595" s="664"/>
      <c r="AA1595" s="665"/>
      <c r="AB1595" s="665"/>
      <c r="AC1595" s="665"/>
      <c r="AD1595" s="665"/>
      <c r="AE1595" s="665"/>
      <c r="AF1595" s="649"/>
      <c r="AG1595" s="650"/>
      <c r="AH1595" s="650"/>
      <c r="AI1595" s="667"/>
    </row>
    <row r="1596" spans="12:35" ht="45" customHeight="1" thickBot="1" x14ac:dyDescent="0.25">
      <c r="L1596" s="645"/>
      <c r="M1596" s="616"/>
      <c r="N1596" s="616"/>
      <c r="O1596" s="616"/>
      <c r="P1596" s="615"/>
      <c r="Q1596" s="616"/>
      <c r="R1596" s="663"/>
      <c r="S1596" s="459"/>
      <c r="T1596" s="459"/>
      <c r="U1596" s="459"/>
      <c r="V1596" s="459"/>
      <c r="W1596" s="459"/>
      <c r="X1596" s="459"/>
      <c r="Y1596" s="666"/>
      <c r="Z1596" s="664"/>
      <c r="AA1596" s="665"/>
      <c r="AB1596" s="665"/>
      <c r="AC1596" s="665"/>
      <c r="AD1596" s="665"/>
      <c r="AE1596" s="665"/>
      <c r="AF1596" s="649"/>
      <c r="AG1596" s="650"/>
      <c r="AH1596" s="650"/>
      <c r="AI1596" s="667"/>
    </row>
    <row r="1597" spans="12:35" ht="45" customHeight="1" thickBot="1" x14ac:dyDescent="0.25">
      <c r="L1597" s="645"/>
      <c r="M1597" s="616"/>
      <c r="N1597" s="616"/>
      <c r="O1597" s="616"/>
      <c r="P1597" s="615"/>
      <c r="Q1597" s="616"/>
      <c r="R1597" s="663"/>
      <c r="S1597" s="459"/>
      <c r="T1597" s="459"/>
      <c r="U1597" s="459"/>
      <c r="V1597" s="459"/>
      <c r="W1597" s="459"/>
      <c r="X1597" s="459"/>
      <c r="Y1597" s="666"/>
      <c r="Z1597" s="664"/>
      <c r="AA1597" s="665"/>
      <c r="AB1597" s="665"/>
      <c r="AC1597" s="665"/>
      <c r="AD1597" s="665"/>
      <c r="AE1597" s="665"/>
      <c r="AF1597" s="649"/>
      <c r="AG1597" s="650"/>
      <c r="AH1597" s="650"/>
      <c r="AI1597" s="667"/>
    </row>
    <row r="1598" spans="12:35" ht="45" customHeight="1" thickBot="1" x14ac:dyDescent="0.25">
      <c r="L1598" s="645"/>
      <c r="M1598" s="616"/>
      <c r="N1598" s="616"/>
      <c r="O1598" s="616"/>
      <c r="P1598" s="615"/>
      <c r="Q1598" s="616"/>
      <c r="R1598" s="663"/>
      <c r="S1598" s="459"/>
      <c r="T1598" s="459"/>
      <c r="U1598" s="459"/>
      <c r="V1598" s="459"/>
      <c r="W1598" s="459"/>
      <c r="X1598" s="459"/>
      <c r="Y1598" s="666"/>
      <c r="Z1598" s="664"/>
      <c r="AA1598" s="665"/>
      <c r="AB1598" s="665"/>
      <c r="AC1598" s="665"/>
      <c r="AD1598" s="665"/>
      <c r="AE1598" s="665"/>
      <c r="AF1598" s="649"/>
      <c r="AG1598" s="650"/>
      <c r="AH1598" s="650"/>
      <c r="AI1598" s="667"/>
    </row>
    <row r="1599" spans="12:35" ht="45" customHeight="1" thickBot="1" x14ac:dyDescent="0.25">
      <c r="L1599" s="645"/>
      <c r="M1599" s="616"/>
      <c r="N1599" s="616"/>
      <c r="O1599" s="616"/>
      <c r="P1599" s="615"/>
      <c r="Q1599" s="616"/>
      <c r="R1599" s="663"/>
      <c r="S1599" s="459"/>
      <c r="T1599" s="459"/>
      <c r="U1599" s="459"/>
      <c r="V1599" s="459"/>
      <c r="W1599" s="459"/>
      <c r="X1599" s="459"/>
      <c r="Y1599" s="666"/>
      <c r="Z1599" s="664"/>
      <c r="AA1599" s="665"/>
      <c r="AB1599" s="665"/>
      <c r="AC1599" s="665"/>
      <c r="AD1599" s="665"/>
      <c r="AE1599" s="665"/>
      <c r="AF1599" s="649"/>
      <c r="AG1599" s="650"/>
      <c r="AH1599" s="650"/>
      <c r="AI1599" s="667"/>
    </row>
    <row r="1600" spans="12:35" ht="45" customHeight="1" thickBot="1" x14ac:dyDescent="0.25">
      <c r="L1600" s="645"/>
      <c r="M1600" s="616"/>
      <c r="N1600" s="616"/>
      <c r="O1600" s="616"/>
      <c r="P1600" s="615"/>
      <c r="Q1600" s="616"/>
      <c r="R1600" s="663"/>
      <c r="S1600" s="459"/>
      <c r="T1600" s="459"/>
      <c r="U1600" s="459"/>
      <c r="V1600" s="459"/>
      <c r="W1600" s="459"/>
      <c r="X1600" s="459"/>
      <c r="Y1600" s="666"/>
      <c r="Z1600" s="664"/>
      <c r="AA1600" s="665"/>
      <c r="AB1600" s="665"/>
      <c r="AC1600" s="665"/>
      <c r="AD1600" s="665"/>
      <c r="AE1600" s="665"/>
      <c r="AF1600" s="649"/>
      <c r="AG1600" s="650"/>
      <c r="AH1600" s="650"/>
      <c r="AI1600" s="667"/>
    </row>
    <row r="1601" spans="12:35" ht="45" customHeight="1" thickBot="1" x14ac:dyDescent="0.25">
      <c r="L1601" s="645"/>
      <c r="M1601" s="616"/>
      <c r="N1601" s="616"/>
      <c r="O1601" s="616"/>
      <c r="P1601" s="615"/>
      <c r="Q1601" s="616"/>
      <c r="R1601" s="663"/>
      <c r="S1601" s="459"/>
      <c r="T1601" s="459"/>
      <c r="U1601" s="459"/>
      <c r="V1601" s="459"/>
      <c r="W1601" s="459"/>
      <c r="X1601" s="459"/>
      <c r="Y1601" s="666"/>
      <c r="Z1601" s="664"/>
      <c r="AA1601" s="665"/>
      <c r="AB1601" s="665"/>
      <c r="AC1601" s="665"/>
      <c r="AD1601" s="665"/>
      <c r="AE1601" s="665"/>
      <c r="AF1601" s="649"/>
      <c r="AG1601" s="650"/>
      <c r="AH1601" s="650"/>
      <c r="AI1601" s="667"/>
    </row>
    <row r="1602" spans="12:35" ht="45" customHeight="1" thickBot="1" x14ac:dyDescent="0.25">
      <c r="L1602" s="645"/>
      <c r="M1602" s="616"/>
      <c r="N1602" s="616"/>
      <c r="O1602" s="616"/>
      <c r="P1602" s="615"/>
      <c r="Q1602" s="616"/>
      <c r="R1602" s="663"/>
      <c r="S1602" s="459"/>
      <c r="T1602" s="459"/>
      <c r="U1602" s="459"/>
      <c r="V1602" s="459"/>
      <c r="W1602" s="459"/>
      <c r="X1602" s="459"/>
      <c r="Y1602" s="666"/>
      <c r="Z1602" s="664"/>
      <c r="AA1602" s="665"/>
      <c r="AB1602" s="665"/>
      <c r="AC1602" s="665"/>
      <c r="AD1602" s="665"/>
      <c r="AE1602" s="665"/>
      <c r="AF1602" s="649"/>
      <c r="AG1602" s="650"/>
      <c r="AH1602" s="650"/>
      <c r="AI1602" s="667"/>
    </row>
    <row r="1603" spans="12:35" ht="45" customHeight="1" thickBot="1" x14ac:dyDescent="0.25">
      <c r="L1603" s="645"/>
      <c r="M1603" s="616"/>
      <c r="N1603" s="616"/>
      <c r="O1603" s="616"/>
      <c r="P1603" s="615"/>
      <c r="Q1603" s="616"/>
      <c r="R1603" s="663"/>
      <c r="S1603" s="459"/>
      <c r="T1603" s="459"/>
      <c r="U1603" s="459"/>
      <c r="V1603" s="459"/>
      <c r="W1603" s="459"/>
      <c r="X1603" s="459"/>
      <c r="Y1603" s="666"/>
      <c r="Z1603" s="664"/>
      <c r="AA1603" s="665"/>
      <c r="AB1603" s="665"/>
      <c r="AC1603" s="665"/>
      <c r="AD1603" s="665"/>
      <c r="AE1603" s="665"/>
      <c r="AF1603" s="649"/>
      <c r="AG1603" s="650"/>
      <c r="AH1603" s="650"/>
      <c r="AI1603" s="667"/>
    </row>
    <row r="1604" spans="12:35" ht="45" customHeight="1" thickBot="1" x14ac:dyDescent="0.25">
      <c r="L1604" s="645"/>
      <c r="M1604" s="616"/>
      <c r="N1604" s="616"/>
      <c r="O1604" s="616"/>
      <c r="P1604" s="615"/>
      <c r="Q1604" s="616"/>
      <c r="R1604" s="663"/>
      <c r="S1604" s="459"/>
      <c r="T1604" s="459"/>
      <c r="U1604" s="459"/>
      <c r="V1604" s="459"/>
      <c r="W1604" s="459"/>
      <c r="X1604" s="459"/>
      <c r="Y1604" s="666"/>
      <c r="Z1604" s="664"/>
      <c r="AA1604" s="665"/>
      <c r="AB1604" s="665"/>
      <c r="AC1604" s="665"/>
      <c r="AD1604" s="665"/>
      <c r="AE1604" s="665"/>
      <c r="AF1604" s="649"/>
      <c r="AG1604" s="650"/>
      <c r="AH1604" s="650"/>
      <c r="AI1604" s="667"/>
    </row>
    <row r="1605" spans="12:35" ht="45" customHeight="1" thickBot="1" x14ac:dyDescent="0.25">
      <c r="L1605" s="645"/>
      <c r="M1605" s="616"/>
      <c r="N1605" s="616"/>
      <c r="O1605" s="616"/>
      <c r="P1605" s="615"/>
      <c r="Q1605" s="616"/>
      <c r="R1605" s="663"/>
      <c r="S1605" s="459"/>
      <c r="T1605" s="459"/>
      <c r="U1605" s="459"/>
      <c r="V1605" s="459"/>
      <c r="W1605" s="459"/>
      <c r="X1605" s="459"/>
      <c r="Y1605" s="666"/>
      <c r="Z1605" s="664"/>
      <c r="AA1605" s="665"/>
      <c r="AB1605" s="665"/>
      <c r="AC1605" s="665"/>
      <c r="AD1605" s="665"/>
      <c r="AE1605" s="665"/>
      <c r="AF1605" s="649"/>
      <c r="AG1605" s="650"/>
      <c r="AH1605" s="650"/>
      <c r="AI1605" s="667"/>
    </row>
    <row r="1606" spans="12:35" ht="45" customHeight="1" thickBot="1" x14ac:dyDescent="0.25">
      <c r="L1606" s="645"/>
      <c r="M1606" s="616"/>
      <c r="N1606" s="616"/>
      <c r="O1606" s="616"/>
      <c r="P1606" s="615"/>
      <c r="Q1606" s="616"/>
      <c r="R1606" s="663"/>
      <c r="S1606" s="459"/>
      <c r="T1606" s="459"/>
      <c r="U1606" s="459"/>
      <c r="V1606" s="459"/>
      <c r="W1606" s="459"/>
      <c r="X1606" s="459"/>
      <c r="Y1606" s="666"/>
      <c r="Z1606" s="664"/>
      <c r="AA1606" s="665"/>
      <c r="AB1606" s="665"/>
      <c r="AC1606" s="665"/>
      <c r="AD1606" s="665"/>
      <c r="AE1606" s="665"/>
      <c r="AF1606" s="649"/>
      <c r="AG1606" s="650"/>
      <c r="AH1606" s="650"/>
      <c r="AI1606" s="667"/>
    </row>
    <row r="1607" spans="12:35" ht="45" customHeight="1" thickBot="1" x14ac:dyDescent="0.25">
      <c r="L1607" s="645"/>
      <c r="M1607" s="616"/>
      <c r="N1607" s="616"/>
      <c r="O1607" s="616"/>
      <c r="P1607" s="615"/>
      <c r="Q1607" s="616"/>
      <c r="R1607" s="663"/>
      <c r="S1607" s="459"/>
      <c r="T1607" s="459"/>
      <c r="U1607" s="459"/>
      <c r="V1607" s="459"/>
      <c r="W1607" s="459"/>
      <c r="X1607" s="459"/>
      <c r="Y1607" s="666"/>
      <c r="Z1607" s="664"/>
      <c r="AA1607" s="665"/>
      <c r="AB1607" s="665"/>
      <c r="AC1607" s="665"/>
      <c r="AD1607" s="665"/>
      <c r="AE1607" s="665"/>
      <c r="AF1607" s="649"/>
      <c r="AG1607" s="650"/>
      <c r="AH1607" s="650"/>
      <c r="AI1607" s="667"/>
    </row>
    <row r="1608" spans="12:35" ht="45" customHeight="1" thickBot="1" x14ac:dyDescent="0.25">
      <c r="L1608" s="645"/>
      <c r="M1608" s="616"/>
      <c r="N1608" s="616"/>
      <c r="O1608" s="616"/>
      <c r="P1608" s="615"/>
      <c r="Q1608" s="616"/>
      <c r="R1608" s="663"/>
      <c r="S1608" s="459"/>
      <c r="T1608" s="459"/>
      <c r="U1608" s="459"/>
      <c r="V1608" s="459"/>
      <c r="W1608" s="459"/>
      <c r="X1608" s="459"/>
      <c r="Y1608" s="666"/>
      <c r="Z1608" s="664"/>
      <c r="AA1608" s="665"/>
      <c r="AB1608" s="665"/>
      <c r="AC1608" s="665"/>
      <c r="AD1608" s="665"/>
      <c r="AE1608" s="665"/>
      <c r="AF1608" s="649"/>
      <c r="AG1608" s="650"/>
      <c r="AH1608" s="650"/>
      <c r="AI1608" s="667"/>
    </row>
    <row r="1609" spans="12:35" ht="45" customHeight="1" thickBot="1" x14ac:dyDescent="0.25">
      <c r="L1609" s="645"/>
      <c r="M1609" s="616"/>
      <c r="N1609" s="616"/>
      <c r="O1609" s="616"/>
      <c r="P1609" s="615"/>
      <c r="Q1609" s="616"/>
      <c r="R1609" s="663"/>
      <c r="S1609" s="459"/>
      <c r="T1609" s="459"/>
      <c r="U1609" s="459"/>
      <c r="V1609" s="459"/>
      <c r="W1609" s="459"/>
      <c r="X1609" s="459"/>
      <c r="Y1609" s="666"/>
      <c r="Z1609" s="664"/>
      <c r="AA1609" s="665"/>
      <c r="AB1609" s="665"/>
      <c r="AC1609" s="665"/>
      <c r="AD1609" s="665"/>
      <c r="AE1609" s="665"/>
      <c r="AF1609" s="649"/>
      <c r="AG1609" s="650"/>
      <c r="AH1609" s="650"/>
      <c r="AI1609" s="667"/>
    </row>
    <row r="1610" spans="12:35" ht="45" customHeight="1" thickBot="1" x14ac:dyDescent="0.25">
      <c r="L1610" s="645"/>
      <c r="M1610" s="616"/>
      <c r="N1610" s="616"/>
      <c r="O1610" s="616"/>
      <c r="P1610" s="615"/>
      <c r="Q1610" s="616"/>
      <c r="R1610" s="663"/>
      <c r="S1610" s="459"/>
      <c r="T1610" s="459"/>
      <c r="U1610" s="459"/>
      <c r="V1610" s="459"/>
      <c r="W1610" s="459"/>
      <c r="X1610" s="459"/>
      <c r="Y1610" s="666"/>
      <c r="Z1610" s="664"/>
      <c r="AA1610" s="665"/>
      <c r="AB1610" s="665"/>
      <c r="AC1610" s="665"/>
      <c r="AD1610" s="665"/>
      <c r="AE1610" s="665"/>
      <c r="AF1610" s="649"/>
      <c r="AG1610" s="650"/>
      <c r="AH1610" s="650"/>
      <c r="AI1610" s="667"/>
    </row>
    <row r="1611" spans="12:35" ht="45" customHeight="1" thickBot="1" x14ac:dyDescent="0.25">
      <c r="L1611" s="645"/>
      <c r="M1611" s="616"/>
      <c r="N1611" s="616"/>
      <c r="O1611" s="616"/>
      <c r="P1611" s="615"/>
      <c r="Q1611" s="616"/>
      <c r="R1611" s="663"/>
      <c r="S1611" s="459"/>
      <c r="T1611" s="459"/>
      <c r="U1611" s="459"/>
      <c r="V1611" s="459"/>
      <c r="W1611" s="459"/>
      <c r="X1611" s="459"/>
      <c r="Y1611" s="666"/>
      <c r="Z1611" s="664"/>
      <c r="AA1611" s="665"/>
      <c r="AB1611" s="665"/>
      <c r="AC1611" s="665"/>
      <c r="AD1611" s="665"/>
      <c r="AE1611" s="665"/>
      <c r="AF1611" s="649"/>
      <c r="AG1611" s="650"/>
      <c r="AH1611" s="650"/>
      <c r="AI1611" s="667"/>
    </row>
    <row r="1612" spans="12:35" ht="45" customHeight="1" thickBot="1" x14ac:dyDescent="0.25">
      <c r="L1612" s="645"/>
      <c r="M1612" s="616"/>
      <c r="N1612" s="616"/>
      <c r="O1612" s="616"/>
      <c r="P1612" s="615"/>
      <c r="Q1612" s="616"/>
      <c r="R1612" s="663"/>
      <c r="S1612" s="459"/>
      <c r="T1612" s="459"/>
      <c r="U1612" s="459"/>
      <c r="V1612" s="459"/>
      <c r="W1612" s="459"/>
      <c r="X1612" s="459"/>
      <c r="Y1612" s="666"/>
      <c r="Z1612" s="664"/>
      <c r="AA1612" s="665"/>
      <c r="AB1612" s="665"/>
      <c r="AC1612" s="665"/>
      <c r="AD1612" s="665"/>
      <c r="AE1612" s="665"/>
      <c r="AF1612" s="649"/>
      <c r="AG1612" s="650"/>
      <c r="AH1612" s="650"/>
      <c r="AI1612" s="667"/>
    </row>
    <row r="1613" spans="12:35" ht="45" customHeight="1" thickBot="1" x14ac:dyDescent="0.25">
      <c r="L1613" s="645"/>
      <c r="M1613" s="616"/>
      <c r="N1613" s="616"/>
      <c r="O1613" s="616"/>
      <c r="P1613" s="615"/>
      <c r="Q1613" s="616"/>
      <c r="R1613" s="663"/>
      <c r="S1613" s="459"/>
      <c r="T1613" s="459"/>
      <c r="U1613" s="459"/>
      <c r="V1613" s="459"/>
      <c r="W1613" s="459"/>
      <c r="X1613" s="459"/>
      <c r="Y1613" s="666"/>
      <c r="Z1613" s="664"/>
      <c r="AA1613" s="665"/>
      <c r="AB1613" s="665"/>
      <c r="AC1613" s="665"/>
      <c r="AD1613" s="665"/>
      <c r="AE1613" s="665"/>
      <c r="AF1613" s="649"/>
      <c r="AG1613" s="650"/>
      <c r="AH1613" s="650"/>
      <c r="AI1613" s="667"/>
    </row>
    <row r="1614" spans="12:35" ht="45" customHeight="1" thickBot="1" x14ac:dyDescent="0.25">
      <c r="L1614" s="645"/>
      <c r="M1614" s="616"/>
      <c r="N1614" s="616"/>
      <c r="O1614" s="616"/>
      <c r="P1614" s="615"/>
      <c r="Q1614" s="616"/>
      <c r="R1614" s="663"/>
      <c r="S1614" s="459"/>
      <c r="T1614" s="459"/>
      <c r="U1614" s="459"/>
      <c r="V1614" s="459"/>
      <c r="W1614" s="459"/>
      <c r="X1614" s="459"/>
      <c r="Y1614" s="666"/>
      <c r="Z1614" s="664"/>
      <c r="AA1614" s="665"/>
      <c r="AB1614" s="665"/>
      <c r="AC1614" s="665"/>
      <c r="AD1614" s="665"/>
      <c r="AE1614" s="665"/>
      <c r="AF1614" s="649"/>
      <c r="AG1614" s="650"/>
      <c r="AH1614" s="650"/>
      <c r="AI1614" s="667"/>
    </row>
    <row r="1615" spans="12:35" ht="45" customHeight="1" thickBot="1" x14ac:dyDescent="0.25">
      <c r="L1615" s="645"/>
      <c r="M1615" s="616"/>
      <c r="N1615" s="616"/>
      <c r="O1615" s="616"/>
      <c r="P1615" s="615"/>
      <c r="Q1615" s="616"/>
      <c r="R1615" s="663"/>
      <c r="S1615" s="459"/>
      <c r="T1615" s="459"/>
      <c r="U1615" s="459"/>
      <c r="V1615" s="459"/>
      <c r="W1615" s="459"/>
      <c r="X1615" s="459"/>
      <c r="Y1615" s="666"/>
      <c r="Z1615" s="664"/>
      <c r="AA1615" s="665"/>
      <c r="AB1615" s="665"/>
      <c r="AC1615" s="665"/>
      <c r="AD1615" s="665"/>
      <c r="AE1615" s="665"/>
      <c r="AF1615" s="649"/>
      <c r="AG1615" s="650"/>
      <c r="AH1615" s="650"/>
      <c r="AI1615" s="667"/>
    </row>
    <row r="1616" spans="12:35" ht="45" customHeight="1" thickBot="1" x14ac:dyDescent="0.25">
      <c r="L1616" s="645"/>
      <c r="M1616" s="616"/>
      <c r="N1616" s="616"/>
      <c r="O1616" s="616"/>
      <c r="P1616" s="615"/>
      <c r="Q1616" s="616"/>
      <c r="R1616" s="663"/>
      <c r="S1616" s="459"/>
      <c r="T1616" s="459"/>
      <c r="U1616" s="459"/>
      <c r="V1616" s="459"/>
      <c r="W1616" s="459"/>
      <c r="X1616" s="459"/>
      <c r="Y1616" s="666"/>
      <c r="Z1616" s="664"/>
      <c r="AA1616" s="665"/>
      <c r="AB1616" s="665"/>
      <c r="AC1616" s="665"/>
      <c r="AD1616" s="665"/>
      <c r="AE1616" s="665"/>
      <c r="AF1616" s="649"/>
      <c r="AG1616" s="650"/>
      <c r="AH1616" s="650"/>
      <c r="AI1616" s="667"/>
    </row>
    <row r="1617" spans="12:35" ht="45" customHeight="1" thickBot="1" x14ac:dyDescent="0.25">
      <c r="L1617" s="645"/>
      <c r="M1617" s="616"/>
      <c r="N1617" s="616"/>
      <c r="O1617" s="616"/>
      <c r="P1617" s="615"/>
      <c r="Q1617" s="616"/>
      <c r="R1617" s="663"/>
      <c r="S1617" s="459"/>
      <c r="T1617" s="459"/>
      <c r="U1617" s="459"/>
      <c r="V1617" s="459"/>
      <c r="W1617" s="459"/>
      <c r="X1617" s="459"/>
      <c r="Y1617" s="666"/>
      <c r="Z1617" s="664"/>
      <c r="AA1617" s="665"/>
      <c r="AB1617" s="665"/>
      <c r="AC1617" s="665"/>
      <c r="AD1617" s="665"/>
      <c r="AE1617" s="665"/>
      <c r="AF1617" s="649"/>
      <c r="AG1617" s="650"/>
      <c r="AH1617" s="650"/>
      <c r="AI1617" s="667"/>
    </row>
    <row r="1618" spans="12:35" ht="45" customHeight="1" thickBot="1" x14ac:dyDescent="0.25">
      <c r="L1618" s="645"/>
      <c r="M1618" s="616"/>
      <c r="N1618" s="616"/>
      <c r="O1618" s="616"/>
      <c r="P1618" s="615"/>
      <c r="Q1618" s="616"/>
      <c r="R1618" s="663"/>
      <c r="S1618" s="459"/>
      <c r="T1618" s="459"/>
      <c r="U1618" s="459"/>
      <c r="V1618" s="459"/>
      <c r="W1618" s="459"/>
      <c r="X1618" s="459"/>
      <c r="Y1618" s="666"/>
      <c r="Z1618" s="664"/>
      <c r="AA1618" s="665"/>
      <c r="AB1618" s="665"/>
      <c r="AC1618" s="665"/>
      <c r="AD1618" s="665"/>
      <c r="AE1618" s="665"/>
      <c r="AF1618" s="649"/>
      <c r="AG1618" s="650"/>
      <c r="AH1618" s="650"/>
      <c r="AI1618" s="667"/>
    </row>
    <row r="1619" spans="12:35" ht="45" customHeight="1" thickBot="1" x14ac:dyDescent="0.25">
      <c r="L1619" s="645"/>
      <c r="M1619" s="616"/>
      <c r="N1619" s="616"/>
      <c r="O1619" s="616"/>
      <c r="P1619" s="615"/>
      <c r="Q1619" s="616"/>
      <c r="R1619" s="663"/>
      <c r="S1619" s="459"/>
      <c r="T1619" s="459"/>
      <c r="U1619" s="459"/>
      <c r="V1619" s="459"/>
      <c r="W1619" s="459"/>
      <c r="X1619" s="459"/>
      <c r="Y1619" s="666"/>
      <c r="Z1619" s="664"/>
      <c r="AA1619" s="665"/>
      <c r="AB1619" s="665"/>
      <c r="AC1619" s="665"/>
      <c r="AD1619" s="665"/>
      <c r="AE1619" s="665"/>
      <c r="AF1619" s="649"/>
      <c r="AG1619" s="650"/>
      <c r="AH1619" s="650"/>
      <c r="AI1619" s="667"/>
    </row>
    <row r="1620" spans="12:35" ht="45" customHeight="1" thickBot="1" x14ac:dyDescent="0.25">
      <c r="L1620" s="645"/>
      <c r="M1620" s="616"/>
      <c r="N1620" s="616"/>
      <c r="O1620" s="616"/>
      <c r="P1620" s="615"/>
      <c r="Q1620" s="616"/>
      <c r="R1620" s="663"/>
      <c r="S1620" s="459"/>
      <c r="T1620" s="459"/>
      <c r="U1620" s="459"/>
      <c r="V1620" s="459"/>
      <c r="W1620" s="459"/>
      <c r="X1620" s="459"/>
      <c r="Y1620" s="666"/>
      <c r="Z1620" s="664"/>
      <c r="AA1620" s="665"/>
      <c r="AB1620" s="665"/>
      <c r="AC1620" s="665"/>
      <c r="AD1620" s="665"/>
      <c r="AE1620" s="665"/>
      <c r="AF1620" s="649"/>
      <c r="AG1620" s="650"/>
      <c r="AH1620" s="650"/>
      <c r="AI1620" s="667"/>
    </row>
    <row r="1621" spans="12:35" ht="45" customHeight="1" thickBot="1" x14ac:dyDescent="0.25">
      <c r="L1621" s="645"/>
      <c r="M1621" s="616"/>
      <c r="N1621" s="616"/>
      <c r="O1621" s="616"/>
      <c r="P1621" s="615"/>
      <c r="Q1621" s="616"/>
      <c r="R1621" s="663"/>
      <c r="S1621" s="459"/>
      <c r="T1621" s="459"/>
      <c r="U1621" s="459"/>
      <c r="V1621" s="459"/>
      <c r="W1621" s="459"/>
      <c r="X1621" s="459"/>
      <c r="Y1621" s="666"/>
      <c r="Z1621" s="664"/>
      <c r="AA1621" s="665"/>
      <c r="AB1621" s="665"/>
      <c r="AC1621" s="665"/>
      <c r="AD1621" s="665"/>
      <c r="AE1621" s="665"/>
      <c r="AF1621" s="649"/>
      <c r="AG1621" s="650"/>
      <c r="AH1621" s="650"/>
      <c r="AI1621" s="667"/>
    </row>
    <row r="1622" spans="12:35" ht="45" customHeight="1" thickBot="1" x14ac:dyDescent="0.25">
      <c r="L1622" s="645"/>
      <c r="M1622" s="616"/>
      <c r="N1622" s="616"/>
      <c r="O1622" s="616"/>
      <c r="P1622" s="615"/>
      <c r="Q1622" s="616"/>
      <c r="R1622" s="663"/>
      <c r="S1622" s="459"/>
      <c r="T1622" s="459"/>
      <c r="U1622" s="459"/>
      <c r="V1622" s="459"/>
      <c r="W1622" s="459"/>
      <c r="X1622" s="459"/>
      <c r="Y1622" s="666"/>
      <c r="Z1622" s="664"/>
      <c r="AA1622" s="665"/>
      <c r="AB1622" s="665"/>
      <c r="AC1622" s="665"/>
      <c r="AD1622" s="665"/>
      <c r="AE1622" s="665"/>
      <c r="AF1622" s="649"/>
      <c r="AG1622" s="650"/>
      <c r="AH1622" s="650"/>
      <c r="AI1622" s="667"/>
    </row>
    <row r="1623" spans="12:35" ht="45" customHeight="1" thickBot="1" x14ac:dyDescent="0.25">
      <c r="L1623" s="645"/>
      <c r="M1623" s="616"/>
      <c r="N1623" s="616"/>
      <c r="O1623" s="616"/>
      <c r="P1623" s="615"/>
      <c r="Q1623" s="616"/>
      <c r="R1623" s="663"/>
      <c r="S1623" s="459"/>
      <c r="T1623" s="459"/>
      <c r="U1623" s="459"/>
      <c r="V1623" s="459"/>
      <c r="W1623" s="459"/>
      <c r="X1623" s="459"/>
      <c r="Y1623" s="666"/>
      <c r="Z1623" s="664"/>
      <c r="AA1623" s="665"/>
      <c r="AB1623" s="665"/>
      <c r="AC1623" s="665"/>
      <c r="AD1623" s="665"/>
      <c r="AE1623" s="665"/>
      <c r="AF1623" s="649"/>
      <c r="AG1623" s="650"/>
      <c r="AH1623" s="650"/>
      <c r="AI1623" s="667"/>
    </row>
    <row r="1624" spans="12:35" ht="45" customHeight="1" thickBot="1" x14ac:dyDescent="0.25">
      <c r="L1624" s="645"/>
      <c r="M1624" s="616"/>
      <c r="N1624" s="616"/>
      <c r="O1624" s="616"/>
      <c r="P1624" s="615"/>
      <c r="Q1624" s="616"/>
      <c r="R1624" s="663"/>
      <c r="S1624" s="459"/>
      <c r="T1624" s="459"/>
      <c r="U1624" s="459"/>
      <c r="V1624" s="459"/>
      <c r="W1624" s="459"/>
      <c r="X1624" s="459"/>
      <c r="Y1624" s="666"/>
      <c r="Z1624" s="664"/>
      <c r="AA1624" s="665"/>
      <c r="AB1624" s="665"/>
      <c r="AC1624" s="665"/>
      <c r="AD1624" s="665"/>
      <c r="AE1624" s="665"/>
      <c r="AF1624" s="649"/>
      <c r="AG1624" s="650"/>
      <c r="AH1624" s="650"/>
      <c r="AI1624" s="667"/>
    </row>
    <row r="1625" spans="12:35" ht="45" customHeight="1" thickBot="1" x14ac:dyDescent="0.25">
      <c r="L1625" s="645"/>
      <c r="M1625" s="616"/>
      <c r="N1625" s="616"/>
      <c r="O1625" s="616"/>
      <c r="P1625" s="615"/>
      <c r="Q1625" s="616"/>
      <c r="R1625" s="663"/>
      <c r="S1625" s="459"/>
      <c r="T1625" s="459"/>
      <c r="U1625" s="459"/>
      <c r="V1625" s="459"/>
      <c r="W1625" s="459"/>
      <c r="X1625" s="459"/>
      <c r="Y1625" s="666"/>
      <c r="Z1625" s="664"/>
      <c r="AA1625" s="665"/>
      <c r="AB1625" s="665"/>
      <c r="AC1625" s="665"/>
      <c r="AD1625" s="665"/>
      <c r="AE1625" s="665"/>
      <c r="AF1625" s="649"/>
      <c r="AG1625" s="650"/>
      <c r="AH1625" s="650"/>
      <c r="AI1625" s="667"/>
    </row>
    <row r="1626" spans="12:35" ht="45" customHeight="1" thickBot="1" x14ac:dyDescent="0.25">
      <c r="L1626" s="645"/>
      <c r="M1626" s="616"/>
      <c r="N1626" s="616"/>
      <c r="O1626" s="616"/>
      <c r="P1626" s="615"/>
      <c r="Q1626" s="616"/>
      <c r="R1626" s="663"/>
      <c r="S1626" s="459"/>
      <c r="T1626" s="459"/>
      <c r="U1626" s="459"/>
      <c r="V1626" s="459"/>
      <c r="W1626" s="459"/>
      <c r="X1626" s="459"/>
      <c r="Y1626" s="666"/>
      <c r="Z1626" s="664"/>
      <c r="AA1626" s="665"/>
      <c r="AB1626" s="665"/>
      <c r="AC1626" s="665"/>
      <c r="AD1626" s="665"/>
      <c r="AE1626" s="665"/>
      <c r="AF1626" s="649"/>
      <c r="AG1626" s="650"/>
      <c r="AH1626" s="650"/>
      <c r="AI1626" s="667"/>
    </row>
    <row r="1627" spans="12:35" ht="45" customHeight="1" thickBot="1" x14ac:dyDescent="0.25">
      <c r="L1627" s="645"/>
      <c r="M1627" s="616"/>
      <c r="N1627" s="616"/>
      <c r="O1627" s="616"/>
      <c r="P1627" s="615"/>
      <c r="Q1627" s="616"/>
      <c r="R1627" s="663"/>
      <c r="S1627" s="459"/>
      <c r="T1627" s="459"/>
      <c r="U1627" s="459"/>
      <c r="V1627" s="459"/>
      <c r="W1627" s="459"/>
      <c r="X1627" s="459"/>
      <c r="Y1627" s="666"/>
      <c r="Z1627" s="664"/>
      <c r="AA1627" s="665"/>
      <c r="AB1627" s="665"/>
      <c r="AC1627" s="665"/>
      <c r="AD1627" s="665"/>
      <c r="AE1627" s="665"/>
      <c r="AF1627" s="649"/>
      <c r="AG1627" s="650"/>
      <c r="AH1627" s="650"/>
      <c r="AI1627" s="667"/>
    </row>
    <row r="1628" spans="12:35" ht="45" customHeight="1" thickBot="1" x14ac:dyDescent="0.25">
      <c r="L1628" s="645"/>
      <c r="M1628" s="616"/>
      <c r="N1628" s="616"/>
      <c r="O1628" s="616"/>
      <c r="P1628" s="615"/>
      <c r="Q1628" s="616"/>
      <c r="R1628" s="663"/>
      <c r="S1628" s="459"/>
      <c r="T1628" s="459"/>
      <c r="U1628" s="459"/>
      <c r="V1628" s="459"/>
      <c r="W1628" s="459"/>
      <c r="X1628" s="459"/>
      <c r="Y1628" s="666"/>
      <c r="Z1628" s="664"/>
      <c r="AA1628" s="665"/>
      <c r="AB1628" s="665"/>
      <c r="AC1628" s="665"/>
      <c r="AD1628" s="665"/>
      <c r="AE1628" s="665"/>
      <c r="AF1628" s="649"/>
      <c r="AG1628" s="650"/>
      <c r="AH1628" s="650"/>
      <c r="AI1628" s="667"/>
    </row>
    <row r="1629" spans="12:35" ht="45" customHeight="1" thickBot="1" x14ac:dyDescent="0.25">
      <c r="L1629" s="645"/>
      <c r="M1629" s="616"/>
      <c r="N1629" s="616"/>
      <c r="O1629" s="616"/>
      <c r="P1629" s="615"/>
      <c r="Q1629" s="616"/>
      <c r="R1629" s="663"/>
      <c r="S1629" s="459"/>
      <c r="T1629" s="459"/>
      <c r="U1629" s="459"/>
      <c r="V1629" s="459"/>
      <c r="W1629" s="459"/>
      <c r="X1629" s="459"/>
      <c r="Y1629" s="666"/>
      <c r="Z1629" s="664"/>
      <c r="AA1629" s="665"/>
      <c r="AB1629" s="665"/>
      <c r="AC1629" s="665"/>
      <c r="AD1629" s="665"/>
      <c r="AE1629" s="665"/>
      <c r="AF1629" s="649"/>
      <c r="AG1629" s="650"/>
      <c r="AH1629" s="650"/>
      <c r="AI1629" s="667"/>
    </row>
    <row r="1630" spans="12:35" ht="45" customHeight="1" thickBot="1" x14ac:dyDescent="0.25">
      <c r="L1630" s="645"/>
      <c r="M1630" s="616"/>
      <c r="N1630" s="616"/>
      <c r="O1630" s="616"/>
      <c r="P1630" s="615"/>
      <c r="Q1630" s="616"/>
      <c r="R1630" s="663"/>
      <c r="S1630" s="459"/>
      <c r="T1630" s="459"/>
      <c r="U1630" s="459"/>
      <c r="V1630" s="459"/>
      <c r="W1630" s="459"/>
      <c r="X1630" s="459"/>
      <c r="Y1630" s="666"/>
      <c r="Z1630" s="664"/>
      <c r="AA1630" s="665"/>
      <c r="AB1630" s="665"/>
      <c r="AC1630" s="665"/>
      <c r="AD1630" s="665"/>
      <c r="AE1630" s="665"/>
      <c r="AF1630" s="649"/>
      <c r="AG1630" s="650"/>
      <c r="AH1630" s="650"/>
      <c r="AI1630" s="667"/>
    </row>
    <row r="1631" spans="12:35" ht="45" customHeight="1" thickBot="1" x14ac:dyDescent="0.25">
      <c r="L1631" s="645"/>
      <c r="M1631" s="616"/>
      <c r="N1631" s="616"/>
      <c r="O1631" s="616"/>
      <c r="P1631" s="615"/>
      <c r="Q1631" s="616"/>
      <c r="R1631" s="663"/>
      <c r="S1631" s="459"/>
      <c r="T1631" s="459"/>
      <c r="U1631" s="459"/>
      <c r="V1631" s="459"/>
      <c r="W1631" s="459"/>
      <c r="X1631" s="459"/>
      <c r="Y1631" s="666"/>
      <c r="Z1631" s="664"/>
      <c r="AA1631" s="665"/>
      <c r="AB1631" s="665"/>
      <c r="AC1631" s="665"/>
      <c r="AD1631" s="665"/>
      <c r="AE1631" s="665"/>
      <c r="AF1631" s="649"/>
      <c r="AG1631" s="650"/>
      <c r="AH1631" s="650"/>
      <c r="AI1631" s="667"/>
    </row>
    <row r="1632" spans="12:35" ht="45" customHeight="1" thickBot="1" x14ac:dyDescent="0.25">
      <c r="L1632" s="645"/>
      <c r="M1632" s="616"/>
      <c r="N1632" s="616"/>
      <c r="O1632" s="616"/>
      <c r="P1632" s="615"/>
      <c r="Q1632" s="616"/>
      <c r="R1632" s="663"/>
      <c r="S1632" s="459"/>
      <c r="T1632" s="459"/>
      <c r="U1632" s="459"/>
      <c r="V1632" s="459"/>
      <c r="W1632" s="459"/>
      <c r="X1632" s="459"/>
      <c r="Y1632" s="666"/>
      <c r="Z1632" s="664"/>
      <c r="AA1632" s="665"/>
      <c r="AB1632" s="665"/>
      <c r="AC1632" s="665"/>
      <c r="AD1632" s="665"/>
      <c r="AE1632" s="665"/>
      <c r="AF1632" s="649"/>
      <c r="AG1632" s="650"/>
      <c r="AH1632" s="650"/>
      <c r="AI1632" s="667"/>
    </row>
    <row r="1633" spans="12:35" ht="45" customHeight="1" thickBot="1" x14ac:dyDescent="0.25">
      <c r="L1633" s="645"/>
      <c r="M1633" s="616"/>
      <c r="N1633" s="616"/>
      <c r="O1633" s="616"/>
      <c r="P1633" s="615"/>
      <c r="Q1633" s="616"/>
      <c r="R1633" s="663"/>
      <c r="S1633" s="459"/>
      <c r="T1633" s="459"/>
      <c r="U1633" s="459"/>
      <c r="V1633" s="459"/>
      <c r="W1633" s="459"/>
      <c r="X1633" s="459"/>
      <c r="Y1633" s="666"/>
      <c r="Z1633" s="664"/>
      <c r="AA1633" s="665"/>
      <c r="AB1633" s="665"/>
      <c r="AC1633" s="665"/>
      <c r="AD1633" s="665"/>
      <c r="AE1633" s="665"/>
      <c r="AF1633" s="649"/>
      <c r="AG1633" s="650"/>
      <c r="AH1633" s="650"/>
      <c r="AI1633" s="667"/>
    </row>
    <row r="1634" spans="12:35" ht="45" customHeight="1" thickBot="1" x14ac:dyDescent="0.25">
      <c r="L1634" s="645"/>
      <c r="M1634" s="616"/>
      <c r="N1634" s="616"/>
      <c r="O1634" s="616"/>
      <c r="P1634" s="615"/>
      <c r="Q1634" s="616"/>
      <c r="R1634" s="663"/>
      <c r="S1634" s="459"/>
      <c r="T1634" s="459"/>
      <c r="U1634" s="459"/>
      <c r="V1634" s="459"/>
      <c r="W1634" s="459"/>
      <c r="X1634" s="459"/>
      <c r="Y1634" s="666"/>
      <c r="Z1634" s="664"/>
      <c r="AA1634" s="665"/>
      <c r="AB1634" s="665"/>
      <c r="AC1634" s="665"/>
      <c r="AD1634" s="665"/>
      <c r="AE1634" s="665"/>
      <c r="AF1634" s="649"/>
      <c r="AG1634" s="650"/>
      <c r="AH1634" s="650"/>
      <c r="AI1634" s="667"/>
    </row>
    <row r="1635" spans="12:35" ht="45" customHeight="1" thickBot="1" x14ac:dyDescent="0.25">
      <c r="L1635" s="645"/>
      <c r="M1635" s="616"/>
      <c r="N1635" s="616"/>
      <c r="O1635" s="616"/>
      <c r="P1635" s="615"/>
      <c r="Q1635" s="616"/>
      <c r="R1635" s="663"/>
      <c r="S1635" s="459"/>
      <c r="T1635" s="459"/>
      <c r="U1635" s="459"/>
      <c r="V1635" s="459"/>
      <c r="W1635" s="459"/>
      <c r="X1635" s="459"/>
      <c r="Y1635" s="666"/>
      <c r="Z1635" s="664"/>
      <c r="AA1635" s="665"/>
      <c r="AB1635" s="665"/>
      <c r="AC1635" s="665"/>
      <c r="AD1635" s="665"/>
      <c r="AE1635" s="665"/>
      <c r="AF1635" s="649"/>
      <c r="AG1635" s="650"/>
      <c r="AH1635" s="650"/>
      <c r="AI1635" s="667"/>
    </row>
    <row r="1636" spans="12:35" ht="45" customHeight="1" thickBot="1" x14ac:dyDescent="0.25">
      <c r="L1636" s="645"/>
      <c r="M1636" s="616"/>
      <c r="N1636" s="616"/>
      <c r="O1636" s="616"/>
      <c r="P1636" s="615"/>
      <c r="Q1636" s="616"/>
      <c r="R1636" s="663"/>
      <c r="S1636" s="459"/>
      <c r="T1636" s="459"/>
      <c r="U1636" s="459"/>
      <c r="V1636" s="459"/>
      <c r="W1636" s="459"/>
      <c r="X1636" s="459"/>
      <c r="Y1636" s="666"/>
      <c r="Z1636" s="664"/>
      <c r="AA1636" s="665"/>
      <c r="AB1636" s="665"/>
      <c r="AC1636" s="665"/>
      <c r="AD1636" s="665"/>
      <c r="AE1636" s="665"/>
      <c r="AF1636" s="649"/>
      <c r="AG1636" s="650"/>
      <c r="AH1636" s="650"/>
      <c r="AI1636" s="667"/>
    </row>
    <row r="1637" spans="12:35" ht="45" customHeight="1" thickBot="1" x14ac:dyDescent="0.25">
      <c r="L1637" s="645"/>
      <c r="M1637" s="616"/>
      <c r="N1637" s="616"/>
      <c r="O1637" s="616"/>
      <c r="P1637" s="615"/>
      <c r="Q1637" s="616"/>
      <c r="R1637" s="663"/>
      <c r="S1637" s="459"/>
      <c r="T1637" s="459"/>
      <c r="U1637" s="459"/>
      <c r="V1637" s="459"/>
      <c r="W1637" s="459"/>
      <c r="X1637" s="459"/>
      <c r="Y1637" s="666"/>
      <c r="Z1637" s="664"/>
      <c r="AA1637" s="665"/>
      <c r="AB1637" s="665"/>
      <c r="AC1637" s="665"/>
      <c r="AD1637" s="665"/>
      <c r="AE1637" s="665"/>
      <c r="AF1637" s="649"/>
      <c r="AG1637" s="650"/>
      <c r="AH1637" s="650"/>
      <c r="AI1637" s="667"/>
    </row>
    <row r="1638" spans="12:35" ht="45" customHeight="1" thickBot="1" x14ac:dyDescent="0.25">
      <c r="L1638" s="645"/>
      <c r="M1638" s="616"/>
      <c r="N1638" s="616"/>
      <c r="O1638" s="616"/>
      <c r="P1638" s="615"/>
      <c r="Q1638" s="616"/>
      <c r="R1638" s="663"/>
      <c r="S1638" s="459"/>
      <c r="T1638" s="459"/>
      <c r="U1638" s="459"/>
      <c r="V1638" s="459"/>
      <c r="W1638" s="459"/>
      <c r="X1638" s="459"/>
      <c r="Y1638" s="666"/>
      <c r="Z1638" s="664"/>
      <c r="AA1638" s="665"/>
      <c r="AB1638" s="665"/>
      <c r="AC1638" s="665"/>
      <c r="AD1638" s="665"/>
      <c r="AE1638" s="665"/>
      <c r="AF1638" s="649"/>
      <c r="AG1638" s="650"/>
      <c r="AH1638" s="650"/>
      <c r="AI1638" s="667"/>
    </row>
    <row r="1639" spans="12:35" ht="45" customHeight="1" thickBot="1" x14ac:dyDescent="0.25">
      <c r="L1639" s="645"/>
      <c r="M1639" s="616"/>
      <c r="N1639" s="616"/>
      <c r="O1639" s="616"/>
      <c r="P1639" s="615"/>
      <c r="Q1639" s="616"/>
      <c r="R1639" s="663"/>
      <c r="S1639" s="459"/>
      <c r="T1639" s="459"/>
      <c r="U1639" s="459"/>
      <c r="V1639" s="459"/>
      <c r="W1639" s="459"/>
      <c r="X1639" s="459"/>
      <c r="Y1639" s="666"/>
      <c r="Z1639" s="664"/>
      <c r="AA1639" s="665"/>
      <c r="AB1639" s="665"/>
      <c r="AC1639" s="665"/>
      <c r="AD1639" s="665"/>
      <c r="AE1639" s="665"/>
      <c r="AF1639" s="649"/>
      <c r="AG1639" s="650"/>
      <c r="AH1639" s="650"/>
      <c r="AI1639" s="667"/>
    </row>
    <row r="1640" spans="12:35" ht="45" customHeight="1" thickBot="1" x14ac:dyDescent="0.25">
      <c r="L1640" s="645"/>
      <c r="M1640" s="616"/>
      <c r="N1640" s="616"/>
      <c r="O1640" s="616"/>
      <c r="P1640" s="615"/>
      <c r="Q1640" s="616"/>
      <c r="R1640" s="663"/>
      <c r="S1640" s="459"/>
      <c r="T1640" s="459"/>
      <c r="U1640" s="459"/>
      <c r="V1640" s="459"/>
      <c r="W1640" s="459"/>
      <c r="X1640" s="459"/>
      <c r="Y1640" s="666"/>
      <c r="Z1640" s="664"/>
      <c r="AA1640" s="665"/>
      <c r="AB1640" s="665"/>
      <c r="AC1640" s="665"/>
      <c r="AD1640" s="665"/>
      <c r="AE1640" s="665"/>
      <c r="AF1640" s="649"/>
      <c r="AG1640" s="650"/>
      <c r="AH1640" s="650"/>
      <c r="AI1640" s="667"/>
    </row>
    <row r="1641" spans="12:35" ht="45" customHeight="1" thickBot="1" x14ac:dyDescent="0.25">
      <c r="L1641" s="645"/>
      <c r="M1641" s="616"/>
      <c r="N1641" s="616"/>
      <c r="O1641" s="616"/>
      <c r="P1641" s="615"/>
      <c r="Q1641" s="616"/>
      <c r="R1641" s="663"/>
      <c r="S1641" s="459"/>
      <c r="T1641" s="459"/>
      <c r="U1641" s="459"/>
      <c r="V1641" s="459"/>
      <c r="W1641" s="459"/>
      <c r="X1641" s="459"/>
      <c r="Y1641" s="666"/>
      <c r="Z1641" s="664"/>
      <c r="AA1641" s="665"/>
      <c r="AB1641" s="665"/>
      <c r="AC1641" s="665"/>
      <c r="AD1641" s="665"/>
      <c r="AE1641" s="665"/>
      <c r="AF1641" s="649"/>
      <c r="AG1641" s="650"/>
      <c r="AH1641" s="650"/>
      <c r="AI1641" s="667"/>
    </row>
    <row r="1642" spans="12:35" ht="45" customHeight="1" thickBot="1" x14ac:dyDescent="0.25">
      <c r="L1642" s="645"/>
      <c r="M1642" s="616"/>
      <c r="N1642" s="616"/>
      <c r="O1642" s="616"/>
      <c r="P1642" s="615"/>
      <c r="Q1642" s="616"/>
      <c r="R1642" s="663"/>
      <c r="S1642" s="459"/>
      <c r="T1642" s="459"/>
      <c r="U1642" s="459"/>
      <c r="V1642" s="459"/>
      <c r="W1642" s="459"/>
      <c r="X1642" s="459"/>
      <c r="Y1642" s="666"/>
      <c r="Z1642" s="664"/>
      <c r="AA1642" s="665"/>
      <c r="AB1642" s="665"/>
      <c r="AC1642" s="665"/>
      <c r="AD1642" s="665"/>
      <c r="AE1642" s="665"/>
      <c r="AF1642" s="649"/>
      <c r="AG1642" s="650"/>
      <c r="AH1642" s="650"/>
      <c r="AI1642" s="667"/>
    </row>
    <row r="1643" spans="12:35" ht="45" customHeight="1" thickBot="1" x14ac:dyDescent="0.25">
      <c r="L1643" s="645"/>
      <c r="M1643" s="616"/>
      <c r="N1643" s="616"/>
      <c r="O1643" s="616"/>
      <c r="P1643" s="615"/>
      <c r="Q1643" s="616"/>
      <c r="R1643" s="663"/>
      <c r="S1643" s="459"/>
      <c r="T1643" s="459"/>
      <c r="U1643" s="459"/>
      <c r="V1643" s="459"/>
      <c r="W1643" s="459"/>
      <c r="X1643" s="459"/>
      <c r="Y1643" s="666"/>
      <c r="Z1643" s="664"/>
      <c r="AA1643" s="665"/>
      <c r="AB1643" s="665"/>
      <c r="AC1643" s="665"/>
      <c r="AD1643" s="665"/>
      <c r="AE1643" s="665"/>
      <c r="AF1643" s="649"/>
      <c r="AG1643" s="650"/>
      <c r="AH1643" s="650"/>
      <c r="AI1643" s="667"/>
    </row>
    <row r="1644" spans="12:35" ht="45" customHeight="1" thickBot="1" x14ac:dyDescent="0.25">
      <c r="L1644" s="645"/>
      <c r="M1644" s="616"/>
      <c r="N1644" s="616"/>
      <c r="O1644" s="616"/>
      <c r="P1644" s="615"/>
      <c r="Q1644" s="616"/>
      <c r="R1644" s="663"/>
      <c r="S1644" s="459"/>
      <c r="T1644" s="459"/>
      <c r="U1644" s="459"/>
      <c r="V1644" s="459"/>
      <c r="W1644" s="459"/>
      <c r="X1644" s="459"/>
      <c r="Y1644" s="666"/>
      <c r="Z1644" s="664"/>
      <c r="AA1644" s="665"/>
      <c r="AB1644" s="665"/>
      <c r="AC1644" s="665"/>
      <c r="AD1644" s="665"/>
      <c r="AE1644" s="665"/>
      <c r="AF1644" s="649"/>
      <c r="AG1644" s="650"/>
      <c r="AH1644" s="650"/>
      <c r="AI1644" s="667"/>
    </row>
    <row r="1645" spans="12:35" ht="45" customHeight="1" thickBot="1" x14ac:dyDescent="0.25">
      <c r="L1645" s="645"/>
      <c r="M1645" s="616"/>
      <c r="N1645" s="616"/>
      <c r="O1645" s="616"/>
      <c r="P1645" s="615"/>
      <c r="Q1645" s="616"/>
      <c r="R1645" s="663"/>
      <c r="S1645" s="459"/>
      <c r="T1645" s="459"/>
      <c r="U1645" s="459"/>
      <c r="V1645" s="459"/>
      <c r="W1645" s="459"/>
      <c r="X1645" s="459"/>
      <c r="Y1645" s="666"/>
      <c r="Z1645" s="664"/>
      <c r="AA1645" s="665"/>
      <c r="AB1645" s="665"/>
      <c r="AC1645" s="665"/>
      <c r="AD1645" s="665"/>
      <c r="AE1645" s="665"/>
      <c r="AF1645" s="649"/>
      <c r="AG1645" s="650"/>
      <c r="AH1645" s="650"/>
      <c r="AI1645" s="667"/>
    </row>
    <row r="1646" spans="12:35" ht="45" customHeight="1" thickBot="1" x14ac:dyDescent="0.25">
      <c r="L1646" s="645"/>
      <c r="M1646" s="616"/>
      <c r="N1646" s="616"/>
      <c r="O1646" s="616"/>
      <c r="P1646" s="615"/>
      <c r="Q1646" s="616"/>
      <c r="R1646" s="663"/>
      <c r="S1646" s="459"/>
      <c r="T1646" s="459"/>
      <c r="U1646" s="459"/>
      <c r="V1646" s="459"/>
      <c r="W1646" s="459"/>
      <c r="X1646" s="459"/>
      <c r="Y1646" s="666"/>
      <c r="Z1646" s="664"/>
      <c r="AA1646" s="665"/>
      <c r="AB1646" s="665"/>
      <c r="AC1646" s="665"/>
      <c r="AD1646" s="665"/>
      <c r="AE1646" s="665"/>
      <c r="AF1646" s="649"/>
      <c r="AG1646" s="650"/>
      <c r="AH1646" s="650"/>
      <c r="AI1646" s="667"/>
    </row>
    <row r="1647" spans="12:35" ht="45" customHeight="1" thickBot="1" x14ac:dyDescent="0.25">
      <c r="L1647" s="645"/>
      <c r="M1647" s="616"/>
      <c r="N1647" s="616"/>
      <c r="O1647" s="616"/>
      <c r="P1647" s="615"/>
      <c r="Q1647" s="616"/>
      <c r="R1647" s="663"/>
      <c r="S1647" s="459"/>
      <c r="T1647" s="459"/>
      <c r="U1647" s="459"/>
      <c r="V1647" s="459"/>
      <c r="W1647" s="459"/>
      <c r="X1647" s="459"/>
      <c r="Y1647" s="666"/>
      <c r="Z1647" s="664"/>
      <c r="AA1647" s="665"/>
      <c r="AB1647" s="665"/>
      <c r="AC1647" s="665"/>
      <c r="AD1647" s="665"/>
      <c r="AE1647" s="665"/>
      <c r="AF1647" s="649"/>
      <c r="AG1647" s="650"/>
      <c r="AH1647" s="650"/>
      <c r="AI1647" s="667"/>
    </row>
    <row r="1648" spans="12:35" ht="45" customHeight="1" thickBot="1" x14ac:dyDescent="0.25">
      <c r="L1648" s="645"/>
      <c r="M1648" s="616"/>
      <c r="N1648" s="616"/>
      <c r="O1648" s="616"/>
      <c r="P1648" s="615"/>
      <c r="Q1648" s="616"/>
      <c r="R1648" s="663"/>
      <c r="S1648" s="459"/>
      <c r="T1648" s="459"/>
      <c r="U1648" s="459"/>
      <c r="V1648" s="459"/>
      <c r="W1648" s="459"/>
      <c r="X1648" s="459"/>
      <c r="Y1648" s="666"/>
      <c r="Z1648" s="664"/>
      <c r="AA1648" s="665"/>
      <c r="AB1648" s="665"/>
      <c r="AC1648" s="665"/>
      <c r="AD1648" s="665"/>
      <c r="AE1648" s="665"/>
      <c r="AF1648" s="649"/>
      <c r="AG1648" s="650"/>
      <c r="AH1648" s="650"/>
      <c r="AI1648" s="667"/>
    </row>
    <row r="1649" spans="12:35" ht="45" customHeight="1" thickBot="1" x14ac:dyDescent="0.25">
      <c r="L1649" s="645"/>
      <c r="M1649" s="616"/>
      <c r="N1649" s="616"/>
      <c r="O1649" s="616"/>
      <c r="P1649" s="615"/>
      <c r="Q1649" s="616"/>
      <c r="R1649" s="663"/>
      <c r="S1649" s="459"/>
      <c r="T1649" s="459"/>
      <c r="U1649" s="459"/>
      <c r="V1649" s="459"/>
      <c r="W1649" s="459"/>
      <c r="X1649" s="459"/>
      <c r="Y1649" s="666"/>
      <c r="Z1649" s="664"/>
      <c r="AA1649" s="665"/>
      <c r="AB1649" s="665"/>
      <c r="AC1649" s="665"/>
      <c r="AD1649" s="665"/>
      <c r="AE1649" s="665"/>
      <c r="AF1649" s="649"/>
      <c r="AG1649" s="650"/>
      <c r="AH1649" s="650"/>
      <c r="AI1649" s="667"/>
    </row>
    <row r="1650" spans="12:35" ht="45" customHeight="1" thickBot="1" x14ac:dyDescent="0.25">
      <c r="L1650" s="645"/>
      <c r="M1650" s="616"/>
      <c r="N1650" s="616"/>
      <c r="O1650" s="616"/>
      <c r="P1650" s="615"/>
      <c r="Q1650" s="616"/>
      <c r="R1650" s="663"/>
      <c r="S1650" s="459"/>
      <c r="T1650" s="459"/>
      <c r="U1650" s="459"/>
      <c r="V1650" s="459"/>
      <c r="W1650" s="459"/>
      <c r="X1650" s="459"/>
      <c r="Y1650" s="666"/>
      <c r="Z1650" s="664"/>
      <c r="AA1650" s="665"/>
      <c r="AB1650" s="665"/>
      <c r="AC1650" s="665"/>
      <c r="AD1650" s="665"/>
      <c r="AE1650" s="665"/>
      <c r="AF1650" s="649"/>
      <c r="AG1650" s="650"/>
      <c r="AH1650" s="650"/>
      <c r="AI1650" s="667"/>
    </row>
    <row r="1651" spans="12:35" ht="45" customHeight="1" thickBot="1" x14ac:dyDescent="0.25">
      <c r="L1651" s="645"/>
      <c r="M1651" s="616"/>
      <c r="N1651" s="616"/>
      <c r="O1651" s="616"/>
      <c r="P1651" s="615"/>
      <c r="Q1651" s="616"/>
      <c r="R1651" s="663"/>
      <c r="S1651" s="459"/>
      <c r="T1651" s="459"/>
      <c r="U1651" s="459"/>
      <c r="V1651" s="459"/>
      <c r="W1651" s="459"/>
      <c r="X1651" s="459"/>
      <c r="Y1651" s="666"/>
      <c r="Z1651" s="664"/>
      <c r="AA1651" s="665"/>
      <c r="AB1651" s="665"/>
      <c r="AC1651" s="665"/>
      <c r="AD1651" s="665"/>
      <c r="AE1651" s="665"/>
      <c r="AF1651" s="649"/>
      <c r="AG1651" s="650"/>
      <c r="AH1651" s="650"/>
      <c r="AI1651" s="667"/>
    </row>
    <row r="1652" spans="12:35" ht="45" customHeight="1" thickBot="1" x14ac:dyDescent="0.25">
      <c r="L1652" s="645"/>
      <c r="M1652" s="616"/>
      <c r="N1652" s="616"/>
      <c r="O1652" s="616"/>
      <c r="P1652" s="615"/>
      <c r="Q1652" s="616"/>
      <c r="R1652" s="663"/>
      <c r="S1652" s="459"/>
      <c r="T1652" s="459"/>
      <c r="U1652" s="459"/>
      <c r="V1652" s="459"/>
      <c r="W1652" s="459"/>
      <c r="X1652" s="459"/>
      <c r="Y1652" s="666"/>
      <c r="Z1652" s="664"/>
      <c r="AA1652" s="665"/>
      <c r="AB1652" s="665"/>
      <c r="AC1652" s="665"/>
      <c r="AD1652" s="665"/>
      <c r="AE1652" s="665"/>
      <c r="AF1652" s="649"/>
      <c r="AG1652" s="650"/>
      <c r="AH1652" s="650"/>
      <c r="AI1652" s="667"/>
    </row>
    <row r="1653" spans="12:35" ht="45" customHeight="1" thickBot="1" x14ac:dyDescent="0.25">
      <c r="L1653" s="645"/>
      <c r="M1653" s="616"/>
      <c r="N1653" s="616"/>
      <c r="O1653" s="616"/>
      <c r="P1653" s="615"/>
      <c r="Q1653" s="616"/>
      <c r="R1653" s="663"/>
      <c r="S1653" s="459"/>
      <c r="T1653" s="459"/>
      <c r="U1653" s="459"/>
      <c r="V1653" s="459"/>
      <c r="W1653" s="459"/>
      <c r="X1653" s="459"/>
      <c r="Y1653" s="666"/>
      <c r="Z1653" s="664"/>
      <c r="AA1653" s="665"/>
      <c r="AB1653" s="665"/>
      <c r="AC1653" s="665"/>
      <c r="AD1653" s="665"/>
      <c r="AE1653" s="665"/>
      <c r="AF1653" s="649"/>
      <c r="AG1653" s="650"/>
      <c r="AH1653" s="650"/>
      <c r="AI1653" s="667"/>
    </row>
    <row r="1654" spans="12:35" ht="45" customHeight="1" thickBot="1" x14ac:dyDescent="0.25">
      <c r="L1654" s="645"/>
      <c r="M1654" s="616"/>
      <c r="N1654" s="616"/>
      <c r="O1654" s="616"/>
      <c r="P1654" s="615"/>
      <c r="Q1654" s="616"/>
      <c r="R1654" s="663"/>
      <c r="S1654" s="459"/>
      <c r="T1654" s="459"/>
      <c r="U1654" s="459"/>
      <c r="V1654" s="459"/>
      <c r="W1654" s="459"/>
      <c r="X1654" s="459"/>
      <c r="Y1654" s="666"/>
      <c r="Z1654" s="664"/>
      <c r="AA1654" s="665"/>
      <c r="AB1654" s="665"/>
      <c r="AC1654" s="665"/>
      <c r="AD1654" s="665"/>
      <c r="AE1654" s="665"/>
      <c r="AF1654" s="649"/>
      <c r="AG1654" s="650"/>
      <c r="AH1654" s="650"/>
      <c r="AI1654" s="667"/>
    </row>
    <row r="1655" spans="12:35" ht="45" customHeight="1" thickBot="1" x14ac:dyDescent="0.25">
      <c r="L1655" s="645"/>
      <c r="M1655" s="616"/>
      <c r="N1655" s="616"/>
      <c r="O1655" s="616"/>
      <c r="P1655" s="615"/>
      <c r="Q1655" s="616"/>
      <c r="R1655" s="663"/>
      <c r="S1655" s="459"/>
      <c r="T1655" s="459"/>
      <c r="U1655" s="459"/>
      <c r="V1655" s="459"/>
      <c r="W1655" s="459"/>
      <c r="X1655" s="459"/>
      <c r="Y1655" s="666"/>
      <c r="Z1655" s="664"/>
      <c r="AA1655" s="665"/>
      <c r="AB1655" s="665"/>
      <c r="AC1655" s="665"/>
      <c r="AD1655" s="665"/>
      <c r="AE1655" s="665"/>
      <c r="AF1655" s="649"/>
      <c r="AG1655" s="650"/>
      <c r="AH1655" s="650"/>
      <c r="AI1655" s="667"/>
    </row>
    <row r="1656" spans="12:35" ht="45" customHeight="1" thickBot="1" x14ac:dyDescent="0.25">
      <c r="L1656" s="645"/>
      <c r="M1656" s="616"/>
      <c r="N1656" s="616"/>
      <c r="O1656" s="616"/>
      <c r="P1656" s="615"/>
      <c r="Q1656" s="616"/>
      <c r="R1656" s="663"/>
      <c r="S1656" s="459"/>
      <c r="T1656" s="459"/>
      <c r="U1656" s="459"/>
      <c r="V1656" s="459"/>
      <c r="W1656" s="459"/>
      <c r="X1656" s="459"/>
      <c r="Y1656" s="666"/>
      <c r="Z1656" s="664"/>
      <c r="AA1656" s="665"/>
      <c r="AB1656" s="665"/>
      <c r="AC1656" s="665"/>
      <c r="AD1656" s="665"/>
      <c r="AE1656" s="665"/>
      <c r="AF1656" s="649"/>
      <c r="AG1656" s="650"/>
      <c r="AH1656" s="650"/>
      <c r="AI1656" s="667"/>
    </row>
    <row r="1657" spans="12:35" ht="45" customHeight="1" thickBot="1" x14ac:dyDescent="0.25">
      <c r="L1657" s="645"/>
      <c r="M1657" s="616"/>
      <c r="N1657" s="616"/>
      <c r="O1657" s="616"/>
      <c r="P1657" s="615"/>
      <c r="Q1657" s="616"/>
      <c r="R1657" s="663"/>
      <c r="S1657" s="459"/>
      <c r="T1657" s="459"/>
      <c r="U1657" s="459"/>
      <c r="V1657" s="459"/>
      <c r="W1657" s="459"/>
      <c r="X1657" s="459"/>
      <c r="Y1657" s="666"/>
      <c r="Z1657" s="664"/>
      <c r="AA1657" s="665"/>
      <c r="AB1657" s="665"/>
      <c r="AC1657" s="665"/>
      <c r="AD1657" s="665"/>
      <c r="AE1657" s="665"/>
      <c r="AF1657" s="649"/>
      <c r="AG1657" s="650"/>
      <c r="AH1657" s="650"/>
      <c r="AI1657" s="667"/>
    </row>
    <row r="1658" spans="12:35" ht="45" customHeight="1" thickBot="1" x14ac:dyDescent="0.25">
      <c r="L1658" s="645"/>
      <c r="M1658" s="616"/>
      <c r="N1658" s="616"/>
      <c r="O1658" s="616"/>
      <c r="P1658" s="615"/>
      <c r="Q1658" s="616"/>
      <c r="R1658" s="663"/>
      <c r="S1658" s="459"/>
      <c r="T1658" s="459"/>
      <c r="U1658" s="459"/>
      <c r="V1658" s="459"/>
      <c r="W1658" s="459"/>
      <c r="X1658" s="459"/>
      <c r="Y1658" s="666"/>
      <c r="Z1658" s="664"/>
      <c r="AA1658" s="665"/>
      <c r="AB1658" s="665"/>
      <c r="AC1658" s="665"/>
      <c r="AD1658" s="665"/>
      <c r="AE1658" s="665"/>
      <c r="AF1658" s="649"/>
      <c r="AG1658" s="650"/>
      <c r="AH1658" s="650"/>
      <c r="AI1658" s="667"/>
    </row>
    <row r="1659" spans="12:35" ht="45" customHeight="1" thickBot="1" x14ac:dyDescent="0.25">
      <c r="L1659" s="645"/>
      <c r="M1659" s="616"/>
      <c r="N1659" s="616"/>
      <c r="O1659" s="616"/>
      <c r="P1659" s="615"/>
      <c r="Q1659" s="616"/>
      <c r="R1659" s="663"/>
      <c r="S1659" s="459"/>
      <c r="T1659" s="459"/>
      <c r="U1659" s="459"/>
      <c r="V1659" s="459"/>
      <c r="W1659" s="459"/>
      <c r="X1659" s="459"/>
      <c r="Y1659" s="666"/>
      <c r="Z1659" s="664"/>
      <c r="AA1659" s="665"/>
      <c r="AB1659" s="665"/>
      <c r="AC1659" s="665"/>
      <c r="AD1659" s="665"/>
      <c r="AE1659" s="665"/>
      <c r="AF1659" s="649"/>
      <c r="AG1659" s="650"/>
      <c r="AH1659" s="650"/>
      <c r="AI1659" s="667"/>
    </row>
    <row r="1660" spans="12:35" ht="45" customHeight="1" thickBot="1" x14ac:dyDescent="0.25">
      <c r="L1660" s="645"/>
      <c r="M1660" s="616"/>
      <c r="N1660" s="616"/>
      <c r="O1660" s="616"/>
      <c r="P1660" s="615"/>
      <c r="Q1660" s="616"/>
      <c r="R1660" s="663"/>
      <c r="S1660" s="459"/>
      <c r="T1660" s="459"/>
      <c r="U1660" s="459"/>
      <c r="V1660" s="459"/>
      <c r="W1660" s="459"/>
      <c r="X1660" s="459"/>
      <c r="Y1660" s="666"/>
      <c r="Z1660" s="664"/>
      <c r="AA1660" s="665"/>
      <c r="AB1660" s="665"/>
      <c r="AC1660" s="665"/>
      <c r="AD1660" s="665"/>
      <c r="AE1660" s="665"/>
      <c r="AF1660" s="649"/>
      <c r="AG1660" s="650"/>
      <c r="AH1660" s="650"/>
      <c r="AI1660" s="667"/>
    </row>
    <row r="1661" spans="12:35" ht="45" customHeight="1" thickBot="1" x14ac:dyDescent="0.25">
      <c r="L1661" s="645"/>
      <c r="M1661" s="616"/>
      <c r="N1661" s="616"/>
      <c r="O1661" s="616"/>
      <c r="P1661" s="615"/>
      <c r="Q1661" s="616"/>
      <c r="R1661" s="663"/>
      <c r="S1661" s="459"/>
      <c r="T1661" s="459"/>
      <c r="U1661" s="459"/>
      <c r="V1661" s="459"/>
      <c r="W1661" s="459"/>
      <c r="X1661" s="459"/>
      <c r="Y1661" s="666"/>
      <c r="Z1661" s="664"/>
      <c r="AA1661" s="665"/>
      <c r="AB1661" s="665"/>
      <c r="AC1661" s="665"/>
      <c r="AD1661" s="665"/>
      <c r="AE1661" s="665"/>
      <c r="AF1661" s="649"/>
      <c r="AG1661" s="650"/>
      <c r="AH1661" s="650"/>
      <c r="AI1661" s="667"/>
    </row>
    <row r="1662" spans="12:35" ht="45" customHeight="1" thickBot="1" x14ac:dyDescent="0.25">
      <c r="L1662" s="645"/>
      <c r="M1662" s="616"/>
      <c r="N1662" s="616"/>
      <c r="O1662" s="616"/>
      <c r="P1662" s="615"/>
      <c r="Q1662" s="616"/>
      <c r="R1662" s="663"/>
      <c r="S1662" s="459"/>
      <c r="T1662" s="459"/>
      <c r="U1662" s="459"/>
      <c r="V1662" s="459"/>
      <c r="W1662" s="459"/>
      <c r="X1662" s="459"/>
      <c r="Y1662" s="666"/>
      <c r="Z1662" s="664"/>
      <c r="AA1662" s="665"/>
      <c r="AB1662" s="665"/>
      <c r="AC1662" s="665"/>
      <c r="AD1662" s="665"/>
      <c r="AE1662" s="665"/>
      <c r="AF1662" s="649"/>
      <c r="AG1662" s="650"/>
      <c r="AH1662" s="650"/>
      <c r="AI1662" s="667"/>
    </row>
    <row r="1663" spans="12:35" ht="45" customHeight="1" thickBot="1" x14ac:dyDescent="0.25">
      <c r="L1663" s="645"/>
      <c r="M1663" s="616"/>
      <c r="N1663" s="616"/>
      <c r="O1663" s="616"/>
      <c r="P1663" s="615"/>
      <c r="Q1663" s="616"/>
      <c r="R1663" s="663"/>
      <c r="S1663" s="459"/>
      <c r="T1663" s="459"/>
      <c r="U1663" s="459"/>
      <c r="V1663" s="459"/>
      <c r="W1663" s="459"/>
      <c r="X1663" s="459"/>
      <c r="Y1663" s="666"/>
      <c r="Z1663" s="664"/>
      <c r="AA1663" s="665"/>
      <c r="AB1663" s="665"/>
      <c r="AC1663" s="665"/>
      <c r="AD1663" s="665"/>
      <c r="AE1663" s="665"/>
      <c r="AF1663" s="649"/>
      <c r="AG1663" s="650"/>
      <c r="AH1663" s="650"/>
      <c r="AI1663" s="667"/>
    </row>
    <row r="1664" spans="12:35" ht="45" customHeight="1" thickBot="1" x14ac:dyDescent="0.25">
      <c r="L1664" s="645"/>
      <c r="M1664" s="616"/>
      <c r="N1664" s="616"/>
      <c r="O1664" s="616"/>
      <c r="P1664" s="615"/>
      <c r="Q1664" s="616"/>
      <c r="R1664" s="663"/>
      <c r="S1664" s="459"/>
      <c r="T1664" s="459"/>
      <c r="U1664" s="459"/>
      <c r="V1664" s="459"/>
      <c r="W1664" s="459"/>
      <c r="X1664" s="459"/>
      <c r="Y1664" s="666"/>
      <c r="Z1664" s="664"/>
      <c r="AA1664" s="665"/>
      <c r="AB1664" s="665"/>
      <c r="AC1664" s="665"/>
      <c r="AD1664" s="665"/>
      <c r="AE1664" s="665"/>
      <c r="AF1664" s="649"/>
      <c r="AG1664" s="650"/>
      <c r="AH1664" s="650"/>
      <c r="AI1664" s="667"/>
    </row>
    <row r="1665" spans="12:35" ht="45" customHeight="1" thickBot="1" x14ac:dyDescent="0.25">
      <c r="L1665" s="645"/>
      <c r="M1665" s="616"/>
      <c r="N1665" s="616"/>
      <c r="O1665" s="616"/>
      <c r="P1665" s="615"/>
      <c r="Q1665" s="616"/>
      <c r="R1665" s="663"/>
      <c r="S1665" s="459"/>
      <c r="T1665" s="459"/>
      <c r="U1665" s="459"/>
      <c r="V1665" s="459"/>
      <c r="W1665" s="459"/>
      <c r="X1665" s="459"/>
      <c r="Y1665" s="666"/>
      <c r="Z1665" s="664"/>
      <c r="AA1665" s="665"/>
      <c r="AB1665" s="665"/>
      <c r="AC1665" s="665"/>
      <c r="AD1665" s="665"/>
      <c r="AE1665" s="665"/>
      <c r="AF1665" s="649"/>
      <c r="AG1665" s="650"/>
      <c r="AH1665" s="650"/>
      <c r="AI1665" s="667"/>
    </row>
    <row r="1666" spans="12:35" ht="45" customHeight="1" thickBot="1" x14ac:dyDescent="0.25">
      <c r="L1666" s="645"/>
      <c r="M1666" s="616"/>
      <c r="N1666" s="616"/>
      <c r="O1666" s="616"/>
      <c r="P1666" s="615"/>
      <c r="Q1666" s="616"/>
      <c r="R1666" s="663"/>
      <c r="S1666" s="459"/>
      <c r="T1666" s="459"/>
      <c r="U1666" s="459"/>
      <c r="V1666" s="459"/>
      <c r="W1666" s="459"/>
      <c r="X1666" s="459"/>
      <c r="Y1666" s="666"/>
      <c r="Z1666" s="664"/>
      <c r="AA1666" s="665"/>
      <c r="AB1666" s="665"/>
      <c r="AC1666" s="665"/>
      <c r="AD1666" s="665"/>
      <c r="AE1666" s="665"/>
      <c r="AF1666" s="649"/>
      <c r="AG1666" s="650"/>
      <c r="AH1666" s="650"/>
      <c r="AI1666" s="667"/>
    </row>
    <row r="1667" spans="12:35" ht="45" customHeight="1" thickBot="1" x14ac:dyDescent="0.25">
      <c r="L1667" s="645"/>
      <c r="M1667" s="616"/>
      <c r="N1667" s="616"/>
      <c r="O1667" s="616"/>
      <c r="P1667" s="615"/>
      <c r="Q1667" s="616"/>
      <c r="R1667" s="663"/>
      <c r="S1667" s="459"/>
      <c r="T1667" s="459"/>
      <c r="U1667" s="459"/>
      <c r="V1667" s="459"/>
      <c r="W1667" s="459"/>
      <c r="X1667" s="459"/>
      <c r="Y1667" s="666"/>
      <c r="Z1667" s="664"/>
      <c r="AA1667" s="665"/>
      <c r="AB1667" s="665"/>
      <c r="AC1667" s="665"/>
      <c r="AD1667" s="665"/>
      <c r="AE1667" s="665"/>
      <c r="AF1667" s="649"/>
      <c r="AG1667" s="650"/>
      <c r="AH1667" s="650"/>
      <c r="AI1667" s="667"/>
    </row>
    <row r="1668" spans="12:35" ht="45" customHeight="1" thickBot="1" x14ac:dyDescent="0.25">
      <c r="L1668" s="645"/>
      <c r="M1668" s="616"/>
      <c r="N1668" s="616"/>
      <c r="O1668" s="616"/>
      <c r="P1668" s="615"/>
      <c r="Q1668" s="616"/>
      <c r="R1668" s="663"/>
      <c r="S1668" s="459"/>
      <c r="T1668" s="459"/>
      <c r="U1668" s="459"/>
      <c r="V1668" s="459"/>
      <c r="W1668" s="459"/>
      <c r="X1668" s="459"/>
      <c r="Y1668" s="666"/>
      <c r="Z1668" s="664"/>
      <c r="AA1668" s="665"/>
      <c r="AB1668" s="665"/>
      <c r="AC1668" s="665"/>
      <c r="AD1668" s="665"/>
      <c r="AE1668" s="665"/>
      <c r="AF1668" s="649"/>
      <c r="AG1668" s="650"/>
      <c r="AH1668" s="650"/>
      <c r="AI1668" s="667"/>
    </row>
    <row r="1669" spans="12:35" ht="45" customHeight="1" thickBot="1" x14ac:dyDescent="0.25">
      <c r="L1669" s="645"/>
      <c r="M1669" s="616"/>
      <c r="N1669" s="616"/>
      <c r="O1669" s="616"/>
      <c r="P1669" s="615"/>
      <c r="Q1669" s="616"/>
      <c r="R1669" s="663"/>
      <c r="S1669" s="459"/>
      <c r="T1669" s="459"/>
      <c r="U1669" s="459"/>
      <c r="V1669" s="459"/>
      <c r="W1669" s="459"/>
      <c r="X1669" s="459"/>
      <c r="Y1669" s="666"/>
      <c r="Z1669" s="664"/>
      <c r="AA1669" s="665"/>
      <c r="AB1669" s="665"/>
      <c r="AC1669" s="665"/>
      <c r="AD1669" s="665"/>
      <c r="AE1669" s="665"/>
      <c r="AF1669" s="649"/>
      <c r="AG1669" s="650"/>
      <c r="AH1669" s="650"/>
      <c r="AI1669" s="667"/>
    </row>
    <row r="1670" spans="12:35" ht="45" customHeight="1" thickBot="1" x14ac:dyDescent="0.25">
      <c r="L1670" s="645"/>
      <c r="M1670" s="616"/>
      <c r="N1670" s="616"/>
      <c r="O1670" s="616"/>
      <c r="P1670" s="615"/>
      <c r="Q1670" s="616"/>
      <c r="R1670" s="663"/>
      <c r="S1670" s="459"/>
      <c r="T1670" s="459"/>
      <c r="U1670" s="459"/>
      <c r="V1670" s="459"/>
      <c r="W1670" s="459"/>
      <c r="X1670" s="459"/>
      <c r="Y1670" s="666"/>
      <c r="Z1670" s="664"/>
      <c r="AA1670" s="665"/>
      <c r="AB1670" s="665"/>
      <c r="AC1670" s="665"/>
      <c r="AD1670" s="665"/>
      <c r="AE1670" s="665"/>
      <c r="AF1670" s="649"/>
      <c r="AG1670" s="650"/>
      <c r="AH1670" s="650"/>
      <c r="AI1670" s="667"/>
    </row>
    <row r="1671" spans="12:35" ht="45" customHeight="1" thickBot="1" x14ac:dyDescent="0.25">
      <c r="L1671" s="645"/>
      <c r="M1671" s="616"/>
      <c r="N1671" s="616"/>
      <c r="O1671" s="616"/>
      <c r="P1671" s="615"/>
      <c r="Q1671" s="616"/>
      <c r="R1671" s="663"/>
      <c r="S1671" s="459"/>
      <c r="T1671" s="459"/>
      <c r="U1671" s="459"/>
      <c r="V1671" s="459"/>
      <c r="W1671" s="459"/>
      <c r="X1671" s="459"/>
      <c r="Y1671" s="666"/>
      <c r="Z1671" s="664"/>
      <c r="AA1671" s="665"/>
      <c r="AB1671" s="665"/>
      <c r="AC1671" s="665"/>
      <c r="AD1671" s="665"/>
      <c r="AE1671" s="665"/>
      <c r="AF1671" s="649"/>
      <c r="AG1671" s="650"/>
      <c r="AH1671" s="650"/>
      <c r="AI1671" s="667"/>
    </row>
    <row r="1672" spans="12:35" ht="45" customHeight="1" thickBot="1" x14ac:dyDescent="0.25">
      <c r="L1672" s="645"/>
      <c r="M1672" s="616"/>
      <c r="N1672" s="616"/>
      <c r="O1672" s="616"/>
      <c r="P1672" s="615"/>
      <c r="Q1672" s="616"/>
      <c r="R1672" s="663"/>
      <c r="S1672" s="459"/>
      <c r="T1672" s="459"/>
      <c r="U1672" s="459"/>
      <c r="V1672" s="459"/>
      <c r="W1672" s="459"/>
      <c r="X1672" s="459"/>
      <c r="Y1672" s="666"/>
      <c r="Z1672" s="664"/>
      <c r="AA1672" s="665"/>
      <c r="AB1672" s="665"/>
      <c r="AC1672" s="665"/>
      <c r="AD1672" s="665"/>
      <c r="AE1672" s="665"/>
      <c r="AF1672" s="649"/>
      <c r="AG1672" s="650"/>
      <c r="AH1672" s="650"/>
      <c r="AI1672" s="667"/>
    </row>
    <row r="1673" spans="12:35" ht="45" customHeight="1" thickBot="1" x14ac:dyDescent="0.25">
      <c r="L1673" s="645"/>
      <c r="M1673" s="616"/>
      <c r="N1673" s="616"/>
      <c r="O1673" s="616"/>
      <c r="P1673" s="615"/>
      <c r="Q1673" s="616"/>
      <c r="R1673" s="663"/>
      <c r="S1673" s="459"/>
      <c r="T1673" s="459"/>
      <c r="U1673" s="459"/>
      <c r="V1673" s="459"/>
      <c r="W1673" s="459"/>
      <c r="X1673" s="459"/>
      <c r="Y1673" s="666"/>
      <c r="Z1673" s="664"/>
      <c r="AA1673" s="665"/>
      <c r="AB1673" s="665"/>
      <c r="AC1673" s="665"/>
      <c r="AD1673" s="665"/>
      <c r="AE1673" s="665"/>
      <c r="AF1673" s="649"/>
      <c r="AG1673" s="650"/>
      <c r="AH1673" s="650"/>
      <c r="AI1673" s="667"/>
    </row>
    <row r="1674" spans="12:35" ht="45" customHeight="1" thickBot="1" x14ac:dyDescent="0.25">
      <c r="L1674" s="645"/>
      <c r="M1674" s="616"/>
      <c r="N1674" s="616"/>
      <c r="O1674" s="616"/>
      <c r="P1674" s="615"/>
      <c r="Q1674" s="616"/>
      <c r="R1674" s="663"/>
      <c r="S1674" s="459"/>
      <c r="T1674" s="459"/>
      <c r="U1674" s="459"/>
      <c r="V1674" s="459"/>
      <c r="W1674" s="459"/>
      <c r="X1674" s="459"/>
      <c r="Y1674" s="666"/>
      <c r="Z1674" s="664"/>
      <c r="AA1674" s="665"/>
      <c r="AB1674" s="665"/>
      <c r="AC1674" s="665"/>
      <c r="AD1674" s="665"/>
      <c r="AE1674" s="665"/>
      <c r="AF1674" s="649"/>
      <c r="AG1674" s="650"/>
      <c r="AH1674" s="650"/>
      <c r="AI1674" s="667"/>
    </row>
    <row r="1675" spans="12:35" ht="45" customHeight="1" thickBot="1" x14ac:dyDescent="0.25">
      <c r="L1675" s="645"/>
      <c r="M1675" s="616"/>
      <c r="N1675" s="616"/>
      <c r="O1675" s="616"/>
      <c r="P1675" s="615"/>
      <c r="Q1675" s="616"/>
      <c r="R1675" s="663"/>
      <c r="S1675" s="459"/>
      <c r="T1675" s="459"/>
      <c r="U1675" s="459"/>
      <c r="V1675" s="459"/>
      <c r="W1675" s="459"/>
      <c r="X1675" s="459"/>
      <c r="Y1675" s="666"/>
      <c r="Z1675" s="664"/>
      <c r="AA1675" s="665"/>
      <c r="AB1675" s="665"/>
      <c r="AC1675" s="665"/>
      <c r="AD1675" s="665"/>
      <c r="AE1675" s="665"/>
      <c r="AF1675" s="649"/>
      <c r="AG1675" s="650"/>
      <c r="AH1675" s="650"/>
      <c r="AI1675" s="667"/>
    </row>
    <row r="1676" spans="12:35" ht="45" customHeight="1" thickBot="1" x14ac:dyDescent="0.25">
      <c r="L1676" s="645"/>
      <c r="M1676" s="616"/>
      <c r="N1676" s="616"/>
      <c r="O1676" s="616"/>
      <c r="P1676" s="615"/>
      <c r="Q1676" s="616"/>
      <c r="R1676" s="663"/>
      <c r="S1676" s="459"/>
      <c r="T1676" s="459"/>
      <c r="U1676" s="459"/>
      <c r="V1676" s="459"/>
      <c r="W1676" s="459"/>
      <c r="X1676" s="459"/>
      <c r="Y1676" s="666"/>
      <c r="Z1676" s="664"/>
      <c r="AA1676" s="665"/>
      <c r="AB1676" s="665"/>
      <c r="AC1676" s="665"/>
      <c r="AD1676" s="665"/>
      <c r="AE1676" s="665"/>
      <c r="AF1676" s="649"/>
      <c r="AG1676" s="650"/>
      <c r="AH1676" s="650"/>
      <c r="AI1676" s="667"/>
    </row>
    <row r="1677" spans="12:35" ht="45" customHeight="1" thickBot="1" x14ac:dyDescent="0.25">
      <c r="L1677" s="645"/>
      <c r="M1677" s="616"/>
      <c r="N1677" s="616"/>
      <c r="O1677" s="616"/>
      <c r="P1677" s="615"/>
      <c r="Q1677" s="616"/>
      <c r="R1677" s="663"/>
      <c r="S1677" s="459"/>
      <c r="T1677" s="459"/>
      <c r="U1677" s="459"/>
      <c r="V1677" s="459"/>
      <c r="W1677" s="459"/>
      <c r="X1677" s="459"/>
      <c r="Y1677" s="666"/>
      <c r="Z1677" s="664"/>
      <c r="AA1677" s="665"/>
      <c r="AB1677" s="665"/>
      <c r="AC1677" s="665"/>
      <c r="AD1677" s="665"/>
      <c r="AE1677" s="665"/>
      <c r="AF1677" s="649"/>
      <c r="AG1677" s="650"/>
      <c r="AH1677" s="650"/>
      <c r="AI1677" s="667"/>
    </row>
    <row r="1678" spans="12:35" ht="45" customHeight="1" thickBot="1" x14ac:dyDescent="0.25">
      <c r="L1678" s="645"/>
      <c r="M1678" s="616"/>
      <c r="N1678" s="616"/>
      <c r="O1678" s="616"/>
      <c r="P1678" s="615"/>
      <c r="Q1678" s="616"/>
      <c r="R1678" s="663"/>
      <c r="S1678" s="459"/>
      <c r="T1678" s="459"/>
      <c r="U1678" s="459"/>
      <c r="V1678" s="459"/>
      <c r="W1678" s="459"/>
      <c r="X1678" s="459"/>
      <c r="Y1678" s="666"/>
      <c r="Z1678" s="664"/>
      <c r="AA1678" s="665"/>
      <c r="AB1678" s="665"/>
      <c r="AC1678" s="665"/>
      <c r="AD1678" s="665"/>
      <c r="AE1678" s="665"/>
      <c r="AF1678" s="649"/>
      <c r="AG1678" s="650"/>
      <c r="AH1678" s="650"/>
      <c r="AI1678" s="667"/>
    </row>
    <row r="1679" spans="12:35" ht="45" customHeight="1" thickBot="1" x14ac:dyDescent="0.25">
      <c r="L1679" s="645"/>
      <c r="M1679" s="616"/>
      <c r="N1679" s="616"/>
      <c r="O1679" s="616"/>
      <c r="P1679" s="615"/>
      <c r="Q1679" s="616"/>
      <c r="R1679" s="663"/>
      <c r="S1679" s="459"/>
      <c r="T1679" s="459"/>
      <c r="U1679" s="459"/>
      <c r="V1679" s="459"/>
      <c r="W1679" s="459"/>
      <c r="X1679" s="459"/>
      <c r="Y1679" s="666"/>
      <c r="Z1679" s="664"/>
      <c r="AA1679" s="665"/>
      <c r="AB1679" s="665"/>
      <c r="AC1679" s="665"/>
      <c r="AD1679" s="665"/>
      <c r="AE1679" s="665"/>
      <c r="AF1679" s="649"/>
      <c r="AG1679" s="650"/>
      <c r="AH1679" s="650"/>
      <c r="AI1679" s="667"/>
    </row>
    <row r="1680" spans="12:35" ht="45" customHeight="1" thickBot="1" x14ac:dyDescent="0.25">
      <c r="L1680" s="645"/>
      <c r="M1680" s="616"/>
      <c r="N1680" s="616"/>
      <c r="O1680" s="616"/>
      <c r="P1680" s="615"/>
      <c r="Q1680" s="616"/>
      <c r="R1680" s="663"/>
      <c r="S1680" s="459"/>
      <c r="T1680" s="459"/>
      <c r="U1680" s="459"/>
      <c r="V1680" s="459"/>
      <c r="W1680" s="459"/>
      <c r="X1680" s="459"/>
      <c r="Y1680" s="666"/>
      <c r="Z1680" s="664"/>
      <c r="AA1680" s="665"/>
      <c r="AB1680" s="665"/>
      <c r="AC1680" s="665"/>
      <c r="AD1680" s="665"/>
      <c r="AE1680" s="665"/>
      <c r="AF1680" s="649"/>
      <c r="AG1680" s="650"/>
      <c r="AH1680" s="650"/>
      <c r="AI1680" s="667"/>
    </row>
    <row r="1681" spans="12:35" ht="45" customHeight="1" thickBot="1" x14ac:dyDescent="0.25">
      <c r="L1681" s="645"/>
      <c r="M1681" s="616"/>
      <c r="N1681" s="616"/>
      <c r="O1681" s="616"/>
      <c r="P1681" s="615"/>
      <c r="Q1681" s="616"/>
      <c r="R1681" s="663"/>
      <c r="S1681" s="459"/>
      <c r="T1681" s="459"/>
      <c r="U1681" s="459"/>
      <c r="V1681" s="459"/>
      <c r="W1681" s="459"/>
      <c r="X1681" s="459"/>
      <c r="Y1681" s="666"/>
      <c r="Z1681" s="664"/>
      <c r="AA1681" s="665"/>
      <c r="AB1681" s="665"/>
      <c r="AC1681" s="665"/>
      <c r="AD1681" s="665"/>
      <c r="AE1681" s="665"/>
      <c r="AF1681" s="649"/>
      <c r="AG1681" s="650"/>
      <c r="AH1681" s="650"/>
      <c r="AI1681" s="667"/>
    </row>
    <row r="1682" spans="12:35" ht="45" customHeight="1" thickBot="1" x14ac:dyDescent="0.25">
      <c r="L1682" s="645"/>
      <c r="M1682" s="616"/>
      <c r="N1682" s="616"/>
      <c r="O1682" s="616"/>
      <c r="P1682" s="615"/>
      <c r="Q1682" s="616"/>
      <c r="R1682" s="663"/>
      <c r="S1682" s="459"/>
      <c r="T1682" s="459"/>
      <c r="U1682" s="459"/>
      <c r="V1682" s="459"/>
      <c r="W1682" s="459"/>
      <c r="X1682" s="459"/>
      <c r="Y1682" s="666"/>
      <c r="Z1682" s="664"/>
      <c r="AA1682" s="665"/>
      <c r="AB1682" s="665"/>
      <c r="AC1682" s="665"/>
      <c r="AD1682" s="665"/>
      <c r="AE1682" s="665"/>
      <c r="AF1682" s="649"/>
      <c r="AG1682" s="650"/>
      <c r="AH1682" s="650"/>
      <c r="AI1682" s="667"/>
    </row>
    <row r="1683" spans="12:35" ht="45" customHeight="1" thickBot="1" x14ac:dyDescent="0.25">
      <c r="L1683" s="645"/>
      <c r="M1683" s="616"/>
      <c r="N1683" s="616"/>
      <c r="O1683" s="616"/>
      <c r="P1683" s="615"/>
      <c r="Q1683" s="616"/>
      <c r="R1683" s="663"/>
      <c r="S1683" s="459"/>
      <c r="T1683" s="459"/>
      <c r="U1683" s="459"/>
      <c r="V1683" s="459"/>
      <c r="W1683" s="459"/>
      <c r="X1683" s="459"/>
      <c r="Y1683" s="666"/>
      <c r="Z1683" s="664"/>
      <c r="AA1683" s="665"/>
      <c r="AB1683" s="665"/>
      <c r="AC1683" s="665"/>
      <c r="AD1683" s="665"/>
      <c r="AE1683" s="665"/>
      <c r="AF1683" s="649"/>
      <c r="AG1683" s="650"/>
      <c r="AH1683" s="650"/>
      <c r="AI1683" s="667"/>
    </row>
    <row r="1684" spans="12:35" ht="45" customHeight="1" thickBot="1" x14ac:dyDescent="0.25">
      <c r="L1684" s="645"/>
      <c r="M1684" s="616"/>
      <c r="N1684" s="616"/>
      <c r="O1684" s="616"/>
      <c r="P1684" s="615"/>
      <c r="Q1684" s="616"/>
      <c r="R1684" s="663"/>
      <c r="S1684" s="459"/>
      <c r="T1684" s="459"/>
      <c r="U1684" s="459"/>
      <c r="V1684" s="459"/>
      <c r="W1684" s="459"/>
      <c r="X1684" s="459"/>
      <c r="Y1684" s="666"/>
      <c r="Z1684" s="664"/>
      <c r="AA1684" s="665"/>
      <c r="AB1684" s="665"/>
      <c r="AC1684" s="665"/>
      <c r="AD1684" s="665"/>
      <c r="AE1684" s="665"/>
      <c r="AF1684" s="649"/>
      <c r="AG1684" s="650"/>
      <c r="AH1684" s="650"/>
      <c r="AI1684" s="667"/>
    </row>
    <row r="1685" spans="12:35" ht="45" customHeight="1" thickBot="1" x14ac:dyDescent="0.25">
      <c r="L1685" s="645"/>
      <c r="M1685" s="616"/>
      <c r="N1685" s="616"/>
      <c r="O1685" s="616"/>
      <c r="P1685" s="615"/>
      <c r="Q1685" s="616"/>
      <c r="R1685" s="663"/>
      <c r="S1685" s="459"/>
      <c r="T1685" s="459"/>
      <c r="U1685" s="459"/>
      <c r="V1685" s="459"/>
      <c r="W1685" s="459"/>
      <c r="X1685" s="459"/>
      <c r="Y1685" s="666"/>
      <c r="Z1685" s="664"/>
      <c r="AA1685" s="665"/>
      <c r="AB1685" s="665"/>
      <c r="AC1685" s="665"/>
      <c r="AD1685" s="665"/>
      <c r="AE1685" s="665"/>
      <c r="AF1685" s="649"/>
      <c r="AG1685" s="650"/>
      <c r="AH1685" s="650"/>
      <c r="AI1685" s="667"/>
    </row>
    <row r="1686" spans="12:35" ht="45" customHeight="1" thickBot="1" x14ac:dyDescent="0.25">
      <c r="L1686" s="645"/>
      <c r="M1686" s="616"/>
      <c r="N1686" s="616"/>
      <c r="O1686" s="616"/>
      <c r="P1686" s="615"/>
      <c r="Q1686" s="616"/>
      <c r="R1686" s="663"/>
      <c r="S1686" s="459"/>
      <c r="T1686" s="459"/>
      <c r="U1686" s="459"/>
      <c r="V1686" s="459"/>
      <c r="W1686" s="459"/>
      <c r="X1686" s="459"/>
      <c r="Y1686" s="666"/>
      <c r="Z1686" s="664"/>
      <c r="AA1686" s="665"/>
      <c r="AB1686" s="665"/>
      <c r="AC1686" s="665"/>
      <c r="AD1686" s="665"/>
      <c r="AE1686" s="665"/>
      <c r="AF1686" s="649"/>
      <c r="AG1686" s="650"/>
      <c r="AH1686" s="650"/>
      <c r="AI1686" s="667"/>
    </row>
    <row r="1687" spans="12:35" ht="45" customHeight="1" thickBot="1" x14ac:dyDescent="0.25">
      <c r="L1687" s="645"/>
      <c r="M1687" s="616"/>
      <c r="N1687" s="616"/>
      <c r="O1687" s="616"/>
      <c r="P1687" s="615"/>
      <c r="Q1687" s="616"/>
      <c r="R1687" s="663"/>
      <c r="S1687" s="459"/>
      <c r="T1687" s="459"/>
      <c r="U1687" s="459"/>
      <c r="V1687" s="459"/>
      <c r="W1687" s="459"/>
      <c r="X1687" s="459"/>
      <c r="Y1687" s="666"/>
      <c r="Z1687" s="664"/>
      <c r="AA1687" s="665"/>
      <c r="AB1687" s="665"/>
      <c r="AC1687" s="665"/>
      <c r="AD1687" s="665"/>
      <c r="AE1687" s="665"/>
      <c r="AF1687" s="649"/>
      <c r="AG1687" s="650"/>
      <c r="AH1687" s="650"/>
      <c r="AI1687" s="667"/>
    </row>
    <row r="1688" spans="12:35" ht="45" customHeight="1" thickBot="1" x14ac:dyDescent="0.25">
      <c r="L1688" s="645"/>
      <c r="M1688" s="616"/>
      <c r="N1688" s="616"/>
      <c r="O1688" s="616"/>
      <c r="P1688" s="615"/>
      <c r="Q1688" s="616"/>
      <c r="R1688" s="663"/>
      <c r="S1688" s="459"/>
      <c r="T1688" s="459"/>
      <c r="U1688" s="459"/>
      <c r="V1688" s="459"/>
      <c r="W1688" s="459"/>
      <c r="X1688" s="459"/>
      <c r="Y1688" s="666"/>
      <c r="Z1688" s="664"/>
      <c r="AA1688" s="665"/>
      <c r="AB1688" s="665"/>
      <c r="AC1688" s="665"/>
      <c r="AD1688" s="665"/>
      <c r="AE1688" s="665"/>
      <c r="AF1688" s="649"/>
      <c r="AG1688" s="650"/>
      <c r="AH1688" s="650"/>
      <c r="AI1688" s="667"/>
    </row>
    <row r="1689" spans="12:35" ht="45" customHeight="1" thickBot="1" x14ac:dyDescent="0.25">
      <c r="L1689" s="645"/>
      <c r="M1689" s="616"/>
      <c r="N1689" s="616"/>
      <c r="O1689" s="616"/>
      <c r="P1689" s="615"/>
      <c r="Q1689" s="616"/>
      <c r="R1689" s="663"/>
      <c r="S1689" s="459"/>
      <c r="T1689" s="459"/>
      <c r="U1689" s="459"/>
      <c r="V1689" s="459"/>
      <c r="W1689" s="459"/>
      <c r="X1689" s="459"/>
      <c r="Y1689" s="666"/>
      <c r="Z1689" s="664"/>
      <c r="AA1689" s="665"/>
      <c r="AB1689" s="665"/>
      <c r="AC1689" s="665"/>
      <c r="AD1689" s="665"/>
      <c r="AE1689" s="665"/>
      <c r="AF1689" s="649"/>
      <c r="AG1689" s="650"/>
      <c r="AH1689" s="650"/>
      <c r="AI1689" s="667"/>
    </row>
    <row r="1690" spans="12:35" ht="45" customHeight="1" thickBot="1" x14ac:dyDescent="0.25">
      <c r="L1690" s="645"/>
      <c r="M1690" s="616"/>
      <c r="N1690" s="616"/>
      <c r="O1690" s="616"/>
      <c r="P1690" s="615"/>
      <c r="Q1690" s="616"/>
      <c r="R1690" s="663"/>
      <c r="S1690" s="459"/>
      <c r="T1690" s="459"/>
      <c r="U1690" s="459"/>
      <c r="V1690" s="459"/>
      <c r="W1690" s="459"/>
      <c r="X1690" s="459"/>
      <c r="Y1690" s="666"/>
      <c r="Z1690" s="664"/>
      <c r="AA1690" s="665"/>
      <c r="AB1690" s="665"/>
      <c r="AC1690" s="665"/>
      <c r="AD1690" s="665"/>
      <c r="AE1690" s="665"/>
      <c r="AF1690" s="649"/>
      <c r="AG1690" s="650"/>
      <c r="AH1690" s="650"/>
      <c r="AI1690" s="667"/>
    </row>
    <row r="1691" spans="12:35" ht="45" customHeight="1" thickBot="1" x14ac:dyDescent="0.25">
      <c r="L1691" s="645"/>
      <c r="M1691" s="616"/>
      <c r="N1691" s="616"/>
      <c r="O1691" s="616"/>
      <c r="P1691" s="615"/>
      <c r="Q1691" s="616"/>
      <c r="R1691" s="663"/>
      <c r="S1691" s="459"/>
      <c r="T1691" s="459"/>
      <c r="U1691" s="459"/>
      <c r="V1691" s="459"/>
      <c r="W1691" s="459"/>
      <c r="X1691" s="459"/>
      <c r="Y1691" s="666"/>
      <c r="Z1691" s="664"/>
      <c r="AA1691" s="665"/>
      <c r="AB1691" s="665"/>
      <c r="AC1691" s="665"/>
      <c r="AD1691" s="665"/>
      <c r="AE1691" s="665"/>
      <c r="AF1691" s="649"/>
      <c r="AG1691" s="650"/>
      <c r="AH1691" s="650"/>
      <c r="AI1691" s="667"/>
    </row>
    <row r="1692" spans="12:35" ht="45" customHeight="1" thickBot="1" x14ac:dyDescent="0.25">
      <c r="L1692" s="645"/>
      <c r="M1692" s="616"/>
      <c r="N1692" s="616"/>
      <c r="O1692" s="616"/>
      <c r="P1692" s="615"/>
      <c r="Q1692" s="616"/>
      <c r="R1692" s="663"/>
      <c r="S1692" s="459"/>
      <c r="T1692" s="459"/>
      <c r="U1692" s="459"/>
      <c r="V1692" s="459"/>
      <c r="W1692" s="459"/>
      <c r="X1692" s="459"/>
      <c r="Y1692" s="666"/>
      <c r="Z1692" s="664"/>
      <c r="AA1692" s="665"/>
      <c r="AB1692" s="665"/>
      <c r="AC1692" s="665"/>
      <c r="AD1692" s="665"/>
      <c r="AE1692" s="665"/>
      <c r="AF1692" s="649"/>
      <c r="AG1692" s="650"/>
      <c r="AH1692" s="650"/>
      <c r="AI1692" s="667"/>
    </row>
    <row r="1693" spans="12:35" ht="45" customHeight="1" thickBot="1" x14ac:dyDescent="0.25">
      <c r="L1693" s="645"/>
      <c r="M1693" s="616"/>
      <c r="N1693" s="616"/>
      <c r="O1693" s="616"/>
      <c r="P1693" s="615"/>
      <c r="Q1693" s="616"/>
      <c r="R1693" s="663"/>
      <c r="S1693" s="459"/>
      <c r="T1693" s="459"/>
      <c r="U1693" s="459"/>
      <c r="V1693" s="459"/>
      <c r="W1693" s="459"/>
      <c r="X1693" s="459"/>
      <c r="Y1693" s="666"/>
      <c r="Z1693" s="664"/>
      <c r="AA1693" s="665"/>
      <c r="AB1693" s="665"/>
      <c r="AC1693" s="665"/>
      <c r="AD1693" s="665"/>
      <c r="AE1693" s="665"/>
      <c r="AF1693" s="649"/>
      <c r="AG1693" s="650"/>
      <c r="AH1693" s="650"/>
      <c r="AI1693" s="667"/>
    </row>
    <row r="1694" spans="12:35" ht="45" customHeight="1" thickBot="1" x14ac:dyDescent="0.25">
      <c r="L1694" s="645"/>
      <c r="M1694" s="616"/>
      <c r="N1694" s="616"/>
      <c r="O1694" s="616"/>
      <c r="P1694" s="615"/>
      <c r="Q1694" s="616"/>
      <c r="R1694" s="663"/>
      <c r="S1694" s="459"/>
      <c r="T1694" s="459"/>
      <c r="U1694" s="459"/>
      <c r="V1694" s="459"/>
      <c r="W1694" s="459"/>
      <c r="X1694" s="459"/>
      <c r="Y1694" s="666"/>
      <c r="Z1694" s="664"/>
      <c r="AA1694" s="665"/>
      <c r="AB1694" s="665"/>
      <c r="AC1694" s="665"/>
      <c r="AD1694" s="665"/>
      <c r="AE1694" s="665"/>
      <c r="AF1694" s="649"/>
      <c r="AG1694" s="650"/>
      <c r="AH1694" s="650"/>
      <c r="AI1694" s="667"/>
    </row>
    <row r="1695" spans="12:35" ht="45" customHeight="1" thickBot="1" x14ac:dyDescent="0.25">
      <c r="L1695" s="645"/>
      <c r="M1695" s="616"/>
      <c r="N1695" s="616"/>
      <c r="O1695" s="616"/>
      <c r="P1695" s="615"/>
      <c r="Q1695" s="616"/>
      <c r="R1695" s="663"/>
      <c r="S1695" s="459"/>
      <c r="T1695" s="459"/>
      <c r="U1695" s="459"/>
      <c r="V1695" s="459"/>
      <c r="W1695" s="459"/>
      <c r="X1695" s="459"/>
      <c r="Y1695" s="666"/>
      <c r="Z1695" s="664"/>
      <c r="AA1695" s="665"/>
      <c r="AB1695" s="665"/>
      <c r="AC1695" s="665"/>
      <c r="AD1695" s="665"/>
      <c r="AE1695" s="665"/>
      <c r="AF1695" s="649"/>
      <c r="AG1695" s="650"/>
      <c r="AH1695" s="650"/>
      <c r="AI1695" s="667"/>
    </row>
    <row r="1696" spans="12:35" ht="45" customHeight="1" thickBot="1" x14ac:dyDescent="0.25">
      <c r="L1696" s="645"/>
      <c r="M1696" s="616"/>
      <c r="N1696" s="616"/>
      <c r="O1696" s="616"/>
      <c r="P1696" s="615"/>
      <c r="Q1696" s="616"/>
      <c r="R1696" s="663"/>
      <c r="S1696" s="459"/>
      <c r="T1696" s="459"/>
      <c r="U1696" s="459"/>
      <c r="V1696" s="459"/>
      <c r="W1696" s="459"/>
      <c r="X1696" s="459"/>
      <c r="Y1696" s="666"/>
      <c r="Z1696" s="664"/>
      <c r="AA1696" s="665"/>
      <c r="AB1696" s="665"/>
      <c r="AC1696" s="665"/>
      <c r="AD1696" s="665"/>
      <c r="AE1696" s="665"/>
      <c r="AF1696" s="649"/>
      <c r="AG1696" s="650"/>
      <c r="AH1696" s="650"/>
      <c r="AI1696" s="667"/>
    </row>
    <row r="1697" spans="12:35" ht="45" customHeight="1" thickBot="1" x14ac:dyDescent="0.25">
      <c r="L1697" s="645"/>
      <c r="M1697" s="616"/>
      <c r="N1697" s="616"/>
      <c r="O1697" s="616"/>
      <c r="P1697" s="615"/>
      <c r="Q1697" s="616"/>
      <c r="R1697" s="663"/>
      <c r="S1697" s="459"/>
      <c r="T1697" s="459"/>
      <c r="U1697" s="459"/>
      <c r="V1697" s="459"/>
      <c r="W1697" s="459"/>
      <c r="X1697" s="459"/>
      <c r="Y1697" s="666"/>
      <c r="Z1697" s="664"/>
      <c r="AA1697" s="665"/>
      <c r="AB1697" s="665"/>
      <c r="AC1697" s="665"/>
      <c r="AD1697" s="665"/>
      <c r="AE1697" s="665"/>
      <c r="AF1697" s="649"/>
      <c r="AG1697" s="650"/>
      <c r="AH1697" s="650"/>
      <c r="AI1697" s="667"/>
    </row>
    <row r="1698" spans="12:35" ht="45" customHeight="1" thickBot="1" x14ac:dyDescent="0.25">
      <c r="L1698" s="645"/>
      <c r="M1698" s="616"/>
      <c r="N1698" s="616"/>
      <c r="O1698" s="616"/>
      <c r="P1698" s="615"/>
      <c r="Q1698" s="616"/>
      <c r="R1698" s="663"/>
      <c r="S1698" s="459"/>
      <c r="T1698" s="459"/>
      <c r="U1698" s="459"/>
      <c r="V1698" s="459"/>
      <c r="W1698" s="459"/>
      <c r="X1698" s="459"/>
      <c r="Y1698" s="666"/>
      <c r="Z1698" s="664"/>
      <c r="AA1698" s="665"/>
      <c r="AB1698" s="665"/>
      <c r="AC1698" s="665"/>
      <c r="AD1698" s="665"/>
      <c r="AE1698" s="665"/>
      <c r="AF1698" s="649"/>
      <c r="AG1698" s="650"/>
      <c r="AH1698" s="650"/>
      <c r="AI1698" s="667"/>
    </row>
    <row r="1699" spans="12:35" ht="45" customHeight="1" thickBot="1" x14ac:dyDescent="0.25">
      <c r="L1699" s="645"/>
      <c r="M1699" s="616"/>
      <c r="N1699" s="616"/>
      <c r="O1699" s="616"/>
      <c r="P1699" s="615"/>
      <c r="Q1699" s="616"/>
      <c r="R1699" s="663"/>
      <c r="S1699" s="459"/>
      <c r="T1699" s="459"/>
      <c r="U1699" s="459"/>
      <c r="V1699" s="459"/>
      <c r="W1699" s="459"/>
      <c r="X1699" s="459"/>
      <c r="Y1699" s="666"/>
      <c r="Z1699" s="664"/>
      <c r="AA1699" s="665"/>
      <c r="AB1699" s="665"/>
      <c r="AC1699" s="665"/>
      <c r="AD1699" s="665"/>
      <c r="AE1699" s="665"/>
      <c r="AF1699" s="649"/>
      <c r="AG1699" s="650"/>
      <c r="AH1699" s="650"/>
      <c r="AI1699" s="667"/>
    </row>
    <row r="1700" spans="12:35" ht="45" customHeight="1" thickBot="1" x14ac:dyDescent="0.25">
      <c r="L1700" s="645"/>
      <c r="M1700" s="616"/>
      <c r="N1700" s="616"/>
      <c r="O1700" s="616"/>
      <c r="P1700" s="615"/>
      <c r="Q1700" s="616"/>
      <c r="R1700" s="663"/>
      <c r="S1700" s="459"/>
      <c r="T1700" s="459"/>
      <c r="U1700" s="459"/>
      <c r="V1700" s="459"/>
      <c r="W1700" s="459"/>
      <c r="X1700" s="459"/>
      <c r="Y1700" s="666"/>
      <c r="Z1700" s="664"/>
      <c r="AA1700" s="665"/>
      <c r="AB1700" s="665"/>
      <c r="AC1700" s="665"/>
      <c r="AD1700" s="665"/>
      <c r="AE1700" s="665"/>
      <c r="AF1700" s="649"/>
      <c r="AG1700" s="650"/>
      <c r="AH1700" s="650"/>
      <c r="AI1700" s="667"/>
    </row>
    <row r="1701" spans="12:35" ht="45" customHeight="1" thickBot="1" x14ac:dyDescent="0.25">
      <c r="L1701" s="645"/>
      <c r="M1701" s="616"/>
      <c r="N1701" s="616"/>
      <c r="O1701" s="616"/>
      <c r="P1701" s="615"/>
      <c r="Q1701" s="616"/>
      <c r="R1701" s="663"/>
      <c r="S1701" s="459"/>
      <c r="T1701" s="459"/>
      <c r="U1701" s="459"/>
      <c r="V1701" s="459"/>
      <c r="W1701" s="459"/>
      <c r="X1701" s="459"/>
      <c r="Y1701" s="666"/>
      <c r="Z1701" s="664"/>
      <c r="AA1701" s="665"/>
      <c r="AB1701" s="665"/>
      <c r="AC1701" s="665"/>
      <c r="AD1701" s="665"/>
      <c r="AE1701" s="665"/>
      <c r="AF1701" s="649"/>
      <c r="AG1701" s="650"/>
      <c r="AH1701" s="650"/>
      <c r="AI1701" s="667"/>
    </row>
    <row r="1702" spans="12:35" ht="45" customHeight="1" thickBot="1" x14ac:dyDescent="0.25">
      <c r="L1702" s="645"/>
      <c r="M1702" s="616"/>
      <c r="N1702" s="616"/>
      <c r="O1702" s="616"/>
      <c r="P1702" s="615"/>
      <c r="Q1702" s="616"/>
      <c r="R1702" s="663"/>
      <c r="S1702" s="459"/>
      <c r="T1702" s="459"/>
      <c r="U1702" s="459"/>
      <c r="V1702" s="459"/>
      <c r="W1702" s="459"/>
      <c r="X1702" s="459"/>
      <c r="Y1702" s="666"/>
      <c r="Z1702" s="664"/>
      <c r="AA1702" s="665"/>
      <c r="AB1702" s="665"/>
      <c r="AC1702" s="665"/>
      <c r="AD1702" s="665"/>
      <c r="AE1702" s="665"/>
      <c r="AF1702" s="649"/>
      <c r="AG1702" s="650"/>
      <c r="AH1702" s="650"/>
      <c r="AI1702" s="667"/>
    </row>
    <row r="1703" spans="12:35" ht="45" customHeight="1" thickBot="1" x14ac:dyDescent="0.25">
      <c r="L1703" s="645"/>
      <c r="M1703" s="616"/>
      <c r="N1703" s="616"/>
      <c r="O1703" s="616"/>
      <c r="P1703" s="615"/>
      <c r="Q1703" s="616"/>
      <c r="R1703" s="663"/>
      <c r="S1703" s="459"/>
      <c r="T1703" s="459"/>
      <c r="U1703" s="459"/>
      <c r="V1703" s="459"/>
      <c r="W1703" s="459"/>
      <c r="X1703" s="459"/>
      <c r="Y1703" s="666"/>
      <c r="Z1703" s="664"/>
      <c r="AA1703" s="665"/>
      <c r="AB1703" s="665"/>
      <c r="AC1703" s="665"/>
      <c r="AD1703" s="665"/>
      <c r="AE1703" s="665"/>
      <c r="AF1703" s="649"/>
      <c r="AG1703" s="650"/>
      <c r="AH1703" s="650"/>
      <c r="AI1703" s="667"/>
    </row>
    <row r="1704" spans="12:35" ht="45" customHeight="1" thickBot="1" x14ac:dyDescent="0.25">
      <c r="L1704" s="645"/>
      <c r="M1704" s="616"/>
      <c r="N1704" s="616"/>
      <c r="O1704" s="616"/>
      <c r="P1704" s="615"/>
      <c r="Q1704" s="616"/>
      <c r="R1704" s="663"/>
      <c r="S1704" s="459"/>
      <c r="T1704" s="459"/>
      <c r="U1704" s="459"/>
      <c r="V1704" s="459"/>
      <c r="W1704" s="459"/>
      <c r="X1704" s="459"/>
      <c r="Y1704" s="666"/>
      <c r="Z1704" s="664"/>
      <c r="AA1704" s="665"/>
      <c r="AB1704" s="665"/>
      <c r="AC1704" s="665"/>
      <c r="AD1704" s="665"/>
      <c r="AE1704" s="665"/>
      <c r="AF1704" s="649"/>
      <c r="AG1704" s="650"/>
      <c r="AH1704" s="650"/>
      <c r="AI1704" s="667"/>
    </row>
    <row r="1705" spans="12:35" ht="45" customHeight="1" thickBot="1" x14ac:dyDescent="0.25">
      <c r="L1705" s="645"/>
      <c r="M1705" s="616"/>
      <c r="N1705" s="616"/>
      <c r="O1705" s="616"/>
      <c r="P1705" s="615"/>
      <c r="Q1705" s="616"/>
      <c r="R1705" s="663"/>
      <c r="S1705" s="459"/>
      <c r="T1705" s="459"/>
      <c r="U1705" s="459"/>
      <c r="V1705" s="459"/>
      <c r="W1705" s="459"/>
      <c r="X1705" s="459"/>
      <c r="Y1705" s="666"/>
      <c r="Z1705" s="664"/>
      <c r="AA1705" s="665"/>
      <c r="AB1705" s="665"/>
      <c r="AC1705" s="665"/>
      <c r="AD1705" s="665"/>
      <c r="AE1705" s="665"/>
      <c r="AF1705" s="649"/>
      <c r="AG1705" s="650"/>
      <c r="AH1705" s="650"/>
      <c r="AI1705" s="667"/>
    </row>
    <row r="1706" spans="12:35" ht="45" customHeight="1" thickBot="1" x14ac:dyDescent="0.25">
      <c r="L1706" s="645"/>
      <c r="M1706" s="616"/>
      <c r="N1706" s="616"/>
      <c r="O1706" s="616"/>
      <c r="P1706" s="615"/>
      <c r="Q1706" s="616"/>
      <c r="R1706" s="663"/>
      <c r="S1706" s="459"/>
      <c r="T1706" s="459"/>
      <c r="U1706" s="459"/>
      <c r="V1706" s="459"/>
      <c r="W1706" s="459"/>
      <c r="X1706" s="459"/>
      <c r="Y1706" s="666"/>
      <c r="Z1706" s="664"/>
      <c r="AA1706" s="665"/>
      <c r="AB1706" s="665"/>
      <c r="AC1706" s="665"/>
      <c r="AD1706" s="665"/>
      <c r="AE1706" s="665"/>
      <c r="AF1706" s="649"/>
      <c r="AG1706" s="650"/>
      <c r="AH1706" s="650"/>
      <c r="AI1706" s="667"/>
    </row>
    <row r="1707" spans="12:35" ht="45" customHeight="1" thickBot="1" x14ac:dyDescent="0.25">
      <c r="L1707" s="645"/>
      <c r="M1707" s="616"/>
      <c r="N1707" s="616"/>
      <c r="O1707" s="616"/>
      <c r="P1707" s="615"/>
      <c r="Q1707" s="616"/>
      <c r="R1707" s="663"/>
      <c r="S1707" s="459"/>
      <c r="T1707" s="459"/>
      <c r="U1707" s="459"/>
      <c r="V1707" s="459"/>
      <c r="W1707" s="459"/>
      <c r="X1707" s="459"/>
      <c r="Y1707" s="666"/>
      <c r="Z1707" s="664"/>
      <c r="AA1707" s="665"/>
      <c r="AB1707" s="665"/>
      <c r="AC1707" s="665"/>
      <c r="AD1707" s="665"/>
      <c r="AE1707" s="665"/>
      <c r="AF1707" s="649"/>
      <c r="AG1707" s="650"/>
      <c r="AH1707" s="650"/>
      <c r="AI1707" s="667"/>
    </row>
    <row r="1708" spans="12:35" ht="45" customHeight="1" thickBot="1" x14ac:dyDescent="0.25">
      <c r="L1708" s="645"/>
      <c r="M1708" s="616"/>
      <c r="N1708" s="616"/>
      <c r="O1708" s="616"/>
      <c r="P1708" s="615"/>
      <c r="Q1708" s="616"/>
      <c r="R1708" s="663"/>
      <c r="S1708" s="459"/>
      <c r="T1708" s="459"/>
      <c r="U1708" s="459"/>
      <c r="V1708" s="459"/>
      <c r="W1708" s="459"/>
      <c r="X1708" s="459"/>
      <c r="Y1708" s="666"/>
      <c r="Z1708" s="664"/>
      <c r="AA1708" s="665"/>
      <c r="AB1708" s="665"/>
      <c r="AC1708" s="665"/>
      <c r="AD1708" s="665"/>
      <c r="AE1708" s="665"/>
      <c r="AF1708" s="649"/>
      <c r="AG1708" s="650"/>
      <c r="AH1708" s="650"/>
      <c r="AI1708" s="667"/>
    </row>
    <row r="1709" spans="12:35" ht="45" customHeight="1" thickBot="1" x14ac:dyDescent="0.25">
      <c r="L1709" s="645"/>
      <c r="M1709" s="616"/>
      <c r="N1709" s="616"/>
      <c r="O1709" s="616"/>
      <c r="P1709" s="615"/>
      <c r="Q1709" s="616"/>
      <c r="R1709" s="663"/>
      <c r="S1709" s="459"/>
      <c r="T1709" s="459"/>
      <c r="U1709" s="459"/>
      <c r="V1709" s="459"/>
      <c r="W1709" s="459"/>
      <c r="X1709" s="459"/>
      <c r="Y1709" s="666"/>
      <c r="Z1709" s="664"/>
      <c r="AA1709" s="665"/>
      <c r="AB1709" s="665"/>
      <c r="AC1709" s="665"/>
      <c r="AD1709" s="665"/>
      <c r="AE1709" s="665"/>
      <c r="AF1709" s="649"/>
      <c r="AG1709" s="650"/>
      <c r="AH1709" s="650"/>
      <c r="AI1709" s="667"/>
    </row>
    <row r="1710" spans="12:35" ht="45" customHeight="1" thickBot="1" x14ac:dyDescent="0.25">
      <c r="L1710" s="645"/>
      <c r="M1710" s="616"/>
      <c r="N1710" s="616"/>
      <c r="O1710" s="616"/>
      <c r="P1710" s="615"/>
      <c r="Q1710" s="616"/>
      <c r="R1710" s="663"/>
      <c r="S1710" s="459"/>
      <c r="T1710" s="459"/>
      <c r="U1710" s="459"/>
      <c r="V1710" s="459"/>
      <c r="W1710" s="459"/>
      <c r="X1710" s="459"/>
      <c r="Y1710" s="666"/>
      <c r="Z1710" s="664"/>
      <c r="AA1710" s="665"/>
      <c r="AB1710" s="665"/>
      <c r="AC1710" s="665"/>
      <c r="AD1710" s="665"/>
      <c r="AE1710" s="665"/>
      <c r="AF1710" s="649"/>
      <c r="AG1710" s="650"/>
      <c r="AH1710" s="650"/>
      <c r="AI1710" s="667"/>
    </row>
    <row r="1711" spans="12:35" ht="45" customHeight="1" thickBot="1" x14ac:dyDescent="0.25">
      <c r="L1711" s="645"/>
      <c r="M1711" s="616"/>
      <c r="N1711" s="616"/>
      <c r="O1711" s="616"/>
      <c r="P1711" s="615"/>
      <c r="Q1711" s="616"/>
      <c r="R1711" s="663"/>
      <c r="S1711" s="459"/>
      <c r="T1711" s="459"/>
      <c r="U1711" s="459"/>
      <c r="V1711" s="459"/>
      <c r="W1711" s="459"/>
      <c r="X1711" s="459"/>
      <c r="Y1711" s="666"/>
      <c r="Z1711" s="664"/>
      <c r="AA1711" s="665"/>
      <c r="AB1711" s="665"/>
      <c r="AC1711" s="665"/>
      <c r="AD1711" s="665"/>
      <c r="AE1711" s="665"/>
      <c r="AF1711" s="649"/>
      <c r="AG1711" s="650"/>
      <c r="AH1711" s="650"/>
      <c r="AI1711" s="667"/>
    </row>
    <row r="1712" spans="12:35" ht="45" customHeight="1" thickBot="1" x14ac:dyDescent="0.25">
      <c r="L1712" s="645"/>
      <c r="M1712" s="616"/>
      <c r="N1712" s="616"/>
      <c r="O1712" s="616"/>
      <c r="P1712" s="615"/>
      <c r="Q1712" s="616"/>
      <c r="R1712" s="663"/>
      <c r="S1712" s="459"/>
      <c r="T1712" s="459"/>
      <c r="U1712" s="459"/>
      <c r="V1712" s="459"/>
      <c r="W1712" s="459"/>
      <c r="X1712" s="459"/>
      <c r="Y1712" s="666"/>
      <c r="Z1712" s="664"/>
      <c r="AA1712" s="665"/>
      <c r="AB1712" s="665"/>
      <c r="AC1712" s="665"/>
      <c r="AD1712" s="665"/>
      <c r="AE1712" s="665"/>
      <c r="AF1712" s="649"/>
      <c r="AG1712" s="650"/>
      <c r="AH1712" s="650"/>
      <c r="AI1712" s="667"/>
    </row>
    <row r="1713" spans="12:35" ht="45" customHeight="1" thickBot="1" x14ac:dyDescent="0.25">
      <c r="L1713" s="645"/>
      <c r="M1713" s="616"/>
      <c r="N1713" s="616"/>
      <c r="O1713" s="616"/>
      <c r="P1713" s="615"/>
      <c r="Q1713" s="616"/>
      <c r="R1713" s="663"/>
      <c r="S1713" s="459"/>
      <c r="T1713" s="459"/>
      <c r="U1713" s="459"/>
      <c r="V1713" s="459"/>
      <c r="W1713" s="459"/>
      <c r="X1713" s="459"/>
      <c r="Y1713" s="666"/>
      <c r="Z1713" s="664"/>
      <c r="AA1713" s="665"/>
      <c r="AB1713" s="665"/>
      <c r="AC1713" s="665"/>
      <c r="AD1713" s="665"/>
      <c r="AE1713" s="665"/>
      <c r="AF1713" s="649"/>
      <c r="AG1713" s="650"/>
      <c r="AH1713" s="650"/>
      <c r="AI1713" s="667"/>
    </row>
    <row r="1714" spans="12:35" ht="45" customHeight="1" thickBot="1" x14ac:dyDescent="0.25">
      <c r="L1714" s="645"/>
      <c r="M1714" s="616"/>
      <c r="N1714" s="616"/>
      <c r="O1714" s="616"/>
      <c r="P1714" s="615"/>
      <c r="Q1714" s="616"/>
      <c r="R1714" s="663"/>
      <c r="S1714" s="459"/>
      <c r="T1714" s="459"/>
      <c r="U1714" s="459"/>
      <c r="V1714" s="459"/>
      <c r="W1714" s="459"/>
      <c r="X1714" s="459"/>
      <c r="Y1714" s="666"/>
      <c r="Z1714" s="664"/>
      <c r="AA1714" s="665"/>
      <c r="AB1714" s="665"/>
      <c r="AC1714" s="665"/>
      <c r="AD1714" s="665"/>
      <c r="AE1714" s="665"/>
      <c r="AF1714" s="649"/>
      <c r="AG1714" s="650"/>
      <c r="AH1714" s="650"/>
      <c r="AI1714" s="667"/>
    </row>
    <row r="1715" spans="12:35" ht="45" customHeight="1" thickBot="1" x14ac:dyDescent="0.25">
      <c r="L1715" s="645"/>
      <c r="M1715" s="616"/>
      <c r="N1715" s="616"/>
      <c r="O1715" s="616"/>
      <c r="P1715" s="615"/>
      <c r="Q1715" s="616"/>
      <c r="R1715" s="663"/>
      <c r="S1715" s="459"/>
      <c r="T1715" s="459"/>
      <c r="U1715" s="459"/>
      <c r="V1715" s="459"/>
      <c r="W1715" s="459"/>
      <c r="X1715" s="459"/>
      <c r="Y1715" s="666"/>
      <c r="Z1715" s="664"/>
      <c r="AA1715" s="665"/>
      <c r="AB1715" s="665"/>
      <c r="AC1715" s="665"/>
      <c r="AD1715" s="665"/>
      <c r="AE1715" s="665"/>
      <c r="AF1715" s="649"/>
      <c r="AG1715" s="650"/>
      <c r="AH1715" s="650"/>
      <c r="AI1715" s="667"/>
    </row>
    <row r="1716" spans="12:35" ht="45" customHeight="1" thickBot="1" x14ac:dyDescent="0.25">
      <c r="L1716" s="645"/>
      <c r="M1716" s="616"/>
      <c r="N1716" s="616"/>
      <c r="O1716" s="616"/>
      <c r="P1716" s="615"/>
      <c r="Q1716" s="616"/>
      <c r="R1716" s="663"/>
      <c r="S1716" s="459"/>
      <c r="T1716" s="459"/>
      <c r="U1716" s="459"/>
      <c r="V1716" s="459"/>
      <c r="W1716" s="459"/>
      <c r="X1716" s="459"/>
      <c r="Y1716" s="666"/>
      <c r="Z1716" s="664"/>
      <c r="AA1716" s="665"/>
      <c r="AB1716" s="665"/>
      <c r="AC1716" s="665"/>
      <c r="AD1716" s="665"/>
      <c r="AE1716" s="665"/>
      <c r="AF1716" s="649"/>
      <c r="AG1716" s="650"/>
      <c r="AH1716" s="650"/>
      <c r="AI1716" s="667"/>
    </row>
    <row r="1717" spans="12:35" ht="45" customHeight="1" thickBot="1" x14ac:dyDescent="0.25">
      <c r="L1717" s="645"/>
      <c r="M1717" s="616"/>
      <c r="N1717" s="616"/>
      <c r="O1717" s="616"/>
      <c r="P1717" s="615"/>
      <c r="Q1717" s="616"/>
      <c r="R1717" s="663"/>
      <c r="S1717" s="459"/>
      <c r="T1717" s="459"/>
      <c r="U1717" s="459"/>
      <c r="V1717" s="459"/>
      <c r="W1717" s="459"/>
      <c r="X1717" s="459"/>
      <c r="Y1717" s="666"/>
      <c r="Z1717" s="664"/>
      <c r="AA1717" s="665"/>
      <c r="AB1717" s="665"/>
      <c r="AC1717" s="665"/>
      <c r="AD1717" s="665"/>
      <c r="AE1717" s="665"/>
      <c r="AF1717" s="649"/>
      <c r="AG1717" s="650"/>
      <c r="AH1717" s="650"/>
      <c r="AI1717" s="667"/>
    </row>
    <row r="1718" spans="12:35" ht="45" customHeight="1" thickBot="1" x14ac:dyDescent="0.25">
      <c r="L1718" s="645"/>
      <c r="M1718" s="616"/>
      <c r="N1718" s="616"/>
      <c r="O1718" s="616"/>
      <c r="P1718" s="615"/>
      <c r="Q1718" s="616"/>
      <c r="R1718" s="663"/>
      <c r="S1718" s="459"/>
      <c r="T1718" s="459"/>
      <c r="U1718" s="459"/>
      <c r="V1718" s="459"/>
      <c r="W1718" s="459"/>
      <c r="X1718" s="459"/>
      <c r="Y1718" s="666"/>
      <c r="Z1718" s="664"/>
      <c r="AA1718" s="665"/>
      <c r="AB1718" s="665"/>
      <c r="AC1718" s="665"/>
      <c r="AD1718" s="665"/>
      <c r="AE1718" s="665"/>
      <c r="AF1718" s="649"/>
      <c r="AG1718" s="650"/>
      <c r="AH1718" s="650"/>
      <c r="AI1718" s="667"/>
    </row>
    <row r="1719" spans="12:35" ht="45" customHeight="1" thickBot="1" x14ac:dyDescent="0.25">
      <c r="L1719" s="645"/>
      <c r="M1719" s="616"/>
      <c r="N1719" s="616"/>
      <c r="O1719" s="616"/>
      <c r="P1719" s="615"/>
      <c r="Q1719" s="616"/>
      <c r="R1719" s="663"/>
      <c r="S1719" s="459"/>
      <c r="T1719" s="459"/>
      <c r="U1719" s="459"/>
      <c r="V1719" s="459"/>
      <c r="W1719" s="459"/>
      <c r="X1719" s="459"/>
      <c r="Y1719" s="666"/>
      <c r="Z1719" s="664"/>
      <c r="AA1719" s="665"/>
      <c r="AB1719" s="665"/>
      <c r="AC1719" s="665"/>
      <c r="AD1719" s="665"/>
      <c r="AE1719" s="665"/>
      <c r="AF1719" s="649"/>
      <c r="AG1719" s="650"/>
      <c r="AH1719" s="650"/>
      <c r="AI1719" s="667"/>
    </row>
    <row r="1720" spans="12:35" ht="45" customHeight="1" thickBot="1" x14ac:dyDescent="0.25">
      <c r="L1720" s="645"/>
      <c r="M1720" s="616"/>
      <c r="N1720" s="616"/>
      <c r="O1720" s="616"/>
      <c r="P1720" s="615"/>
      <c r="Q1720" s="616"/>
      <c r="R1720" s="663"/>
      <c r="S1720" s="459"/>
      <c r="T1720" s="459"/>
      <c r="U1720" s="459"/>
      <c r="V1720" s="459"/>
      <c r="W1720" s="459"/>
      <c r="X1720" s="459"/>
      <c r="Y1720" s="666"/>
      <c r="Z1720" s="664"/>
      <c r="AA1720" s="665"/>
      <c r="AB1720" s="665"/>
      <c r="AC1720" s="665"/>
      <c r="AD1720" s="665"/>
      <c r="AE1720" s="665"/>
      <c r="AF1720" s="649"/>
      <c r="AG1720" s="650"/>
      <c r="AH1720" s="650"/>
      <c r="AI1720" s="667"/>
    </row>
    <row r="1721" spans="12:35" ht="45" customHeight="1" thickBot="1" x14ac:dyDescent="0.25">
      <c r="L1721" s="645"/>
      <c r="M1721" s="616"/>
      <c r="N1721" s="616"/>
      <c r="O1721" s="616"/>
      <c r="P1721" s="615"/>
      <c r="Q1721" s="616"/>
      <c r="R1721" s="663"/>
      <c r="S1721" s="459"/>
      <c r="T1721" s="459"/>
      <c r="U1721" s="459"/>
      <c r="V1721" s="459"/>
      <c r="W1721" s="459"/>
      <c r="X1721" s="459"/>
      <c r="Y1721" s="666"/>
      <c r="Z1721" s="664"/>
      <c r="AA1721" s="665"/>
      <c r="AB1721" s="665"/>
      <c r="AC1721" s="665"/>
      <c r="AD1721" s="665"/>
      <c r="AE1721" s="665"/>
      <c r="AF1721" s="649"/>
      <c r="AG1721" s="650"/>
      <c r="AH1721" s="650"/>
      <c r="AI1721" s="667"/>
    </row>
    <row r="1722" spans="12:35" ht="45" customHeight="1" thickBot="1" x14ac:dyDescent="0.25">
      <c r="L1722" s="645"/>
      <c r="M1722" s="616"/>
      <c r="N1722" s="616"/>
      <c r="O1722" s="616"/>
      <c r="P1722" s="615"/>
      <c r="Q1722" s="616"/>
      <c r="R1722" s="663"/>
      <c r="S1722" s="459"/>
      <c r="T1722" s="459"/>
      <c r="U1722" s="459"/>
      <c r="V1722" s="459"/>
      <c r="W1722" s="459"/>
      <c r="X1722" s="459"/>
      <c r="Y1722" s="666"/>
      <c r="Z1722" s="664"/>
      <c r="AA1722" s="665"/>
      <c r="AB1722" s="665"/>
      <c r="AC1722" s="665"/>
      <c r="AD1722" s="665"/>
      <c r="AE1722" s="665"/>
      <c r="AF1722" s="649"/>
      <c r="AG1722" s="650"/>
      <c r="AH1722" s="650"/>
      <c r="AI1722" s="667"/>
    </row>
    <row r="1723" spans="12:35" ht="45" customHeight="1" thickBot="1" x14ac:dyDescent="0.25">
      <c r="L1723" s="645"/>
      <c r="M1723" s="616"/>
      <c r="N1723" s="616"/>
      <c r="O1723" s="616"/>
      <c r="P1723" s="615"/>
      <c r="Q1723" s="616"/>
      <c r="R1723" s="663"/>
      <c r="S1723" s="459"/>
      <c r="T1723" s="459"/>
      <c r="U1723" s="459"/>
      <c r="V1723" s="459"/>
      <c r="W1723" s="459"/>
      <c r="X1723" s="459"/>
      <c r="Y1723" s="666"/>
      <c r="Z1723" s="664"/>
      <c r="AA1723" s="665"/>
      <c r="AB1723" s="665"/>
      <c r="AC1723" s="665"/>
      <c r="AD1723" s="665"/>
      <c r="AE1723" s="665"/>
      <c r="AF1723" s="649"/>
      <c r="AG1723" s="650"/>
      <c r="AH1723" s="650"/>
      <c r="AI1723" s="667"/>
    </row>
    <row r="1724" spans="12:35" ht="45" customHeight="1" thickBot="1" x14ac:dyDescent="0.25">
      <c r="L1724" s="645"/>
      <c r="M1724" s="616"/>
      <c r="N1724" s="616"/>
      <c r="O1724" s="616"/>
      <c r="P1724" s="615"/>
      <c r="Q1724" s="616"/>
      <c r="R1724" s="663"/>
      <c r="S1724" s="459"/>
      <c r="T1724" s="459"/>
      <c r="U1724" s="459"/>
      <c r="V1724" s="459"/>
      <c r="W1724" s="459"/>
      <c r="X1724" s="459"/>
      <c r="Y1724" s="666"/>
      <c r="Z1724" s="664"/>
      <c r="AA1724" s="665"/>
      <c r="AB1724" s="665"/>
      <c r="AC1724" s="665"/>
      <c r="AD1724" s="665"/>
      <c r="AE1724" s="665"/>
      <c r="AF1724" s="649"/>
      <c r="AG1724" s="650"/>
      <c r="AH1724" s="650"/>
      <c r="AI1724" s="667"/>
    </row>
    <row r="1725" spans="12:35" ht="45" customHeight="1" thickBot="1" x14ac:dyDescent="0.25">
      <c r="L1725" s="645"/>
      <c r="M1725" s="616"/>
      <c r="N1725" s="616"/>
      <c r="O1725" s="616"/>
      <c r="P1725" s="615"/>
      <c r="Q1725" s="616"/>
      <c r="R1725" s="663"/>
      <c r="S1725" s="459"/>
      <c r="T1725" s="459"/>
      <c r="U1725" s="459"/>
      <c r="V1725" s="459"/>
      <c r="W1725" s="459"/>
      <c r="X1725" s="459"/>
      <c r="Y1725" s="666"/>
      <c r="Z1725" s="664"/>
      <c r="AA1725" s="665"/>
      <c r="AB1725" s="665"/>
      <c r="AC1725" s="665"/>
      <c r="AD1725" s="665"/>
      <c r="AE1725" s="665"/>
      <c r="AF1725" s="649"/>
      <c r="AG1725" s="650"/>
      <c r="AH1725" s="650"/>
      <c r="AI1725" s="667"/>
    </row>
    <row r="1726" spans="12:35" ht="45" customHeight="1" thickBot="1" x14ac:dyDescent="0.25">
      <c r="L1726" s="645"/>
      <c r="M1726" s="616"/>
      <c r="N1726" s="616"/>
      <c r="O1726" s="616"/>
      <c r="P1726" s="615"/>
      <c r="Q1726" s="616"/>
      <c r="R1726" s="663"/>
      <c r="S1726" s="459"/>
      <c r="T1726" s="459"/>
      <c r="U1726" s="459"/>
      <c r="V1726" s="459"/>
      <c r="W1726" s="459"/>
      <c r="X1726" s="459"/>
      <c r="Y1726" s="666"/>
      <c r="Z1726" s="664"/>
      <c r="AA1726" s="665"/>
      <c r="AB1726" s="665"/>
      <c r="AC1726" s="665"/>
      <c r="AD1726" s="665"/>
      <c r="AE1726" s="665"/>
      <c r="AF1726" s="649"/>
      <c r="AG1726" s="650"/>
      <c r="AH1726" s="650"/>
      <c r="AI1726" s="667"/>
    </row>
    <row r="1727" spans="12:35" ht="45" customHeight="1" thickBot="1" x14ac:dyDescent="0.25">
      <c r="L1727" s="645"/>
      <c r="M1727" s="616"/>
      <c r="N1727" s="616"/>
      <c r="O1727" s="616"/>
      <c r="P1727" s="615"/>
      <c r="Q1727" s="616"/>
      <c r="R1727" s="663"/>
      <c r="S1727" s="459"/>
      <c r="T1727" s="459"/>
      <c r="U1727" s="459"/>
      <c r="V1727" s="459"/>
      <c r="W1727" s="459"/>
      <c r="X1727" s="459"/>
      <c r="Y1727" s="666"/>
      <c r="Z1727" s="664"/>
      <c r="AA1727" s="665"/>
      <c r="AB1727" s="665"/>
      <c r="AC1727" s="665"/>
      <c r="AD1727" s="665"/>
      <c r="AE1727" s="665"/>
      <c r="AF1727" s="649"/>
      <c r="AG1727" s="650"/>
      <c r="AH1727" s="650"/>
      <c r="AI1727" s="667"/>
    </row>
    <row r="1728" spans="12:35" ht="45" customHeight="1" thickBot="1" x14ac:dyDescent="0.25">
      <c r="L1728" s="645"/>
      <c r="M1728" s="616"/>
      <c r="N1728" s="616"/>
      <c r="O1728" s="616"/>
      <c r="P1728" s="615"/>
      <c r="Q1728" s="616"/>
      <c r="R1728" s="663"/>
      <c r="S1728" s="459"/>
      <c r="T1728" s="459"/>
      <c r="U1728" s="459"/>
      <c r="V1728" s="459"/>
      <c r="W1728" s="459"/>
      <c r="X1728" s="459"/>
      <c r="Y1728" s="666"/>
      <c r="Z1728" s="664"/>
      <c r="AA1728" s="665"/>
      <c r="AB1728" s="665"/>
      <c r="AC1728" s="665"/>
      <c r="AD1728" s="665"/>
      <c r="AE1728" s="665"/>
      <c r="AF1728" s="649"/>
      <c r="AG1728" s="650"/>
      <c r="AH1728" s="650"/>
      <c r="AI1728" s="667"/>
    </row>
    <row r="1729" spans="12:35" ht="45" customHeight="1" thickBot="1" x14ac:dyDescent="0.25">
      <c r="L1729" s="645"/>
      <c r="M1729" s="616"/>
      <c r="N1729" s="616"/>
      <c r="O1729" s="616"/>
      <c r="P1729" s="615"/>
      <c r="Q1729" s="616"/>
      <c r="R1729" s="663"/>
      <c r="S1729" s="459"/>
      <c r="T1729" s="459"/>
      <c r="U1729" s="459"/>
      <c r="V1729" s="459"/>
      <c r="W1729" s="459"/>
      <c r="X1729" s="459"/>
      <c r="Y1729" s="666"/>
      <c r="Z1729" s="664"/>
      <c r="AA1729" s="665"/>
      <c r="AB1729" s="665"/>
      <c r="AC1729" s="665"/>
      <c r="AD1729" s="665"/>
      <c r="AE1729" s="665"/>
      <c r="AF1729" s="649"/>
      <c r="AG1729" s="650"/>
      <c r="AH1729" s="650"/>
      <c r="AI1729" s="667"/>
    </row>
    <row r="1730" spans="12:35" ht="45" customHeight="1" thickBot="1" x14ac:dyDescent="0.25">
      <c r="L1730" s="645"/>
      <c r="M1730" s="616"/>
      <c r="N1730" s="616"/>
      <c r="O1730" s="616"/>
      <c r="P1730" s="615"/>
      <c r="Q1730" s="616"/>
      <c r="R1730" s="663"/>
      <c r="S1730" s="459"/>
      <c r="T1730" s="459"/>
      <c r="U1730" s="459"/>
      <c r="V1730" s="459"/>
      <c r="W1730" s="459"/>
      <c r="X1730" s="459"/>
      <c r="Y1730" s="666"/>
      <c r="Z1730" s="664"/>
      <c r="AA1730" s="665"/>
      <c r="AB1730" s="665"/>
      <c r="AC1730" s="665"/>
      <c r="AD1730" s="665"/>
      <c r="AE1730" s="665"/>
      <c r="AF1730" s="649"/>
      <c r="AG1730" s="650"/>
      <c r="AH1730" s="650"/>
      <c r="AI1730" s="667"/>
    </row>
    <row r="1731" spans="12:35" ht="45" customHeight="1" thickBot="1" x14ac:dyDescent="0.25">
      <c r="L1731" s="645"/>
      <c r="M1731" s="616"/>
      <c r="N1731" s="616"/>
      <c r="O1731" s="616"/>
      <c r="P1731" s="615"/>
      <c r="Q1731" s="616"/>
      <c r="R1731" s="663"/>
      <c r="S1731" s="459"/>
      <c r="T1731" s="459"/>
      <c r="U1731" s="459"/>
      <c r="V1731" s="459"/>
      <c r="W1731" s="459"/>
      <c r="X1731" s="459"/>
      <c r="Y1731" s="666"/>
      <c r="Z1731" s="664"/>
      <c r="AA1731" s="665"/>
      <c r="AB1731" s="665"/>
      <c r="AC1731" s="665"/>
      <c r="AD1731" s="665"/>
      <c r="AE1731" s="665"/>
      <c r="AF1731" s="649"/>
      <c r="AG1731" s="650"/>
      <c r="AH1731" s="650"/>
      <c r="AI1731" s="667"/>
    </row>
    <row r="1732" spans="12:35" ht="45" customHeight="1" thickBot="1" x14ac:dyDescent="0.25">
      <c r="L1732" s="645"/>
      <c r="M1732" s="616"/>
      <c r="N1732" s="616"/>
      <c r="O1732" s="616"/>
      <c r="P1732" s="615"/>
      <c r="Q1732" s="616"/>
      <c r="R1732" s="663"/>
      <c r="S1732" s="459"/>
      <c r="T1732" s="459"/>
      <c r="U1732" s="459"/>
      <c r="V1732" s="459"/>
      <c r="W1732" s="459"/>
      <c r="X1732" s="459"/>
      <c r="Y1732" s="666"/>
      <c r="Z1732" s="664"/>
      <c r="AA1732" s="665"/>
      <c r="AB1732" s="665"/>
      <c r="AC1732" s="665"/>
      <c r="AD1732" s="665"/>
      <c r="AE1732" s="665"/>
      <c r="AF1732" s="649"/>
      <c r="AG1732" s="650"/>
      <c r="AH1732" s="650"/>
      <c r="AI1732" s="667"/>
    </row>
    <row r="1733" spans="12:35" ht="45" customHeight="1" thickBot="1" x14ac:dyDescent="0.25">
      <c r="L1733" s="645"/>
      <c r="M1733" s="616"/>
      <c r="N1733" s="616"/>
      <c r="O1733" s="616"/>
      <c r="P1733" s="615"/>
      <c r="Q1733" s="616"/>
      <c r="R1733" s="663"/>
      <c r="S1733" s="459"/>
      <c r="T1733" s="459"/>
      <c r="U1733" s="459"/>
      <c r="V1733" s="459"/>
      <c r="W1733" s="459"/>
      <c r="X1733" s="459"/>
      <c r="Y1733" s="666"/>
      <c r="Z1733" s="664"/>
      <c r="AA1733" s="665"/>
      <c r="AB1733" s="665"/>
      <c r="AC1733" s="665"/>
      <c r="AD1733" s="665"/>
      <c r="AE1733" s="665"/>
      <c r="AF1733" s="649"/>
      <c r="AG1733" s="650"/>
      <c r="AH1733" s="650"/>
      <c r="AI1733" s="667"/>
    </row>
    <row r="1734" spans="12:35" ht="45" customHeight="1" thickBot="1" x14ac:dyDescent="0.25">
      <c r="L1734" s="645"/>
      <c r="M1734" s="616"/>
      <c r="N1734" s="616"/>
      <c r="O1734" s="616"/>
      <c r="P1734" s="615"/>
      <c r="Q1734" s="616"/>
      <c r="R1734" s="663"/>
      <c r="S1734" s="459"/>
      <c r="T1734" s="459"/>
      <c r="U1734" s="459"/>
      <c r="V1734" s="459"/>
      <c r="W1734" s="459"/>
      <c r="X1734" s="459"/>
      <c r="Y1734" s="666"/>
      <c r="Z1734" s="664"/>
      <c r="AA1734" s="665"/>
      <c r="AB1734" s="665"/>
      <c r="AC1734" s="665"/>
      <c r="AD1734" s="665"/>
      <c r="AE1734" s="665"/>
      <c r="AF1734" s="649"/>
      <c r="AG1734" s="650"/>
      <c r="AH1734" s="650"/>
      <c r="AI1734" s="667"/>
    </row>
    <row r="1735" spans="12:35" ht="45" customHeight="1" thickBot="1" x14ac:dyDescent="0.25">
      <c r="L1735" s="645"/>
      <c r="M1735" s="616"/>
      <c r="N1735" s="616"/>
      <c r="O1735" s="616"/>
      <c r="P1735" s="615"/>
      <c r="Q1735" s="616"/>
      <c r="R1735" s="663"/>
      <c r="S1735" s="459"/>
      <c r="T1735" s="459"/>
      <c r="U1735" s="459"/>
      <c r="V1735" s="459"/>
      <c r="W1735" s="459"/>
      <c r="X1735" s="459"/>
      <c r="Y1735" s="666"/>
      <c r="Z1735" s="664"/>
      <c r="AA1735" s="665"/>
      <c r="AB1735" s="665"/>
      <c r="AC1735" s="665"/>
      <c r="AD1735" s="665"/>
      <c r="AE1735" s="665"/>
      <c r="AF1735" s="649"/>
      <c r="AG1735" s="650"/>
      <c r="AH1735" s="650"/>
      <c r="AI1735" s="667"/>
    </row>
    <row r="1736" spans="12:35" ht="45" customHeight="1" thickBot="1" x14ac:dyDescent="0.25">
      <c r="L1736" s="645"/>
      <c r="M1736" s="616"/>
      <c r="N1736" s="616"/>
      <c r="O1736" s="616"/>
      <c r="P1736" s="615"/>
      <c r="Q1736" s="616"/>
      <c r="R1736" s="663"/>
      <c r="S1736" s="459"/>
      <c r="T1736" s="459"/>
      <c r="U1736" s="459"/>
      <c r="V1736" s="459"/>
      <c r="W1736" s="459"/>
      <c r="X1736" s="459"/>
      <c r="Y1736" s="666"/>
      <c r="Z1736" s="664"/>
      <c r="AA1736" s="665"/>
      <c r="AB1736" s="665"/>
      <c r="AC1736" s="665"/>
      <c r="AD1736" s="665"/>
      <c r="AE1736" s="665"/>
      <c r="AF1736" s="649"/>
      <c r="AG1736" s="650"/>
      <c r="AH1736" s="650"/>
      <c r="AI1736" s="667"/>
    </row>
    <row r="1737" spans="12:35" ht="45" customHeight="1" thickBot="1" x14ac:dyDescent="0.25">
      <c r="L1737" s="645"/>
      <c r="M1737" s="616"/>
      <c r="N1737" s="616"/>
      <c r="O1737" s="616"/>
      <c r="P1737" s="615"/>
      <c r="Q1737" s="616"/>
      <c r="R1737" s="663"/>
      <c r="S1737" s="459"/>
      <c r="T1737" s="459"/>
      <c r="U1737" s="459"/>
      <c r="V1737" s="459"/>
      <c r="W1737" s="459"/>
      <c r="X1737" s="459"/>
      <c r="Y1737" s="666"/>
      <c r="Z1737" s="664"/>
      <c r="AA1737" s="665"/>
      <c r="AB1737" s="665"/>
      <c r="AC1737" s="665"/>
      <c r="AD1737" s="665"/>
      <c r="AE1737" s="665"/>
      <c r="AF1737" s="649"/>
      <c r="AG1737" s="650"/>
      <c r="AH1737" s="650"/>
      <c r="AI1737" s="667"/>
    </row>
    <row r="1738" spans="12:35" ht="45" customHeight="1" thickBot="1" x14ac:dyDescent="0.25">
      <c r="L1738" s="645"/>
      <c r="M1738" s="616"/>
      <c r="N1738" s="616"/>
      <c r="O1738" s="616"/>
      <c r="P1738" s="615"/>
      <c r="Q1738" s="616"/>
      <c r="R1738" s="663"/>
      <c r="S1738" s="459"/>
      <c r="T1738" s="459"/>
      <c r="U1738" s="459"/>
      <c r="V1738" s="459"/>
      <c r="W1738" s="459"/>
      <c r="X1738" s="459"/>
      <c r="Y1738" s="666"/>
      <c r="Z1738" s="664"/>
      <c r="AA1738" s="665"/>
      <c r="AB1738" s="665"/>
      <c r="AC1738" s="665"/>
      <c r="AD1738" s="665"/>
      <c r="AE1738" s="665"/>
      <c r="AF1738" s="649"/>
      <c r="AG1738" s="650"/>
      <c r="AH1738" s="650"/>
      <c r="AI1738" s="667"/>
    </row>
    <row r="1739" spans="12:35" ht="45" customHeight="1" thickBot="1" x14ac:dyDescent="0.25">
      <c r="L1739" s="645"/>
      <c r="M1739" s="616"/>
      <c r="N1739" s="616"/>
      <c r="O1739" s="616"/>
      <c r="P1739" s="615"/>
      <c r="Q1739" s="616"/>
      <c r="R1739" s="663"/>
      <c r="S1739" s="459"/>
      <c r="T1739" s="459"/>
      <c r="U1739" s="459"/>
      <c r="V1739" s="459"/>
      <c r="W1739" s="459"/>
      <c r="X1739" s="459"/>
      <c r="Y1739" s="666"/>
      <c r="Z1739" s="664"/>
      <c r="AA1739" s="665"/>
      <c r="AB1739" s="665"/>
      <c r="AC1739" s="665"/>
      <c r="AD1739" s="665"/>
      <c r="AE1739" s="665"/>
      <c r="AF1739" s="649"/>
      <c r="AG1739" s="650"/>
      <c r="AH1739" s="650"/>
      <c r="AI1739" s="667"/>
    </row>
    <row r="1740" spans="12:35" ht="45" customHeight="1" thickBot="1" x14ac:dyDescent="0.25">
      <c r="L1740" s="645"/>
      <c r="M1740" s="616"/>
      <c r="N1740" s="616"/>
      <c r="O1740" s="616"/>
      <c r="P1740" s="615"/>
      <c r="Q1740" s="616"/>
      <c r="R1740" s="663"/>
      <c r="S1740" s="459"/>
      <c r="T1740" s="459"/>
      <c r="U1740" s="459"/>
      <c r="V1740" s="459"/>
      <c r="W1740" s="459"/>
      <c r="X1740" s="459"/>
      <c r="Y1740" s="666"/>
      <c r="Z1740" s="664"/>
      <c r="AA1740" s="665"/>
      <c r="AB1740" s="665"/>
      <c r="AC1740" s="665"/>
      <c r="AD1740" s="665"/>
      <c r="AE1740" s="665"/>
      <c r="AF1740" s="649"/>
      <c r="AG1740" s="650"/>
      <c r="AH1740" s="650"/>
      <c r="AI1740" s="667"/>
    </row>
    <row r="1741" spans="12:35" ht="45" customHeight="1" thickBot="1" x14ac:dyDescent="0.25">
      <c r="L1741" s="645"/>
      <c r="M1741" s="616"/>
      <c r="N1741" s="616"/>
      <c r="O1741" s="616"/>
      <c r="P1741" s="615"/>
      <c r="Q1741" s="616"/>
      <c r="R1741" s="663"/>
      <c r="S1741" s="459"/>
      <c r="T1741" s="459"/>
      <c r="U1741" s="459"/>
      <c r="V1741" s="459"/>
      <c r="W1741" s="459"/>
      <c r="X1741" s="459"/>
      <c r="Y1741" s="666"/>
      <c r="Z1741" s="664"/>
      <c r="AA1741" s="665"/>
      <c r="AB1741" s="665"/>
      <c r="AC1741" s="665"/>
      <c r="AD1741" s="665"/>
      <c r="AE1741" s="665"/>
      <c r="AF1741" s="649"/>
      <c r="AG1741" s="650"/>
      <c r="AH1741" s="650"/>
      <c r="AI1741" s="667"/>
    </row>
    <row r="1742" spans="12:35" ht="45" customHeight="1" thickBot="1" x14ac:dyDescent="0.25">
      <c r="L1742" s="645"/>
      <c r="M1742" s="616"/>
      <c r="N1742" s="616"/>
      <c r="O1742" s="616"/>
      <c r="P1742" s="615"/>
      <c r="Q1742" s="616"/>
      <c r="R1742" s="663"/>
      <c r="S1742" s="459"/>
      <c r="T1742" s="459"/>
      <c r="U1742" s="459"/>
      <c r="V1742" s="459"/>
      <c r="W1742" s="459"/>
      <c r="X1742" s="459"/>
      <c r="Y1742" s="666"/>
      <c r="Z1742" s="664"/>
      <c r="AA1742" s="665"/>
      <c r="AB1742" s="665"/>
      <c r="AC1742" s="665"/>
      <c r="AD1742" s="665"/>
      <c r="AE1742" s="665"/>
      <c r="AF1742" s="649"/>
      <c r="AG1742" s="650"/>
      <c r="AH1742" s="650"/>
      <c r="AI1742" s="667"/>
    </row>
    <row r="1743" spans="12:35" ht="45" customHeight="1" thickBot="1" x14ac:dyDescent="0.25">
      <c r="L1743" s="645"/>
      <c r="M1743" s="616"/>
      <c r="N1743" s="616"/>
      <c r="O1743" s="616"/>
      <c r="P1743" s="615"/>
      <c r="Q1743" s="616"/>
      <c r="R1743" s="663"/>
      <c r="S1743" s="459"/>
      <c r="T1743" s="459"/>
      <c r="U1743" s="459"/>
      <c r="V1743" s="459"/>
      <c r="W1743" s="459"/>
      <c r="X1743" s="459"/>
      <c r="Y1743" s="666"/>
      <c r="Z1743" s="664"/>
      <c r="AA1743" s="665"/>
      <c r="AB1743" s="665"/>
      <c r="AC1743" s="665"/>
      <c r="AD1743" s="665"/>
      <c r="AE1743" s="665"/>
      <c r="AF1743" s="649"/>
      <c r="AG1743" s="650"/>
      <c r="AH1743" s="650"/>
      <c r="AI1743" s="667"/>
    </row>
    <row r="1744" spans="12:35" ht="45" customHeight="1" thickBot="1" x14ac:dyDescent="0.25">
      <c r="L1744" s="645"/>
      <c r="M1744" s="616"/>
      <c r="N1744" s="616"/>
      <c r="O1744" s="616"/>
      <c r="P1744" s="615"/>
      <c r="Q1744" s="616"/>
      <c r="R1744" s="663"/>
      <c r="S1744" s="459"/>
      <c r="T1744" s="459"/>
      <c r="U1744" s="459"/>
      <c r="V1744" s="459"/>
      <c r="W1744" s="459"/>
      <c r="X1744" s="459"/>
      <c r="Y1744" s="666"/>
      <c r="Z1744" s="664"/>
      <c r="AA1744" s="665"/>
      <c r="AB1744" s="665"/>
      <c r="AC1744" s="665"/>
      <c r="AD1744" s="665"/>
      <c r="AE1744" s="665"/>
      <c r="AF1744" s="649"/>
      <c r="AG1744" s="650"/>
      <c r="AH1744" s="650"/>
      <c r="AI1744" s="667"/>
    </row>
    <row r="1745" spans="12:35" ht="45" customHeight="1" thickBot="1" x14ac:dyDescent="0.25">
      <c r="L1745" s="645"/>
      <c r="M1745" s="616"/>
      <c r="N1745" s="616"/>
      <c r="O1745" s="616"/>
      <c r="P1745" s="615"/>
      <c r="Q1745" s="616"/>
      <c r="R1745" s="663"/>
      <c r="S1745" s="459"/>
      <c r="T1745" s="459"/>
      <c r="U1745" s="459"/>
      <c r="V1745" s="459"/>
      <c r="W1745" s="459"/>
      <c r="X1745" s="459"/>
      <c r="Y1745" s="666"/>
      <c r="Z1745" s="664"/>
      <c r="AA1745" s="665"/>
      <c r="AB1745" s="665"/>
      <c r="AC1745" s="665"/>
      <c r="AD1745" s="665"/>
      <c r="AE1745" s="665"/>
      <c r="AF1745" s="649"/>
      <c r="AG1745" s="650"/>
      <c r="AH1745" s="650"/>
      <c r="AI1745" s="667"/>
    </row>
    <row r="1746" spans="12:35" ht="45" customHeight="1" thickBot="1" x14ac:dyDescent="0.25">
      <c r="L1746" s="645"/>
      <c r="M1746" s="616"/>
      <c r="N1746" s="616"/>
      <c r="O1746" s="616"/>
      <c r="P1746" s="615"/>
      <c r="Q1746" s="616"/>
      <c r="R1746" s="663"/>
      <c r="S1746" s="459"/>
      <c r="T1746" s="459"/>
      <c r="U1746" s="459"/>
      <c r="V1746" s="459"/>
      <c r="W1746" s="459"/>
      <c r="X1746" s="459"/>
      <c r="Y1746" s="666"/>
      <c r="Z1746" s="664"/>
      <c r="AA1746" s="665"/>
      <c r="AB1746" s="665"/>
      <c r="AC1746" s="665"/>
      <c r="AD1746" s="665"/>
      <c r="AE1746" s="665"/>
      <c r="AF1746" s="649"/>
      <c r="AG1746" s="650"/>
      <c r="AH1746" s="650"/>
      <c r="AI1746" s="667"/>
    </row>
    <row r="1747" spans="12:35" ht="45" customHeight="1" thickBot="1" x14ac:dyDescent="0.25">
      <c r="L1747" s="645"/>
      <c r="M1747" s="616"/>
      <c r="N1747" s="616"/>
      <c r="O1747" s="616"/>
      <c r="P1747" s="615"/>
      <c r="Q1747" s="616"/>
      <c r="R1747" s="663"/>
      <c r="S1747" s="459"/>
      <c r="T1747" s="459"/>
      <c r="U1747" s="459"/>
      <c r="V1747" s="459"/>
      <c r="W1747" s="459"/>
      <c r="X1747" s="459"/>
      <c r="Y1747" s="666"/>
      <c r="Z1747" s="664"/>
      <c r="AA1747" s="665"/>
      <c r="AB1747" s="665"/>
      <c r="AC1747" s="665"/>
      <c r="AD1747" s="665"/>
      <c r="AE1747" s="665"/>
      <c r="AF1747" s="649"/>
      <c r="AG1747" s="650"/>
      <c r="AH1747" s="650"/>
      <c r="AI1747" s="667"/>
    </row>
    <row r="1748" spans="12:35" ht="45" customHeight="1" thickBot="1" x14ac:dyDescent="0.25">
      <c r="L1748" s="645"/>
      <c r="M1748" s="616"/>
      <c r="N1748" s="616"/>
      <c r="O1748" s="616"/>
      <c r="P1748" s="615"/>
      <c r="Q1748" s="616"/>
      <c r="R1748" s="663"/>
      <c r="S1748" s="459"/>
      <c r="T1748" s="459"/>
      <c r="U1748" s="459"/>
      <c r="V1748" s="459"/>
      <c r="W1748" s="459"/>
      <c r="X1748" s="459"/>
      <c r="Y1748" s="666"/>
      <c r="Z1748" s="664"/>
      <c r="AA1748" s="665"/>
      <c r="AB1748" s="665"/>
      <c r="AC1748" s="665"/>
      <c r="AD1748" s="665"/>
      <c r="AE1748" s="665"/>
      <c r="AF1748" s="649"/>
      <c r="AG1748" s="650"/>
      <c r="AH1748" s="650"/>
      <c r="AI1748" s="667"/>
    </row>
    <row r="1749" spans="12:35" ht="45" customHeight="1" thickBot="1" x14ac:dyDescent="0.25">
      <c r="L1749" s="645"/>
      <c r="M1749" s="616"/>
      <c r="N1749" s="616"/>
      <c r="O1749" s="616"/>
      <c r="P1749" s="615"/>
      <c r="Q1749" s="616"/>
      <c r="R1749" s="663"/>
      <c r="S1749" s="459"/>
      <c r="T1749" s="459"/>
      <c r="U1749" s="459"/>
      <c r="V1749" s="459"/>
      <c r="W1749" s="459"/>
      <c r="X1749" s="459"/>
      <c r="Y1749" s="666"/>
      <c r="Z1749" s="664"/>
      <c r="AA1749" s="665"/>
      <c r="AB1749" s="665"/>
      <c r="AC1749" s="665"/>
      <c r="AD1749" s="665"/>
      <c r="AE1749" s="665"/>
      <c r="AF1749" s="649"/>
      <c r="AG1749" s="650"/>
      <c r="AH1749" s="650"/>
      <c r="AI1749" s="667"/>
    </row>
    <row r="1750" spans="12:35" ht="45" customHeight="1" thickBot="1" x14ac:dyDescent="0.25">
      <c r="L1750" s="645"/>
      <c r="M1750" s="616"/>
      <c r="N1750" s="616"/>
      <c r="O1750" s="616"/>
      <c r="P1750" s="615"/>
      <c r="Q1750" s="616"/>
      <c r="R1750" s="663"/>
      <c r="S1750" s="459"/>
      <c r="T1750" s="459"/>
      <c r="U1750" s="459"/>
      <c r="V1750" s="459"/>
      <c r="W1750" s="459"/>
      <c r="X1750" s="459"/>
      <c r="Y1750" s="666"/>
      <c r="Z1750" s="664"/>
      <c r="AA1750" s="665"/>
      <c r="AB1750" s="665"/>
      <c r="AC1750" s="665"/>
      <c r="AD1750" s="665"/>
      <c r="AE1750" s="665"/>
      <c r="AF1750" s="649"/>
      <c r="AG1750" s="650"/>
      <c r="AH1750" s="650"/>
      <c r="AI1750" s="667"/>
    </row>
    <row r="1751" spans="12:35" ht="45" customHeight="1" thickBot="1" x14ac:dyDescent="0.25">
      <c r="L1751" s="645"/>
      <c r="M1751" s="616"/>
      <c r="N1751" s="616"/>
      <c r="O1751" s="616"/>
      <c r="P1751" s="615"/>
      <c r="Q1751" s="616"/>
      <c r="R1751" s="663"/>
      <c r="S1751" s="459"/>
      <c r="T1751" s="459"/>
      <c r="U1751" s="459"/>
      <c r="V1751" s="459"/>
      <c r="W1751" s="459"/>
      <c r="X1751" s="459"/>
      <c r="Y1751" s="666"/>
      <c r="Z1751" s="664"/>
      <c r="AA1751" s="665"/>
      <c r="AB1751" s="665"/>
      <c r="AC1751" s="665"/>
      <c r="AD1751" s="665"/>
      <c r="AE1751" s="665"/>
      <c r="AF1751" s="649"/>
      <c r="AG1751" s="650"/>
      <c r="AH1751" s="650"/>
      <c r="AI1751" s="667"/>
    </row>
    <row r="1752" spans="12:35" ht="45" customHeight="1" thickBot="1" x14ac:dyDescent="0.25">
      <c r="L1752" s="645"/>
      <c r="M1752" s="616"/>
      <c r="N1752" s="616"/>
      <c r="O1752" s="616"/>
      <c r="P1752" s="615"/>
      <c r="Q1752" s="616"/>
      <c r="R1752" s="663"/>
      <c r="S1752" s="459"/>
      <c r="T1752" s="459"/>
      <c r="U1752" s="459"/>
      <c r="V1752" s="459"/>
      <c r="W1752" s="459"/>
      <c r="X1752" s="459"/>
      <c r="Y1752" s="666"/>
      <c r="Z1752" s="664"/>
      <c r="AA1752" s="665"/>
      <c r="AB1752" s="665"/>
      <c r="AC1752" s="665"/>
      <c r="AD1752" s="665"/>
      <c r="AE1752" s="665"/>
      <c r="AF1752" s="649"/>
      <c r="AG1752" s="650"/>
      <c r="AH1752" s="650"/>
      <c r="AI1752" s="667"/>
    </row>
    <row r="1753" spans="12:35" ht="45" customHeight="1" thickBot="1" x14ac:dyDescent="0.25">
      <c r="L1753" s="645"/>
      <c r="M1753" s="616"/>
      <c r="N1753" s="616"/>
      <c r="O1753" s="616"/>
      <c r="P1753" s="615"/>
      <c r="Q1753" s="616"/>
      <c r="R1753" s="663"/>
      <c r="S1753" s="459"/>
      <c r="T1753" s="459"/>
      <c r="U1753" s="459"/>
      <c r="V1753" s="459"/>
      <c r="W1753" s="459"/>
      <c r="X1753" s="459"/>
      <c r="Y1753" s="666"/>
      <c r="Z1753" s="664"/>
      <c r="AA1753" s="665"/>
      <c r="AB1753" s="665"/>
      <c r="AC1753" s="665"/>
      <c r="AD1753" s="665"/>
      <c r="AE1753" s="665"/>
      <c r="AF1753" s="649"/>
      <c r="AG1753" s="650"/>
      <c r="AH1753" s="650"/>
      <c r="AI1753" s="667"/>
    </row>
    <row r="1754" spans="12:35" ht="45" customHeight="1" thickBot="1" x14ac:dyDescent="0.25">
      <c r="L1754" s="645"/>
      <c r="M1754" s="616"/>
      <c r="N1754" s="616"/>
      <c r="O1754" s="616"/>
      <c r="P1754" s="615"/>
      <c r="Q1754" s="616"/>
      <c r="R1754" s="663"/>
      <c r="S1754" s="459"/>
      <c r="T1754" s="459"/>
      <c r="U1754" s="459"/>
      <c r="V1754" s="459"/>
      <c r="W1754" s="459"/>
      <c r="X1754" s="459"/>
      <c r="Y1754" s="666"/>
      <c r="Z1754" s="664"/>
      <c r="AA1754" s="665"/>
      <c r="AB1754" s="665"/>
      <c r="AC1754" s="665"/>
      <c r="AD1754" s="665"/>
      <c r="AE1754" s="665"/>
      <c r="AF1754" s="649"/>
      <c r="AG1754" s="650"/>
      <c r="AH1754" s="650"/>
      <c r="AI1754" s="667"/>
    </row>
    <row r="1755" spans="12:35" ht="45" customHeight="1" thickBot="1" x14ac:dyDescent="0.25">
      <c r="L1755" s="645"/>
      <c r="M1755" s="616"/>
      <c r="N1755" s="616"/>
      <c r="O1755" s="616"/>
      <c r="P1755" s="615"/>
      <c r="Q1755" s="616"/>
      <c r="R1755" s="663"/>
      <c r="S1755" s="459"/>
      <c r="T1755" s="459"/>
      <c r="U1755" s="459"/>
      <c r="V1755" s="459"/>
      <c r="W1755" s="459"/>
      <c r="X1755" s="459"/>
      <c r="Y1755" s="666"/>
      <c r="Z1755" s="664"/>
      <c r="AA1755" s="665"/>
      <c r="AB1755" s="665"/>
      <c r="AC1755" s="665"/>
      <c r="AD1755" s="665"/>
      <c r="AE1755" s="665"/>
      <c r="AF1755" s="649"/>
      <c r="AG1755" s="650"/>
      <c r="AH1755" s="650"/>
      <c r="AI1755" s="667"/>
    </row>
    <row r="1756" spans="12:35" ht="45" customHeight="1" thickBot="1" x14ac:dyDescent="0.25">
      <c r="L1756" s="645"/>
      <c r="M1756" s="616"/>
      <c r="N1756" s="616"/>
      <c r="O1756" s="616"/>
      <c r="P1756" s="615"/>
      <c r="Q1756" s="616"/>
      <c r="R1756" s="663"/>
      <c r="S1756" s="459"/>
      <c r="T1756" s="459"/>
      <c r="U1756" s="459"/>
      <c r="V1756" s="459"/>
      <c r="W1756" s="459"/>
      <c r="X1756" s="459"/>
      <c r="Y1756" s="666"/>
      <c r="Z1756" s="664"/>
      <c r="AA1756" s="665"/>
      <c r="AB1756" s="665"/>
      <c r="AC1756" s="665"/>
      <c r="AD1756" s="665"/>
      <c r="AE1756" s="665"/>
      <c r="AF1756" s="649"/>
      <c r="AG1756" s="650"/>
      <c r="AH1756" s="650"/>
      <c r="AI1756" s="667"/>
    </row>
    <row r="1757" spans="12:35" ht="45" customHeight="1" thickBot="1" x14ac:dyDescent="0.25">
      <c r="L1757" s="645"/>
      <c r="M1757" s="616"/>
      <c r="N1757" s="616"/>
      <c r="O1757" s="616"/>
      <c r="P1757" s="615"/>
      <c r="Q1757" s="616"/>
      <c r="R1757" s="663"/>
      <c r="S1757" s="459"/>
      <c r="T1757" s="459"/>
      <c r="U1757" s="459"/>
      <c r="V1757" s="459"/>
      <c r="W1757" s="459"/>
      <c r="X1757" s="459"/>
      <c r="Y1757" s="666"/>
      <c r="Z1757" s="664"/>
      <c r="AA1757" s="665"/>
      <c r="AB1757" s="665"/>
      <c r="AC1757" s="665"/>
      <c r="AD1757" s="665"/>
      <c r="AE1757" s="665"/>
      <c r="AF1757" s="649"/>
      <c r="AG1757" s="650"/>
      <c r="AH1757" s="650"/>
      <c r="AI1757" s="667"/>
    </row>
    <row r="1758" spans="12:35" ht="45" customHeight="1" thickBot="1" x14ac:dyDescent="0.25">
      <c r="L1758" s="645"/>
      <c r="M1758" s="616"/>
      <c r="N1758" s="616"/>
      <c r="O1758" s="616"/>
      <c r="P1758" s="615"/>
      <c r="Q1758" s="616"/>
      <c r="R1758" s="663"/>
      <c r="S1758" s="459"/>
      <c r="T1758" s="459"/>
      <c r="U1758" s="459"/>
      <c r="V1758" s="459"/>
      <c r="W1758" s="459"/>
      <c r="X1758" s="459"/>
      <c r="Y1758" s="666"/>
      <c r="Z1758" s="664"/>
      <c r="AA1758" s="665"/>
      <c r="AB1758" s="665"/>
      <c r="AC1758" s="665"/>
      <c r="AD1758" s="665"/>
      <c r="AE1758" s="665"/>
      <c r="AF1758" s="649"/>
      <c r="AG1758" s="650"/>
      <c r="AH1758" s="650"/>
      <c r="AI1758" s="667"/>
    </row>
    <row r="1759" spans="12:35" ht="45" customHeight="1" thickBot="1" x14ac:dyDescent="0.25">
      <c r="L1759" s="645"/>
      <c r="M1759" s="616"/>
      <c r="N1759" s="616"/>
      <c r="O1759" s="616"/>
      <c r="P1759" s="615"/>
      <c r="Q1759" s="616"/>
      <c r="R1759" s="663"/>
      <c r="S1759" s="459"/>
      <c r="T1759" s="459"/>
      <c r="U1759" s="459"/>
      <c r="V1759" s="459"/>
      <c r="W1759" s="459"/>
      <c r="X1759" s="459"/>
      <c r="Y1759" s="666"/>
      <c r="Z1759" s="664"/>
      <c r="AA1759" s="665"/>
      <c r="AB1759" s="665"/>
      <c r="AC1759" s="665"/>
      <c r="AD1759" s="665"/>
      <c r="AE1759" s="665"/>
      <c r="AF1759" s="649"/>
      <c r="AG1759" s="650"/>
      <c r="AH1759" s="650"/>
      <c r="AI1759" s="667"/>
    </row>
    <row r="1760" spans="12:35" ht="45" customHeight="1" thickBot="1" x14ac:dyDescent="0.25">
      <c r="L1760" s="645"/>
      <c r="M1760" s="616"/>
      <c r="N1760" s="616"/>
      <c r="O1760" s="616"/>
      <c r="P1760" s="615"/>
      <c r="Q1760" s="616"/>
      <c r="R1760" s="663"/>
      <c r="S1760" s="459"/>
      <c r="T1760" s="459"/>
      <c r="U1760" s="459"/>
      <c r="V1760" s="459"/>
      <c r="W1760" s="459"/>
      <c r="X1760" s="459"/>
      <c r="Y1760" s="666"/>
      <c r="Z1760" s="664"/>
      <c r="AA1760" s="665"/>
      <c r="AB1760" s="665"/>
      <c r="AC1760" s="665"/>
      <c r="AD1760" s="665"/>
      <c r="AE1760" s="665"/>
      <c r="AF1760" s="649"/>
      <c r="AG1760" s="650"/>
      <c r="AH1760" s="650"/>
      <c r="AI1760" s="667"/>
    </row>
    <row r="1761" spans="12:35" ht="45" customHeight="1" thickBot="1" x14ac:dyDescent="0.25">
      <c r="L1761" s="645"/>
      <c r="M1761" s="616"/>
      <c r="N1761" s="616"/>
      <c r="O1761" s="616"/>
      <c r="P1761" s="615"/>
      <c r="Q1761" s="616"/>
      <c r="R1761" s="663"/>
      <c r="S1761" s="459"/>
      <c r="T1761" s="459"/>
      <c r="U1761" s="459"/>
      <c r="V1761" s="459"/>
      <c r="W1761" s="459"/>
      <c r="X1761" s="459"/>
      <c r="Y1761" s="666"/>
      <c r="Z1761" s="664"/>
      <c r="AA1761" s="665"/>
      <c r="AB1761" s="665"/>
      <c r="AC1761" s="665"/>
      <c r="AD1761" s="665"/>
      <c r="AE1761" s="665"/>
      <c r="AF1761" s="649"/>
      <c r="AG1761" s="650"/>
      <c r="AH1761" s="650"/>
      <c r="AI1761" s="667"/>
    </row>
    <row r="1762" spans="12:35" ht="45" customHeight="1" thickBot="1" x14ac:dyDescent="0.25">
      <c r="L1762" s="645"/>
      <c r="M1762" s="616"/>
      <c r="N1762" s="616"/>
      <c r="O1762" s="616"/>
      <c r="P1762" s="615"/>
      <c r="Q1762" s="616"/>
      <c r="R1762" s="663"/>
      <c r="S1762" s="459"/>
      <c r="T1762" s="459"/>
      <c r="U1762" s="459"/>
      <c r="V1762" s="459"/>
      <c r="W1762" s="459"/>
      <c r="X1762" s="459"/>
      <c r="Y1762" s="666"/>
      <c r="Z1762" s="664"/>
      <c r="AA1762" s="665"/>
      <c r="AB1762" s="665"/>
      <c r="AC1762" s="665"/>
      <c r="AD1762" s="665"/>
      <c r="AE1762" s="665"/>
      <c r="AF1762" s="649"/>
      <c r="AG1762" s="650"/>
      <c r="AH1762" s="650"/>
      <c r="AI1762" s="667"/>
    </row>
    <row r="1763" spans="12:35" ht="45" customHeight="1" thickBot="1" x14ac:dyDescent="0.25">
      <c r="L1763" s="645"/>
      <c r="M1763" s="616"/>
      <c r="N1763" s="616"/>
      <c r="O1763" s="616"/>
      <c r="P1763" s="615"/>
      <c r="Q1763" s="616"/>
      <c r="R1763" s="663"/>
      <c r="S1763" s="459"/>
      <c r="T1763" s="459"/>
      <c r="U1763" s="459"/>
      <c r="V1763" s="459"/>
      <c r="W1763" s="459"/>
      <c r="X1763" s="459"/>
      <c r="Y1763" s="666"/>
      <c r="Z1763" s="664"/>
      <c r="AA1763" s="665"/>
      <c r="AB1763" s="665"/>
      <c r="AC1763" s="665"/>
      <c r="AD1763" s="665"/>
      <c r="AE1763" s="665"/>
      <c r="AF1763" s="649"/>
      <c r="AG1763" s="650"/>
      <c r="AH1763" s="650"/>
      <c r="AI1763" s="667"/>
    </row>
    <row r="1764" spans="12:35" ht="45" customHeight="1" thickBot="1" x14ac:dyDescent="0.25">
      <c r="L1764" s="645"/>
      <c r="M1764" s="616"/>
      <c r="N1764" s="616"/>
      <c r="O1764" s="616"/>
      <c r="P1764" s="615"/>
      <c r="Q1764" s="616"/>
      <c r="R1764" s="663"/>
      <c r="S1764" s="459"/>
      <c r="T1764" s="459"/>
      <c r="U1764" s="459"/>
      <c r="V1764" s="459"/>
      <c r="W1764" s="459"/>
      <c r="X1764" s="459"/>
      <c r="Y1764" s="666"/>
      <c r="Z1764" s="664"/>
      <c r="AA1764" s="665"/>
      <c r="AB1764" s="665"/>
      <c r="AC1764" s="665"/>
      <c r="AD1764" s="665"/>
      <c r="AE1764" s="665"/>
      <c r="AF1764" s="649"/>
      <c r="AG1764" s="650"/>
      <c r="AH1764" s="650"/>
      <c r="AI1764" s="667"/>
    </row>
    <row r="1765" spans="12:35" ht="45" customHeight="1" thickBot="1" x14ac:dyDescent="0.25">
      <c r="L1765" s="645"/>
      <c r="M1765" s="616"/>
      <c r="N1765" s="616"/>
      <c r="O1765" s="616"/>
      <c r="P1765" s="615"/>
      <c r="Q1765" s="616"/>
      <c r="R1765" s="663"/>
      <c r="S1765" s="459"/>
      <c r="T1765" s="459"/>
      <c r="U1765" s="459"/>
      <c r="V1765" s="459"/>
      <c r="W1765" s="459"/>
      <c r="X1765" s="459"/>
      <c r="Y1765" s="666"/>
      <c r="Z1765" s="664"/>
      <c r="AA1765" s="665"/>
      <c r="AB1765" s="665"/>
      <c r="AC1765" s="665"/>
      <c r="AD1765" s="665"/>
      <c r="AE1765" s="665"/>
      <c r="AF1765" s="649"/>
      <c r="AG1765" s="650"/>
      <c r="AH1765" s="650"/>
      <c r="AI1765" s="667"/>
    </row>
    <row r="1766" spans="12:35" ht="45" customHeight="1" thickBot="1" x14ac:dyDescent="0.25">
      <c r="L1766" s="645"/>
      <c r="M1766" s="616"/>
      <c r="N1766" s="616"/>
      <c r="O1766" s="616"/>
      <c r="P1766" s="615"/>
      <c r="Q1766" s="616"/>
      <c r="R1766" s="663"/>
      <c r="S1766" s="459"/>
      <c r="T1766" s="459"/>
      <c r="U1766" s="459"/>
      <c r="V1766" s="459"/>
      <c r="W1766" s="459"/>
      <c r="X1766" s="459"/>
      <c r="Y1766" s="666"/>
      <c r="Z1766" s="664"/>
      <c r="AA1766" s="665"/>
      <c r="AB1766" s="665"/>
      <c r="AC1766" s="665"/>
      <c r="AD1766" s="665"/>
      <c r="AE1766" s="665"/>
      <c r="AF1766" s="649"/>
      <c r="AG1766" s="650"/>
      <c r="AH1766" s="650"/>
      <c r="AI1766" s="667"/>
    </row>
    <row r="1767" spans="12:35" ht="45" customHeight="1" thickBot="1" x14ac:dyDescent="0.25">
      <c r="L1767" s="645"/>
      <c r="M1767" s="616"/>
      <c r="N1767" s="616"/>
      <c r="O1767" s="616"/>
      <c r="P1767" s="615"/>
      <c r="Q1767" s="616"/>
      <c r="R1767" s="663"/>
      <c r="S1767" s="459"/>
      <c r="T1767" s="459"/>
      <c r="U1767" s="459"/>
      <c r="V1767" s="459"/>
      <c r="W1767" s="459"/>
      <c r="X1767" s="459"/>
      <c r="Y1767" s="666"/>
      <c r="Z1767" s="664"/>
      <c r="AA1767" s="665"/>
      <c r="AB1767" s="665"/>
      <c r="AC1767" s="665"/>
      <c r="AD1767" s="665"/>
      <c r="AE1767" s="665"/>
      <c r="AF1767" s="649"/>
      <c r="AG1767" s="650"/>
      <c r="AH1767" s="650"/>
      <c r="AI1767" s="667"/>
    </row>
    <row r="1768" spans="12:35" ht="45" customHeight="1" thickBot="1" x14ac:dyDescent="0.25">
      <c r="L1768" s="645"/>
      <c r="M1768" s="616"/>
      <c r="N1768" s="616"/>
      <c r="O1768" s="616"/>
      <c r="P1768" s="615"/>
      <c r="Q1768" s="616"/>
      <c r="R1768" s="663"/>
      <c r="S1768" s="459"/>
      <c r="T1768" s="459"/>
      <c r="U1768" s="459"/>
      <c r="V1768" s="459"/>
      <c r="W1768" s="459"/>
      <c r="X1768" s="459"/>
      <c r="Y1768" s="666"/>
      <c r="Z1768" s="664"/>
      <c r="AA1768" s="665"/>
      <c r="AB1768" s="665"/>
      <c r="AC1768" s="665"/>
      <c r="AD1768" s="665"/>
      <c r="AE1768" s="665"/>
      <c r="AF1768" s="649"/>
      <c r="AG1768" s="650"/>
      <c r="AH1768" s="650"/>
      <c r="AI1768" s="667"/>
    </row>
    <row r="1769" spans="12:35" ht="45" customHeight="1" thickBot="1" x14ac:dyDescent="0.25">
      <c r="L1769" s="645"/>
      <c r="M1769" s="616"/>
      <c r="N1769" s="616"/>
      <c r="O1769" s="616"/>
      <c r="P1769" s="615"/>
      <c r="Q1769" s="616"/>
      <c r="R1769" s="663"/>
      <c r="S1769" s="459"/>
      <c r="T1769" s="459"/>
      <c r="U1769" s="459"/>
      <c r="V1769" s="459"/>
      <c r="W1769" s="459"/>
      <c r="X1769" s="459"/>
      <c r="Y1769" s="666"/>
      <c r="Z1769" s="664"/>
      <c r="AA1769" s="665"/>
      <c r="AB1769" s="665"/>
      <c r="AC1769" s="665"/>
      <c r="AD1769" s="665"/>
      <c r="AE1769" s="665"/>
      <c r="AF1769" s="649"/>
      <c r="AG1769" s="650"/>
      <c r="AH1769" s="650"/>
      <c r="AI1769" s="667"/>
    </row>
    <row r="1770" spans="12:35" ht="45" customHeight="1" thickBot="1" x14ac:dyDescent="0.25">
      <c r="L1770" s="645"/>
      <c r="M1770" s="616"/>
      <c r="N1770" s="616"/>
      <c r="O1770" s="616"/>
      <c r="P1770" s="615"/>
      <c r="Q1770" s="616"/>
      <c r="R1770" s="663"/>
      <c r="S1770" s="459"/>
      <c r="T1770" s="459"/>
      <c r="U1770" s="459"/>
      <c r="V1770" s="459"/>
      <c r="W1770" s="459"/>
      <c r="X1770" s="459"/>
      <c r="Y1770" s="666"/>
      <c r="Z1770" s="664"/>
      <c r="AA1770" s="665"/>
      <c r="AB1770" s="665"/>
      <c r="AC1770" s="665"/>
      <c r="AD1770" s="665"/>
      <c r="AE1770" s="665"/>
      <c r="AF1770" s="649"/>
      <c r="AG1770" s="650"/>
      <c r="AH1770" s="650"/>
      <c r="AI1770" s="667"/>
    </row>
    <row r="1771" spans="12:35" ht="45" customHeight="1" thickBot="1" x14ac:dyDescent="0.25">
      <c r="L1771" s="645"/>
      <c r="M1771" s="616"/>
      <c r="N1771" s="616"/>
      <c r="O1771" s="616"/>
      <c r="P1771" s="615"/>
      <c r="Q1771" s="616"/>
      <c r="R1771" s="663"/>
      <c r="S1771" s="459"/>
      <c r="T1771" s="459"/>
      <c r="U1771" s="459"/>
      <c r="V1771" s="459"/>
      <c r="W1771" s="459"/>
      <c r="X1771" s="459"/>
      <c r="Y1771" s="666"/>
      <c r="Z1771" s="664"/>
      <c r="AA1771" s="665"/>
      <c r="AB1771" s="665"/>
      <c r="AC1771" s="665"/>
      <c r="AD1771" s="665"/>
      <c r="AE1771" s="665"/>
      <c r="AF1771" s="649"/>
      <c r="AG1771" s="650"/>
      <c r="AH1771" s="650"/>
      <c r="AI1771" s="667"/>
    </row>
    <row r="1772" spans="12:35" ht="45" customHeight="1" thickBot="1" x14ac:dyDescent="0.25">
      <c r="L1772" s="645"/>
      <c r="M1772" s="616"/>
      <c r="N1772" s="616"/>
      <c r="O1772" s="616"/>
      <c r="P1772" s="615"/>
      <c r="Q1772" s="616"/>
      <c r="R1772" s="663"/>
      <c r="S1772" s="459"/>
      <c r="T1772" s="459"/>
      <c r="U1772" s="459"/>
      <c r="V1772" s="459"/>
      <c r="W1772" s="459"/>
      <c r="X1772" s="459"/>
      <c r="Y1772" s="666"/>
      <c r="Z1772" s="664"/>
      <c r="AA1772" s="665"/>
      <c r="AB1772" s="665"/>
      <c r="AC1772" s="665"/>
      <c r="AD1772" s="665"/>
      <c r="AE1772" s="665"/>
      <c r="AF1772" s="649"/>
      <c r="AG1772" s="650"/>
      <c r="AH1772" s="650"/>
      <c r="AI1772" s="667"/>
    </row>
    <row r="1773" spans="12:35" ht="45" customHeight="1" thickBot="1" x14ac:dyDescent="0.25">
      <c r="L1773" s="645"/>
      <c r="M1773" s="616"/>
      <c r="N1773" s="616"/>
      <c r="O1773" s="616"/>
      <c r="P1773" s="615"/>
      <c r="Q1773" s="616"/>
      <c r="R1773" s="663"/>
      <c r="S1773" s="459"/>
      <c r="T1773" s="459"/>
      <c r="U1773" s="459"/>
      <c r="V1773" s="459"/>
      <c r="W1773" s="459"/>
      <c r="X1773" s="459"/>
      <c r="Y1773" s="666"/>
      <c r="Z1773" s="664"/>
      <c r="AA1773" s="665"/>
      <c r="AB1773" s="665"/>
      <c r="AC1773" s="665"/>
      <c r="AD1773" s="665"/>
      <c r="AE1773" s="665"/>
      <c r="AF1773" s="649"/>
      <c r="AG1773" s="650"/>
      <c r="AH1773" s="650"/>
      <c r="AI1773" s="667"/>
    </row>
    <row r="1774" spans="12:35" ht="45" customHeight="1" thickBot="1" x14ac:dyDescent="0.25">
      <c r="L1774" s="645"/>
      <c r="M1774" s="616"/>
      <c r="N1774" s="616"/>
      <c r="O1774" s="616"/>
      <c r="P1774" s="615"/>
      <c r="Q1774" s="616"/>
      <c r="R1774" s="663"/>
      <c r="S1774" s="459"/>
      <c r="T1774" s="459"/>
      <c r="U1774" s="459"/>
      <c r="V1774" s="459"/>
      <c r="W1774" s="459"/>
      <c r="X1774" s="459"/>
      <c r="Y1774" s="666"/>
      <c r="Z1774" s="664"/>
      <c r="AA1774" s="665"/>
      <c r="AB1774" s="665"/>
      <c r="AC1774" s="665"/>
      <c r="AD1774" s="665"/>
      <c r="AE1774" s="665"/>
      <c r="AF1774" s="649"/>
      <c r="AG1774" s="650"/>
      <c r="AH1774" s="650"/>
      <c r="AI1774" s="667"/>
    </row>
    <row r="1775" spans="12:35" ht="45" customHeight="1" thickBot="1" x14ac:dyDescent="0.25">
      <c r="L1775" s="645"/>
      <c r="M1775" s="616"/>
      <c r="N1775" s="616"/>
      <c r="O1775" s="616"/>
      <c r="P1775" s="615"/>
      <c r="Q1775" s="616"/>
      <c r="R1775" s="663"/>
      <c r="S1775" s="459"/>
      <c r="T1775" s="459"/>
      <c r="U1775" s="459"/>
      <c r="V1775" s="459"/>
      <c r="W1775" s="459"/>
      <c r="X1775" s="459"/>
      <c r="Y1775" s="666"/>
      <c r="Z1775" s="664"/>
      <c r="AA1775" s="665"/>
      <c r="AB1775" s="665"/>
      <c r="AC1775" s="665"/>
      <c r="AD1775" s="665"/>
      <c r="AE1775" s="665"/>
      <c r="AF1775" s="649"/>
      <c r="AG1775" s="650"/>
      <c r="AH1775" s="650"/>
      <c r="AI1775" s="667"/>
    </row>
    <row r="1776" spans="12:35" ht="45" customHeight="1" thickBot="1" x14ac:dyDescent="0.25">
      <c r="L1776" s="645"/>
      <c r="M1776" s="616"/>
      <c r="N1776" s="616"/>
      <c r="O1776" s="616"/>
      <c r="P1776" s="615"/>
      <c r="Q1776" s="616"/>
      <c r="R1776" s="663"/>
      <c r="S1776" s="459"/>
      <c r="T1776" s="459"/>
      <c r="U1776" s="459"/>
      <c r="V1776" s="459"/>
      <c r="W1776" s="459"/>
      <c r="X1776" s="459"/>
      <c r="Y1776" s="666"/>
      <c r="Z1776" s="664"/>
      <c r="AA1776" s="665"/>
      <c r="AB1776" s="665"/>
      <c r="AC1776" s="665"/>
      <c r="AD1776" s="665"/>
      <c r="AE1776" s="665"/>
      <c r="AF1776" s="649"/>
      <c r="AG1776" s="650"/>
      <c r="AH1776" s="650"/>
      <c r="AI1776" s="667"/>
    </row>
    <row r="1777" spans="12:35" ht="45" customHeight="1" thickBot="1" x14ac:dyDescent="0.25">
      <c r="L1777" s="645"/>
      <c r="M1777" s="616"/>
      <c r="N1777" s="616"/>
      <c r="O1777" s="616"/>
      <c r="P1777" s="615"/>
      <c r="Q1777" s="616"/>
      <c r="R1777" s="663"/>
      <c r="S1777" s="459"/>
      <c r="T1777" s="459"/>
      <c r="U1777" s="459"/>
      <c r="V1777" s="459"/>
      <c r="W1777" s="459"/>
      <c r="X1777" s="459"/>
      <c r="Y1777" s="666"/>
      <c r="Z1777" s="664"/>
      <c r="AA1777" s="665"/>
      <c r="AB1777" s="665"/>
      <c r="AC1777" s="665"/>
      <c r="AD1777" s="665"/>
      <c r="AE1777" s="665"/>
      <c r="AF1777" s="649"/>
      <c r="AG1777" s="650"/>
      <c r="AH1777" s="650"/>
      <c r="AI1777" s="667"/>
    </row>
    <row r="1778" spans="12:35" ht="45" customHeight="1" thickBot="1" x14ac:dyDescent="0.25">
      <c r="L1778" s="645"/>
      <c r="M1778" s="616"/>
      <c r="N1778" s="616"/>
      <c r="O1778" s="616"/>
      <c r="P1778" s="615"/>
      <c r="Q1778" s="616"/>
      <c r="R1778" s="663"/>
      <c r="S1778" s="459"/>
      <c r="T1778" s="459"/>
      <c r="U1778" s="459"/>
      <c r="V1778" s="459"/>
      <c r="W1778" s="459"/>
      <c r="X1778" s="459"/>
      <c r="Y1778" s="666"/>
      <c r="Z1778" s="664"/>
      <c r="AA1778" s="665"/>
      <c r="AB1778" s="665"/>
      <c r="AC1778" s="665"/>
      <c r="AD1778" s="665"/>
      <c r="AE1778" s="665"/>
      <c r="AF1778" s="649"/>
      <c r="AG1778" s="650"/>
      <c r="AH1778" s="650"/>
      <c r="AI1778" s="667"/>
    </row>
    <row r="1779" spans="12:35" ht="45" customHeight="1" thickBot="1" x14ac:dyDescent="0.25">
      <c r="L1779" s="645"/>
      <c r="M1779" s="616"/>
      <c r="N1779" s="616"/>
      <c r="O1779" s="616"/>
      <c r="P1779" s="615"/>
      <c r="Q1779" s="616"/>
      <c r="R1779" s="663"/>
      <c r="S1779" s="459"/>
      <c r="T1779" s="459"/>
      <c r="U1779" s="459"/>
      <c r="V1779" s="459"/>
      <c r="W1779" s="459"/>
      <c r="X1779" s="459"/>
      <c r="Y1779" s="666"/>
      <c r="Z1779" s="664"/>
      <c r="AA1779" s="665"/>
      <c r="AB1779" s="665"/>
      <c r="AC1779" s="665"/>
      <c r="AD1779" s="665"/>
      <c r="AE1779" s="665"/>
      <c r="AF1779" s="649"/>
      <c r="AG1779" s="650"/>
      <c r="AH1779" s="650"/>
      <c r="AI1779" s="667"/>
    </row>
    <row r="1780" spans="12:35" ht="45" customHeight="1" thickBot="1" x14ac:dyDescent="0.25">
      <c r="L1780" s="645"/>
      <c r="M1780" s="616"/>
      <c r="N1780" s="616"/>
      <c r="O1780" s="616"/>
      <c r="P1780" s="615"/>
      <c r="Q1780" s="616"/>
      <c r="R1780" s="663"/>
      <c r="S1780" s="459"/>
      <c r="T1780" s="459"/>
      <c r="U1780" s="459"/>
      <c r="V1780" s="459"/>
      <c r="W1780" s="459"/>
      <c r="X1780" s="459"/>
      <c r="Y1780" s="666"/>
      <c r="Z1780" s="664"/>
      <c r="AA1780" s="665"/>
      <c r="AB1780" s="665"/>
      <c r="AC1780" s="665"/>
      <c r="AD1780" s="665"/>
      <c r="AE1780" s="665"/>
      <c r="AF1780" s="649"/>
      <c r="AG1780" s="650"/>
      <c r="AH1780" s="650"/>
      <c r="AI1780" s="667"/>
    </row>
    <row r="1781" spans="12:35" ht="45" customHeight="1" thickBot="1" x14ac:dyDescent="0.25">
      <c r="L1781" s="645"/>
      <c r="M1781" s="616"/>
      <c r="N1781" s="616"/>
      <c r="O1781" s="616"/>
      <c r="P1781" s="615"/>
      <c r="Q1781" s="616"/>
      <c r="R1781" s="663"/>
      <c r="S1781" s="459"/>
      <c r="T1781" s="459"/>
      <c r="U1781" s="459"/>
      <c r="V1781" s="459"/>
      <c r="W1781" s="459"/>
      <c r="X1781" s="459"/>
      <c r="Y1781" s="666"/>
      <c r="Z1781" s="664"/>
      <c r="AA1781" s="665"/>
      <c r="AB1781" s="665"/>
      <c r="AC1781" s="665"/>
      <c r="AD1781" s="665"/>
      <c r="AE1781" s="665"/>
      <c r="AF1781" s="649"/>
      <c r="AG1781" s="650"/>
      <c r="AH1781" s="650"/>
      <c r="AI1781" s="667"/>
    </row>
    <row r="1782" spans="12:35" ht="45" customHeight="1" thickBot="1" x14ac:dyDescent="0.25">
      <c r="L1782" s="645"/>
      <c r="M1782" s="616"/>
      <c r="N1782" s="616"/>
      <c r="O1782" s="616"/>
      <c r="P1782" s="615"/>
      <c r="Q1782" s="616"/>
      <c r="R1782" s="663"/>
      <c r="S1782" s="459"/>
      <c r="T1782" s="459"/>
      <c r="U1782" s="459"/>
      <c r="V1782" s="459"/>
      <c r="W1782" s="459"/>
      <c r="X1782" s="459"/>
      <c r="Y1782" s="666"/>
      <c r="Z1782" s="664"/>
      <c r="AA1782" s="665"/>
      <c r="AB1782" s="665"/>
      <c r="AC1782" s="665"/>
      <c r="AD1782" s="665"/>
      <c r="AE1782" s="665"/>
      <c r="AF1782" s="649"/>
      <c r="AG1782" s="650"/>
      <c r="AH1782" s="650"/>
      <c r="AI1782" s="667"/>
    </row>
    <row r="1783" spans="12:35" ht="45" customHeight="1" thickBot="1" x14ac:dyDescent="0.25">
      <c r="L1783" s="645"/>
      <c r="M1783" s="616"/>
      <c r="N1783" s="616"/>
      <c r="O1783" s="616"/>
      <c r="P1783" s="615"/>
      <c r="Q1783" s="616"/>
      <c r="R1783" s="663"/>
      <c r="S1783" s="459"/>
      <c r="T1783" s="459"/>
      <c r="U1783" s="459"/>
      <c r="V1783" s="459"/>
      <c r="W1783" s="459"/>
      <c r="X1783" s="459"/>
      <c r="Y1783" s="666"/>
      <c r="Z1783" s="664"/>
      <c r="AA1783" s="665"/>
      <c r="AB1783" s="665"/>
      <c r="AC1783" s="665"/>
      <c r="AD1783" s="665"/>
      <c r="AE1783" s="665"/>
      <c r="AF1783" s="649"/>
      <c r="AG1783" s="650"/>
      <c r="AH1783" s="650"/>
      <c r="AI1783" s="667"/>
    </row>
    <row r="1784" spans="12:35" ht="45" customHeight="1" thickBot="1" x14ac:dyDescent="0.25">
      <c r="L1784" s="645"/>
      <c r="M1784" s="616"/>
      <c r="N1784" s="616"/>
      <c r="O1784" s="616"/>
      <c r="P1784" s="615"/>
      <c r="Q1784" s="616"/>
      <c r="R1784" s="663"/>
      <c r="S1784" s="459"/>
      <c r="T1784" s="459"/>
      <c r="U1784" s="459"/>
      <c r="V1784" s="459"/>
      <c r="W1784" s="459"/>
      <c r="X1784" s="459"/>
      <c r="Y1784" s="666"/>
      <c r="Z1784" s="664"/>
      <c r="AA1784" s="665"/>
      <c r="AB1784" s="665"/>
      <c r="AC1784" s="665"/>
      <c r="AD1784" s="665"/>
      <c r="AE1784" s="665"/>
      <c r="AF1784" s="649"/>
      <c r="AG1784" s="650"/>
      <c r="AH1784" s="650"/>
      <c r="AI1784" s="667"/>
    </row>
    <row r="1785" spans="12:35" ht="45" customHeight="1" thickBot="1" x14ac:dyDescent="0.25">
      <c r="L1785" s="645"/>
      <c r="M1785" s="616"/>
      <c r="N1785" s="616"/>
      <c r="O1785" s="616"/>
      <c r="P1785" s="615"/>
      <c r="Q1785" s="616"/>
      <c r="R1785" s="663"/>
      <c r="S1785" s="459"/>
      <c r="T1785" s="459"/>
      <c r="U1785" s="459"/>
      <c r="V1785" s="459"/>
      <c r="W1785" s="459"/>
      <c r="X1785" s="459"/>
      <c r="Y1785" s="666"/>
      <c r="Z1785" s="664"/>
      <c r="AA1785" s="665"/>
      <c r="AB1785" s="665"/>
      <c r="AC1785" s="665"/>
      <c r="AD1785" s="665"/>
      <c r="AE1785" s="665"/>
      <c r="AF1785" s="649"/>
      <c r="AG1785" s="650"/>
      <c r="AH1785" s="650"/>
      <c r="AI1785" s="667"/>
    </row>
    <row r="1786" spans="12:35" ht="45" customHeight="1" thickBot="1" x14ac:dyDescent="0.25">
      <c r="L1786" s="645"/>
      <c r="M1786" s="616"/>
      <c r="N1786" s="616"/>
      <c r="O1786" s="616"/>
      <c r="P1786" s="615"/>
      <c r="Q1786" s="616"/>
      <c r="R1786" s="663"/>
      <c r="S1786" s="459"/>
      <c r="T1786" s="459"/>
      <c r="U1786" s="459"/>
      <c r="V1786" s="459"/>
      <c r="W1786" s="459"/>
      <c r="X1786" s="459"/>
      <c r="Y1786" s="666"/>
      <c r="Z1786" s="664"/>
      <c r="AA1786" s="665"/>
      <c r="AB1786" s="665"/>
      <c r="AC1786" s="665"/>
      <c r="AD1786" s="665"/>
      <c r="AE1786" s="665"/>
      <c r="AF1786" s="649"/>
      <c r="AG1786" s="650"/>
      <c r="AH1786" s="650"/>
      <c r="AI1786" s="667"/>
    </row>
    <row r="1787" spans="12:35" ht="45" customHeight="1" thickBot="1" x14ac:dyDescent="0.25">
      <c r="L1787" s="645"/>
      <c r="M1787" s="616"/>
      <c r="N1787" s="616"/>
      <c r="O1787" s="616"/>
      <c r="P1787" s="615"/>
      <c r="Q1787" s="616"/>
      <c r="R1787" s="663"/>
      <c r="S1787" s="459"/>
      <c r="T1787" s="459"/>
      <c r="U1787" s="459"/>
      <c r="V1787" s="459"/>
      <c r="W1787" s="459"/>
      <c r="X1787" s="459"/>
      <c r="Y1787" s="666"/>
      <c r="Z1787" s="664"/>
      <c r="AA1787" s="665"/>
      <c r="AB1787" s="665"/>
      <c r="AC1787" s="665"/>
      <c r="AD1787" s="665"/>
      <c r="AE1787" s="665"/>
      <c r="AF1787" s="649"/>
      <c r="AG1787" s="650"/>
      <c r="AH1787" s="650"/>
      <c r="AI1787" s="667"/>
    </row>
    <row r="1788" spans="12:35" ht="45" customHeight="1" thickBot="1" x14ac:dyDescent="0.25">
      <c r="L1788" s="645"/>
      <c r="M1788" s="616"/>
      <c r="N1788" s="616"/>
      <c r="O1788" s="616"/>
      <c r="P1788" s="615"/>
      <c r="Q1788" s="616"/>
      <c r="R1788" s="663"/>
      <c r="S1788" s="459"/>
      <c r="T1788" s="459"/>
      <c r="U1788" s="459"/>
      <c r="V1788" s="459"/>
      <c r="W1788" s="459"/>
      <c r="X1788" s="459"/>
      <c r="Y1788" s="666"/>
      <c r="Z1788" s="664"/>
      <c r="AA1788" s="665"/>
      <c r="AB1788" s="665"/>
      <c r="AC1788" s="665"/>
      <c r="AD1788" s="665"/>
      <c r="AE1788" s="665"/>
      <c r="AF1788" s="649"/>
      <c r="AG1788" s="650"/>
      <c r="AH1788" s="650"/>
      <c r="AI1788" s="667"/>
    </row>
    <row r="1789" spans="12:35" ht="45" customHeight="1" thickBot="1" x14ac:dyDescent="0.25">
      <c r="L1789" s="645"/>
      <c r="M1789" s="616"/>
      <c r="N1789" s="616"/>
      <c r="O1789" s="616"/>
      <c r="P1789" s="615"/>
      <c r="Q1789" s="616"/>
      <c r="R1789" s="663"/>
      <c r="S1789" s="459"/>
      <c r="T1789" s="459"/>
      <c r="U1789" s="459"/>
      <c r="V1789" s="459"/>
      <c r="W1789" s="459"/>
      <c r="X1789" s="459"/>
      <c r="Y1789" s="666"/>
      <c r="Z1789" s="664"/>
      <c r="AA1789" s="665"/>
      <c r="AB1789" s="665"/>
      <c r="AC1789" s="665"/>
      <c r="AD1789" s="665"/>
      <c r="AE1789" s="665"/>
      <c r="AF1789" s="649"/>
      <c r="AG1789" s="650"/>
      <c r="AH1789" s="650"/>
      <c r="AI1789" s="667"/>
    </row>
    <row r="1790" spans="12:35" ht="45" customHeight="1" thickBot="1" x14ac:dyDescent="0.25">
      <c r="L1790" s="645"/>
      <c r="M1790" s="616"/>
      <c r="N1790" s="616"/>
      <c r="O1790" s="616"/>
      <c r="P1790" s="615"/>
      <c r="Q1790" s="616"/>
      <c r="R1790" s="663"/>
      <c r="S1790" s="459"/>
      <c r="T1790" s="459"/>
      <c r="U1790" s="459"/>
      <c r="V1790" s="459"/>
      <c r="W1790" s="459"/>
      <c r="X1790" s="459"/>
      <c r="Y1790" s="666"/>
      <c r="Z1790" s="664"/>
      <c r="AA1790" s="665"/>
      <c r="AB1790" s="665"/>
      <c r="AC1790" s="665"/>
      <c r="AD1790" s="665"/>
      <c r="AE1790" s="665"/>
      <c r="AF1790" s="649"/>
      <c r="AG1790" s="650"/>
      <c r="AH1790" s="650"/>
      <c r="AI1790" s="667"/>
    </row>
    <row r="1791" spans="12:35" ht="45" customHeight="1" thickBot="1" x14ac:dyDescent="0.25">
      <c r="L1791" s="645"/>
      <c r="M1791" s="616"/>
      <c r="N1791" s="616"/>
      <c r="O1791" s="616"/>
      <c r="P1791" s="615"/>
      <c r="Q1791" s="616"/>
      <c r="R1791" s="663"/>
      <c r="S1791" s="459"/>
      <c r="T1791" s="459"/>
      <c r="U1791" s="459"/>
      <c r="V1791" s="459"/>
      <c r="W1791" s="459"/>
      <c r="X1791" s="459"/>
      <c r="Y1791" s="666"/>
      <c r="Z1791" s="664"/>
      <c r="AA1791" s="665"/>
      <c r="AB1791" s="665"/>
      <c r="AC1791" s="665"/>
      <c r="AD1791" s="665"/>
      <c r="AE1791" s="665"/>
      <c r="AF1791" s="649"/>
      <c r="AG1791" s="650"/>
      <c r="AH1791" s="650"/>
      <c r="AI1791" s="667"/>
    </row>
    <row r="1792" spans="12:35" ht="45" customHeight="1" thickBot="1" x14ac:dyDescent="0.25">
      <c r="L1792" s="645"/>
      <c r="M1792" s="616"/>
      <c r="N1792" s="616"/>
      <c r="O1792" s="616"/>
      <c r="P1792" s="615"/>
      <c r="Q1792" s="616"/>
      <c r="R1792" s="663"/>
      <c r="S1792" s="459"/>
      <c r="T1792" s="459"/>
      <c r="U1792" s="459"/>
      <c r="V1792" s="459"/>
      <c r="W1792" s="459"/>
      <c r="X1792" s="459"/>
      <c r="Y1792" s="666"/>
      <c r="Z1792" s="664"/>
      <c r="AA1792" s="665"/>
      <c r="AB1792" s="665"/>
      <c r="AC1792" s="665"/>
      <c r="AD1792" s="665"/>
      <c r="AE1792" s="665"/>
      <c r="AF1792" s="649"/>
      <c r="AG1792" s="650"/>
      <c r="AH1792" s="650"/>
      <c r="AI1792" s="667"/>
    </row>
    <row r="1793" spans="12:35" ht="45" customHeight="1" thickBot="1" x14ac:dyDescent="0.25">
      <c r="L1793" s="645"/>
      <c r="M1793" s="616"/>
      <c r="N1793" s="616"/>
      <c r="O1793" s="616"/>
      <c r="P1793" s="615"/>
      <c r="Q1793" s="616"/>
      <c r="R1793" s="663"/>
      <c r="S1793" s="459"/>
      <c r="T1793" s="459"/>
      <c r="U1793" s="459"/>
      <c r="V1793" s="459"/>
      <c r="W1793" s="459"/>
      <c r="X1793" s="459"/>
      <c r="Y1793" s="666"/>
      <c r="Z1793" s="664"/>
      <c r="AA1793" s="665"/>
      <c r="AB1793" s="665"/>
      <c r="AC1793" s="665"/>
      <c r="AD1793" s="665"/>
      <c r="AE1793" s="665"/>
      <c r="AF1793" s="649"/>
      <c r="AG1793" s="650"/>
      <c r="AH1793" s="650"/>
      <c r="AI1793" s="667"/>
    </row>
    <row r="1794" spans="12:35" ht="45" customHeight="1" thickBot="1" x14ac:dyDescent="0.25">
      <c r="L1794" s="645"/>
      <c r="M1794" s="616"/>
      <c r="N1794" s="616"/>
      <c r="O1794" s="616"/>
      <c r="P1794" s="615"/>
      <c r="Q1794" s="616"/>
      <c r="R1794" s="663"/>
      <c r="S1794" s="459"/>
      <c r="T1794" s="459"/>
      <c r="U1794" s="459"/>
      <c r="V1794" s="459"/>
      <c r="W1794" s="459"/>
      <c r="X1794" s="459"/>
      <c r="Y1794" s="666"/>
      <c r="Z1794" s="664"/>
      <c r="AA1794" s="665"/>
      <c r="AB1794" s="665"/>
      <c r="AC1794" s="665"/>
      <c r="AD1794" s="665"/>
      <c r="AE1794" s="665"/>
      <c r="AF1794" s="649"/>
      <c r="AG1794" s="650"/>
      <c r="AH1794" s="650"/>
      <c r="AI1794" s="667"/>
    </row>
    <row r="1795" spans="12:35" ht="45" customHeight="1" thickBot="1" x14ac:dyDescent="0.25">
      <c r="L1795" s="645"/>
      <c r="M1795" s="616"/>
      <c r="N1795" s="616"/>
      <c r="O1795" s="616"/>
      <c r="P1795" s="615"/>
      <c r="Q1795" s="616"/>
      <c r="R1795" s="663"/>
      <c r="S1795" s="459"/>
      <c r="T1795" s="459"/>
      <c r="U1795" s="459"/>
      <c r="V1795" s="459"/>
      <c r="W1795" s="459"/>
      <c r="X1795" s="459"/>
      <c r="Y1795" s="666"/>
      <c r="Z1795" s="664"/>
      <c r="AA1795" s="665"/>
      <c r="AB1795" s="665"/>
      <c r="AC1795" s="665"/>
      <c r="AD1795" s="665"/>
      <c r="AE1795" s="665"/>
      <c r="AF1795" s="649"/>
      <c r="AG1795" s="650"/>
      <c r="AH1795" s="650"/>
      <c r="AI1795" s="667"/>
    </row>
    <row r="1796" spans="12:35" ht="45" customHeight="1" thickBot="1" x14ac:dyDescent="0.25">
      <c r="L1796" s="645"/>
      <c r="M1796" s="616"/>
      <c r="N1796" s="616"/>
      <c r="O1796" s="616"/>
      <c r="P1796" s="615"/>
      <c r="Q1796" s="616"/>
      <c r="R1796" s="663"/>
      <c r="S1796" s="459"/>
      <c r="T1796" s="459"/>
      <c r="U1796" s="459"/>
      <c r="V1796" s="459"/>
      <c r="W1796" s="459"/>
      <c r="X1796" s="459"/>
      <c r="Y1796" s="666"/>
      <c r="Z1796" s="664"/>
      <c r="AA1796" s="665"/>
      <c r="AB1796" s="665"/>
      <c r="AC1796" s="665"/>
      <c r="AD1796" s="665"/>
      <c r="AE1796" s="665"/>
      <c r="AF1796" s="649"/>
      <c r="AG1796" s="650"/>
      <c r="AH1796" s="650"/>
      <c r="AI1796" s="667"/>
    </row>
    <row r="1797" spans="12:35" ht="45" customHeight="1" thickBot="1" x14ac:dyDescent="0.25">
      <c r="L1797" s="645"/>
      <c r="M1797" s="616"/>
      <c r="N1797" s="616"/>
      <c r="O1797" s="616"/>
      <c r="P1797" s="615"/>
      <c r="Q1797" s="616"/>
      <c r="R1797" s="663"/>
      <c r="S1797" s="459"/>
      <c r="T1797" s="459"/>
      <c r="U1797" s="459"/>
      <c r="V1797" s="459"/>
      <c r="W1797" s="459"/>
      <c r="X1797" s="459"/>
      <c r="Y1797" s="666"/>
      <c r="Z1797" s="664"/>
      <c r="AA1797" s="665"/>
      <c r="AB1797" s="665"/>
      <c r="AC1797" s="665"/>
      <c r="AD1797" s="665"/>
      <c r="AE1797" s="665"/>
      <c r="AF1797" s="649"/>
      <c r="AG1797" s="650"/>
      <c r="AH1797" s="650"/>
      <c r="AI1797" s="667"/>
    </row>
    <row r="1798" spans="12:35" ht="45" customHeight="1" thickBot="1" x14ac:dyDescent="0.25">
      <c r="L1798" s="645"/>
      <c r="M1798" s="616"/>
      <c r="N1798" s="616"/>
      <c r="O1798" s="616"/>
      <c r="P1798" s="615"/>
      <c r="Q1798" s="616"/>
      <c r="R1798" s="663"/>
      <c r="S1798" s="459"/>
      <c r="T1798" s="459"/>
      <c r="U1798" s="459"/>
      <c r="V1798" s="459"/>
      <c r="W1798" s="459"/>
      <c r="X1798" s="459"/>
      <c r="Y1798" s="666"/>
      <c r="Z1798" s="664"/>
      <c r="AA1798" s="665"/>
      <c r="AB1798" s="665"/>
      <c r="AC1798" s="665"/>
      <c r="AD1798" s="665"/>
      <c r="AE1798" s="665"/>
      <c r="AF1798" s="649"/>
      <c r="AG1798" s="650"/>
      <c r="AH1798" s="650"/>
      <c r="AI1798" s="667"/>
    </row>
    <row r="1799" spans="12:35" ht="45" customHeight="1" thickBot="1" x14ac:dyDescent="0.25">
      <c r="L1799" s="645"/>
      <c r="M1799" s="616"/>
      <c r="N1799" s="616"/>
      <c r="O1799" s="616"/>
      <c r="P1799" s="615"/>
      <c r="Q1799" s="616"/>
      <c r="R1799" s="663"/>
      <c r="S1799" s="459"/>
      <c r="T1799" s="459"/>
      <c r="U1799" s="459"/>
      <c r="V1799" s="459"/>
      <c r="W1799" s="459"/>
      <c r="X1799" s="459"/>
      <c r="Y1799" s="666"/>
      <c r="Z1799" s="664"/>
      <c r="AA1799" s="665"/>
      <c r="AB1799" s="665"/>
      <c r="AC1799" s="665"/>
      <c r="AD1799" s="665"/>
      <c r="AE1799" s="665"/>
      <c r="AF1799" s="649"/>
      <c r="AG1799" s="650"/>
      <c r="AH1799" s="650"/>
      <c r="AI1799" s="667"/>
    </row>
    <row r="1800" spans="12:35" ht="45" customHeight="1" thickBot="1" x14ac:dyDescent="0.25">
      <c r="L1800" s="645"/>
      <c r="M1800" s="616"/>
      <c r="N1800" s="616"/>
      <c r="O1800" s="616"/>
      <c r="P1800" s="615"/>
      <c r="Q1800" s="616"/>
      <c r="R1800" s="663"/>
      <c r="S1800" s="459"/>
      <c r="T1800" s="459"/>
      <c r="U1800" s="459"/>
      <c r="V1800" s="459"/>
      <c r="W1800" s="459"/>
      <c r="X1800" s="459"/>
      <c r="Y1800" s="666"/>
      <c r="Z1800" s="664"/>
      <c r="AA1800" s="665"/>
      <c r="AB1800" s="665"/>
      <c r="AC1800" s="665"/>
      <c r="AD1800" s="665"/>
      <c r="AE1800" s="665"/>
      <c r="AF1800" s="649"/>
      <c r="AG1800" s="650"/>
      <c r="AH1800" s="650"/>
      <c r="AI1800" s="667"/>
    </row>
    <row r="1801" spans="12:35" ht="45" customHeight="1" thickBot="1" x14ac:dyDescent="0.25">
      <c r="L1801" s="645"/>
      <c r="M1801" s="616"/>
      <c r="N1801" s="616"/>
      <c r="O1801" s="616"/>
      <c r="P1801" s="615"/>
      <c r="Q1801" s="616"/>
      <c r="R1801" s="663"/>
      <c r="S1801" s="459"/>
      <c r="T1801" s="459"/>
      <c r="U1801" s="459"/>
      <c r="V1801" s="459"/>
      <c r="W1801" s="459"/>
      <c r="X1801" s="459"/>
      <c r="Y1801" s="666"/>
      <c r="Z1801" s="664"/>
      <c r="AA1801" s="665"/>
      <c r="AB1801" s="665"/>
      <c r="AC1801" s="665"/>
      <c r="AD1801" s="665"/>
      <c r="AE1801" s="665"/>
      <c r="AF1801" s="649"/>
      <c r="AG1801" s="650"/>
      <c r="AH1801" s="650"/>
      <c r="AI1801" s="667"/>
    </row>
    <row r="1802" spans="12:35" ht="45" customHeight="1" thickBot="1" x14ac:dyDescent="0.25">
      <c r="L1802" s="645"/>
      <c r="M1802" s="616"/>
      <c r="N1802" s="616"/>
      <c r="O1802" s="616"/>
      <c r="P1802" s="615"/>
      <c r="Q1802" s="616"/>
      <c r="R1802" s="663"/>
      <c r="S1802" s="459"/>
      <c r="T1802" s="459"/>
      <c r="U1802" s="459"/>
      <c r="V1802" s="459"/>
      <c r="W1802" s="459"/>
      <c r="X1802" s="459"/>
      <c r="Y1802" s="666"/>
      <c r="Z1802" s="664"/>
      <c r="AA1802" s="665"/>
      <c r="AB1802" s="665"/>
      <c r="AC1802" s="665"/>
      <c r="AD1802" s="665"/>
      <c r="AE1802" s="665"/>
      <c r="AF1802" s="649"/>
      <c r="AG1802" s="650"/>
      <c r="AH1802" s="650"/>
      <c r="AI1802" s="667"/>
    </row>
    <row r="1803" spans="12:35" ht="45" customHeight="1" thickBot="1" x14ac:dyDescent="0.25">
      <c r="L1803" s="645"/>
      <c r="M1803" s="616"/>
      <c r="N1803" s="616"/>
      <c r="O1803" s="616"/>
      <c r="P1803" s="615"/>
      <c r="Q1803" s="616"/>
      <c r="R1803" s="663"/>
      <c r="S1803" s="459"/>
      <c r="T1803" s="459"/>
      <c r="U1803" s="459"/>
      <c r="V1803" s="459"/>
      <c r="W1803" s="459"/>
      <c r="X1803" s="459"/>
      <c r="Y1803" s="666"/>
      <c r="Z1803" s="664"/>
      <c r="AA1803" s="665"/>
      <c r="AB1803" s="665"/>
      <c r="AC1803" s="665"/>
      <c r="AD1803" s="665"/>
      <c r="AE1803" s="665"/>
      <c r="AF1803" s="649"/>
      <c r="AG1803" s="650"/>
      <c r="AH1803" s="650"/>
      <c r="AI1803" s="667"/>
    </row>
    <row r="1804" spans="12:35" ht="45" customHeight="1" thickBot="1" x14ac:dyDescent="0.25">
      <c r="L1804" s="645"/>
      <c r="M1804" s="616"/>
      <c r="N1804" s="616"/>
      <c r="O1804" s="616"/>
      <c r="P1804" s="615"/>
      <c r="Q1804" s="616"/>
      <c r="R1804" s="663"/>
      <c r="S1804" s="459"/>
      <c r="T1804" s="459"/>
      <c r="U1804" s="459"/>
      <c r="V1804" s="459"/>
      <c r="W1804" s="459"/>
      <c r="X1804" s="459"/>
      <c r="Y1804" s="666"/>
      <c r="Z1804" s="664"/>
      <c r="AA1804" s="665"/>
      <c r="AB1804" s="665"/>
      <c r="AC1804" s="665"/>
      <c r="AD1804" s="665"/>
      <c r="AE1804" s="665"/>
      <c r="AF1804" s="649"/>
      <c r="AG1804" s="650"/>
      <c r="AH1804" s="650"/>
      <c r="AI1804" s="667"/>
    </row>
    <row r="1805" spans="12:35" ht="45" customHeight="1" thickBot="1" x14ac:dyDescent="0.25">
      <c r="L1805" s="645"/>
      <c r="M1805" s="616"/>
      <c r="N1805" s="616"/>
      <c r="O1805" s="616"/>
      <c r="P1805" s="615"/>
      <c r="Q1805" s="616"/>
      <c r="R1805" s="663"/>
      <c r="S1805" s="459"/>
      <c r="T1805" s="459"/>
      <c r="U1805" s="459"/>
      <c r="V1805" s="459"/>
      <c r="W1805" s="459"/>
      <c r="X1805" s="459"/>
      <c r="Y1805" s="666"/>
      <c r="Z1805" s="664"/>
      <c r="AA1805" s="665"/>
      <c r="AB1805" s="665"/>
      <c r="AC1805" s="665"/>
      <c r="AD1805" s="665"/>
      <c r="AE1805" s="665"/>
      <c r="AF1805" s="649"/>
      <c r="AG1805" s="650"/>
      <c r="AH1805" s="650"/>
      <c r="AI1805" s="667"/>
    </row>
    <row r="1806" spans="12:35" ht="45" customHeight="1" thickBot="1" x14ac:dyDescent="0.25">
      <c r="L1806" s="645"/>
      <c r="M1806" s="616"/>
      <c r="N1806" s="616"/>
      <c r="O1806" s="616"/>
      <c r="P1806" s="615"/>
      <c r="Q1806" s="616"/>
      <c r="R1806" s="663"/>
      <c r="S1806" s="459"/>
      <c r="T1806" s="459"/>
      <c r="U1806" s="459"/>
      <c r="V1806" s="459"/>
      <c r="W1806" s="459"/>
      <c r="X1806" s="459"/>
      <c r="Y1806" s="666"/>
      <c r="Z1806" s="664"/>
      <c r="AA1806" s="665"/>
      <c r="AB1806" s="665"/>
      <c r="AC1806" s="665"/>
      <c r="AD1806" s="665"/>
      <c r="AE1806" s="665"/>
      <c r="AF1806" s="649"/>
      <c r="AG1806" s="650"/>
      <c r="AH1806" s="650"/>
      <c r="AI1806" s="667"/>
    </row>
    <row r="1807" spans="12:35" ht="45" customHeight="1" thickBot="1" x14ac:dyDescent="0.25">
      <c r="L1807" s="645"/>
      <c r="M1807" s="616"/>
      <c r="N1807" s="616"/>
      <c r="O1807" s="616"/>
      <c r="P1807" s="615"/>
      <c r="Q1807" s="616"/>
      <c r="R1807" s="663"/>
      <c r="S1807" s="459"/>
      <c r="T1807" s="459"/>
      <c r="U1807" s="459"/>
      <c r="V1807" s="459"/>
      <c r="W1807" s="459"/>
      <c r="X1807" s="459"/>
      <c r="Y1807" s="666"/>
      <c r="Z1807" s="664"/>
      <c r="AA1807" s="665"/>
      <c r="AB1807" s="665"/>
      <c r="AC1807" s="665"/>
      <c r="AD1807" s="665"/>
      <c r="AE1807" s="665"/>
      <c r="AF1807" s="649"/>
      <c r="AG1807" s="650"/>
      <c r="AH1807" s="650"/>
      <c r="AI1807" s="667"/>
    </row>
    <row r="1808" spans="12:35" ht="45" customHeight="1" thickBot="1" x14ac:dyDescent="0.25">
      <c r="L1808" s="645"/>
      <c r="M1808" s="616"/>
      <c r="N1808" s="616"/>
      <c r="O1808" s="616"/>
      <c r="P1808" s="615"/>
      <c r="Q1808" s="616"/>
      <c r="R1808" s="663"/>
      <c r="S1808" s="459"/>
      <c r="T1808" s="459"/>
      <c r="U1808" s="459"/>
      <c r="V1808" s="459"/>
      <c r="W1808" s="459"/>
      <c r="X1808" s="459"/>
      <c r="Y1808" s="666"/>
      <c r="Z1808" s="664"/>
      <c r="AA1808" s="665"/>
      <c r="AB1808" s="665"/>
      <c r="AC1808" s="665"/>
      <c r="AD1808" s="665"/>
      <c r="AE1808" s="665"/>
      <c r="AF1808" s="649"/>
      <c r="AG1808" s="650"/>
      <c r="AH1808" s="650"/>
      <c r="AI1808" s="667"/>
    </row>
    <row r="1809" spans="12:35" ht="45" customHeight="1" thickBot="1" x14ac:dyDescent="0.25">
      <c r="L1809" s="645"/>
      <c r="M1809" s="616"/>
      <c r="N1809" s="616"/>
      <c r="O1809" s="616"/>
      <c r="P1809" s="615"/>
      <c r="Q1809" s="616"/>
      <c r="R1809" s="663"/>
      <c r="S1809" s="459"/>
      <c r="T1809" s="459"/>
      <c r="U1809" s="459"/>
      <c r="V1809" s="459"/>
      <c r="W1809" s="459"/>
      <c r="X1809" s="459"/>
      <c r="Y1809" s="666"/>
      <c r="Z1809" s="664"/>
      <c r="AA1809" s="665"/>
      <c r="AB1809" s="665"/>
      <c r="AC1809" s="665"/>
      <c r="AD1809" s="665"/>
      <c r="AE1809" s="665"/>
      <c r="AF1809" s="649"/>
      <c r="AG1809" s="650"/>
      <c r="AH1809" s="650"/>
      <c r="AI1809" s="667"/>
    </row>
    <row r="1810" spans="12:35" ht="45" customHeight="1" thickBot="1" x14ac:dyDescent="0.25">
      <c r="L1810" s="645"/>
      <c r="M1810" s="616"/>
      <c r="N1810" s="616"/>
      <c r="O1810" s="616"/>
      <c r="P1810" s="615"/>
      <c r="Q1810" s="616"/>
      <c r="R1810" s="663"/>
      <c r="S1810" s="459"/>
      <c r="T1810" s="459"/>
      <c r="U1810" s="459"/>
      <c r="V1810" s="459"/>
      <c r="W1810" s="459"/>
      <c r="X1810" s="459"/>
      <c r="Y1810" s="666"/>
      <c r="Z1810" s="664"/>
      <c r="AA1810" s="665"/>
      <c r="AB1810" s="665"/>
      <c r="AC1810" s="665"/>
      <c r="AD1810" s="665"/>
      <c r="AE1810" s="665"/>
      <c r="AF1810" s="649"/>
      <c r="AG1810" s="650"/>
      <c r="AH1810" s="650"/>
      <c r="AI1810" s="667"/>
    </row>
    <row r="1811" spans="12:35" ht="45" customHeight="1" thickBot="1" x14ac:dyDescent="0.25">
      <c r="L1811" s="645"/>
      <c r="M1811" s="616"/>
      <c r="N1811" s="616"/>
      <c r="O1811" s="616"/>
      <c r="P1811" s="615"/>
      <c r="Q1811" s="616"/>
      <c r="R1811" s="663"/>
      <c r="S1811" s="459"/>
      <c r="T1811" s="459"/>
      <c r="U1811" s="459"/>
      <c r="V1811" s="459"/>
      <c r="W1811" s="459"/>
      <c r="X1811" s="459"/>
      <c r="Y1811" s="666"/>
      <c r="Z1811" s="664"/>
      <c r="AA1811" s="665"/>
      <c r="AB1811" s="665"/>
      <c r="AC1811" s="665"/>
      <c r="AD1811" s="665"/>
      <c r="AE1811" s="665"/>
      <c r="AF1811" s="649"/>
      <c r="AG1811" s="650"/>
      <c r="AH1811" s="650"/>
      <c r="AI1811" s="667"/>
    </row>
    <row r="1812" spans="12:35" ht="45" customHeight="1" thickBot="1" x14ac:dyDescent="0.25">
      <c r="L1812" s="645"/>
      <c r="M1812" s="616"/>
      <c r="N1812" s="616"/>
      <c r="O1812" s="616"/>
      <c r="P1812" s="615"/>
      <c r="Q1812" s="616"/>
      <c r="R1812" s="663"/>
      <c r="S1812" s="459"/>
      <c r="T1812" s="459"/>
      <c r="U1812" s="459"/>
      <c r="V1812" s="459"/>
      <c r="W1812" s="459"/>
      <c r="X1812" s="459"/>
      <c r="Y1812" s="666"/>
      <c r="Z1812" s="664"/>
      <c r="AA1812" s="665"/>
      <c r="AB1812" s="665"/>
      <c r="AC1812" s="665"/>
      <c r="AD1812" s="665"/>
      <c r="AE1812" s="665"/>
      <c r="AF1812" s="649"/>
      <c r="AG1812" s="650"/>
      <c r="AH1812" s="650"/>
      <c r="AI1812" s="667"/>
    </row>
    <row r="1813" spans="12:35" ht="45" customHeight="1" thickBot="1" x14ac:dyDescent="0.25">
      <c r="L1813" s="645"/>
      <c r="M1813" s="616"/>
      <c r="N1813" s="616"/>
      <c r="O1813" s="616"/>
      <c r="P1813" s="615"/>
      <c r="Q1813" s="616"/>
      <c r="R1813" s="663"/>
      <c r="S1813" s="459"/>
      <c r="T1813" s="459"/>
      <c r="U1813" s="459"/>
      <c r="V1813" s="459"/>
      <c r="W1813" s="459"/>
      <c r="X1813" s="459"/>
      <c r="Y1813" s="666"/>
      <c r="Z1813" s="664"/>
      <c r="AA1813" s="665"/>
      <c r="AB1813" s="665"/>
      <c r="AC1813" s="665"/>
      <c r="AD1813" s="665"/>
      <c r="AE1813" s="665"/>
      <c r="AF1813" s="649"/>
      <c r="AG1813" s="650"/>
      <c r="AH1813" s="650"/>
      <c r="AI1813" s="667"/>
    </row>
    <row r="1814" spans="12:35" ht="45" customHeight="1" thickBot="1" x14ac:dyDescent="0.25">
      <c r="L1814" s="645"/>
      <c r="M1814" s="616"/>
      <c r="N1814" s="616"/>
      <c r="O1814" s="616"/>
      <c r="P1814" s="615"/>
      <c r="Q1814" s="616"/>
      <c r="R1814" s="663"/>
      <c r="S1814" s="459"/>
      <c r="T1814" s="459"/>
      <c r="U1814" s="459"/>
      <c r="V1814" s="459"/>
      <c r="W1814" s="459"/>
      <c r="X1814" s="459"/>
      <c r="Y1814" s="666"/>
      <c r="Z1814" s="664"/>
      <c r="AA1814" s="665"/>
      <c r="AB1814" s="665"/>
      <c r="AC1814" s="665"/>
      <c r="AD1814" s="665"/>
      <c r="AE1814" s="665"/>
      <c r="AF1814" s="649"/>
      <c r="AG1814" s="650"/>
      <c r="AH1814" s="650"/>
      <c r="AI1814" s="667"/>
    </row>
    <row r="1815" spans="12:35" ht="45" customHeight="1" thickBot="1" x14ac:dyDescent="0.25">
      <c r="L1815" s="645"/>
      <c r="M1815" s="616"/>
      <c r="N1815" s="616"/>
      <c r="O1815" s="616"/>
      <c r="P1815" s="615"/>
      <c r="Q1815" s="616"/>
      <c r="R1815" s="663"/>
      <c r="S1815" s="459"/>
      <c r="T1815" s="459"/>
      <c r="U1815" s="459"/>
      <c r="V1815" s="459"/>
      <c r="W1815" s="459"/>
      <c r="X1815" s="459"/>
      <c r="Y1815" s="666"/>
      <c r="Z1815" s="664"/>
      <c r="AA1815" s="665"/>
      <c r="AB1815" s="665"/>
      <c r="AC1815" s="665"/>
      <c r="AD1815" s="665"/>
      <c r="AE1815" s="665"/>
      <c r="AF1815" s="649"/>
      <c r="AG1815" s="650"/>
      <c r="AH1815" s="650"/>
      <c r="AI1815" s="667"/>
    </row>
    <row r="1816" spans="12:35" ht="45" customHeight="1" thickBot="1" x14ac:dyDescent="0.25">
      <c r="L1816" s="645"/>
      <c r="M1816" s="616"/>
      <c r="N1816" s="616"/>
      <c r="O1816" s="616"/>
      <c r="P1816" s="615"/>
      <c r="Q1816" s="616"/>
      <c r="R1816" s="663"/>
      <c r="S1816" s="459"/>
      <c r="T1816" s="459"/>
      <c r="U1816" s="459"/>
      <c r="V1816" s="459"/>
      <c r="W1816" s="459"/>
      <c r="X1816" s="459"/>
      <c r="Y1816" s="666"/>
      <c r="Z1816" s="664"/>
      <c r="AA1816" s="665"/>
      <c r="AB1816" s="665"/>
      <c r="AC1816" s="665"/>
      <c r="AD1816" s="665"/>
      <c r="AE1816" s="665"/>
      <c r="AF1816" s="649"/>
      <c r="AG1816" s="650"/>
      <c r="AH1816" s="650"/>
      <c r="AI1816" s="667"/>
    </row>
    <row r="1817" spans="12:35" ht="45" customHeight="1" thickBot="1" x14ac:dyDescent="0.25">
      <c r="L1817" s="645"/>
      <c r="M1817" s="616"/>
      <c r="N1817" s="616"/>
      <c r="O1817" s="616"/>
      <c r="P1817" s="615"/>
      <c r="Q1817" s="616"/>
      <c r="R1817" s="663"/>
      <c r="S1817" s="459"/>
      <c r="T1817" s="459"/>
      <c r="U1817" s="459"/>
      <c r="V1817" s="459"/>
      <c r="W1817" s="459"/>
      <c r="X1817" s="459"/>
      <c r="Y1817" s="666"/>
      <c r="Z1817" s="664"/>
      <c r="AA1817" s="665"/>
      <c r="AB1817" s="665"/>
      <c r="AC1817" s="665"/>
      <c r="AD1817" s="665"/>
      <c r="AE1817" s="665"/>
      <c r="AF1817" s="649"/>
      <c r="AG1817" s="650"/>
      <c r="AH1817" s="650"/>
      <c r="AI1817" s="667"/>
    </row>
    <row r="1818" spans="12:35" ht="45" customHeight="1" thickBot="1" x14ac:dyDescent="0.25">
      <c r="L1818" s="645"/>
      <c r="M1818" s="616"/>
      <c r="N1818" s="616"/>
      <c r="O1818" s="616"/>
      <c r="P1818" s="615"/>
      <c r="Q1818" s="616"/>
      <c r="R1818" s="663"/>
      <c r="S1818" s="459"/>
      <c r="T1818" s="459"/>
      <c r="U1818" s="459"/>
      <c r="V1818" s="459"/>
      <c r="W1818" s="459"/>
      <c r="X1818" s="459"/>
      <c r="Y1818" s="666"/>
      <c r="Z1818" s="664"/>
      <c r="AA1818" s="665"/>
      <c r="AB1818" s="665"/>
      <c r="AC1818" s="665"/>
      <c r="AD1818" s="665"/>
      <c r="AE1818" s="665"/>
      <c r="AF1818" s="649"/>
      <c r="AG1818" s="650"/>
      <c r="AH1818" s="650"/>
      <c r="AI1818" s="667"/>
    </row>
    <row r="1819" spans="12:35" ht="45" customHeight="1" thickBot="1" x14ac:dyDescent="0.25">
      <c r="L1819" s="645"/>
      <c r="M1819" s="616"/>
      <c r="N1819" s="616"/>
      <c r="O1819" s="616"/>
      <c r="P1819" s="615"/>
      <c r="Q1819" s="616"/>
      <c r="R1819" s="663"/>
      <c r="S1819" s="459"/>
      <c r="T1819" s="459"/>
      <c r="U1819" s="459"/>
      <c r="V1819" s="459"/>
      <c r="W1819" s="459"/>
      <c r="X1819" s="459"/>
      <c r="Y1819" s="666"/>
      <c r="Z1819" s="664"/>
      <c r="AA1819" s="665"/>
      <c r="AB1819" s="665"/>
      <c r="AC1819" s="665"/>
      <c r="AD1819" s="665"/>
      <c r="AE1819" s="665"/>
      <c r="AF1819" s="649"/>
      <c r="AG1819" s="650"/>
      <c r="AH1819" s="650"/>
      <c r="AI1819" s="667"/>
    </row>
    <row r="1820" spans="12:35" ht="45" customHeight="1" thickBot="1" x14ac:dyDescent="0.25">
      <c r="L1820" s="645"/>
      <c r="M1820" s="616"/>
      <c r="N1820" s="616"/>
      <c r="O1820" s="616"/>
      <c r="P1820" s="615"/>
      <c r="Q1820" s="616"/>
      <c r="R1820" s="663"/>
      <c r="S1820" s="459"/>
      <c r="T1820" s="459"/>
      <c r="U1820" s="459"/>
      <c r="V1820" s="459"/>
      <c r="W1820" s="459"/>
      <c r="X1820" s="459"/>
      <c r="Y1820" s="666"/>
      <c r="Z1820" s="664"/>
      <c r="AA1820" s="665"/>
      <c r="AB1820" s="665"/>
      <c r="AC1820" s="665"/>
      <c r="AD1820" s="665"/>
      <c r="AE1820" s="665"/>
      <c r="AF1820" s="649"/>
      <c r="AG1820" s="650"/>
      <c r="AH1820" s="650"/>
      <c r="AI1820" s="667"/>
    </row>
    <row r="1821" spans="12:35" ht="45" customHeight="1" thickBot="1" x14ac:dyDescent="0.25">
      <c r="L1821" s="645"/>
      <c r="M1821" s="616"/>
      <c r="N1821" s="616"/>
      <c r="O1821" s="616"/>
      <c r="P1821" s="615"/>
      <c r="Q1821" s="616"/>
      <c r="R1821" s="663"/>
      <c r="S1821" s="459"/>
      <c r="T1821" s="459"/>
      <c r="U1821" s="459"/>
      <c r="V1821" s="459"/>
      <c r="W1821" s="459"/>
      <c r="X1821" s="459"/>
      <c r="Y1821" s="666"/>
      <c r="Z1821" s="664"/>
      <c r="AA1821" s="665"/>
      <c r="AB1821" s="665"/>
      <c r="AC1821" s="665"/>
      <c r="AD1821" s="665"/>
      <c r="AE1821" s="665"/>
      <c r="AF1821" s="649"/>
      <c r="AG1821" s="650"/>
      <c r="AH1821" s="650"/>
      <c r="AI1821" s="667"/>
    </row>
    <row r="1822" spans="12:35" ht="45" customHeight="1" thickBot="1" x14ac:dyDescent="0.25">
      <c r="L1822" s="645"/>
      <c r="M1822" s="616"/>
      <c r="N1822" s="616"/>
      <c r="O1822" s="616"/>
      <c r="P1822" s="615"/>
      <c r="Q1822" s="616"/>
      <c r="R1822" s="663"/>
      <c r="S1822" s="459"/>
      <c r="T1822" s="459"/>
      <c r="U1822" s="459"/>
      <c r="V1822" s="459"/>
      <c r="W1822" s="459"/>
      <c r="X1822" s="459"/>
      <c r="Y1822" s="666"/>
      <c r="Z1822" s="664"/>
      <c r="AA1822" s="665"/>
      <c r="AB1822" s="665"/>
      <c r="AC1822" s="665"/>
      <c r="AD1822" s="665"/>
      <c r="AE1822" s="665"/>
      <c r="AF1822" s="649"/>
      <c r="AG1822" s="650"/>
      <c r="AH1822" s="650"/>
      <c r="AI1822" s="667"/>
    </row>
    <row r="1823" spans="12:35" ht="45" customHeight="1" thickBot="1" x14ac:dyDescent="0.25">
      <c r="L1823" s="645"/>
      <c r="M1823" s="616"/>
      <c r="N1823" s="616"/>
      <c r="O1823" s="616"/>
      <c r="P1823" s="615"/>
      <c r="Q1823" s="616"/>
      <c r="R1823" s="663"/>
      <c r="S1823" s="459"/>
      <c r="T1823" s="459"/>
      <c r="U1823" s="459"/>
      <c r="V1823" s="459"/>
      <c r="W1823" s="459"/>
      <c r="X1823" s="459"/>
      <c r="Y1823" s="666"/>
      <c r="Z1823" s="664"/>
      <c r="AA1823" s="665"/>
      <c r="AB1823" s="665"/>
      <c r="AC1823" s="665"/>
      <c r="AD1823" s="665"/>
      <c r="AE1823" s="665"/>
      <c r="AF1823" s="649"/>
      <c r="AG1823" s="650"/>
      <c r="AH1823" s="650"/>
      <c r="AI1823" s="667"/>
    </row>
    <row r="1824" spans="12:35" ht="45" customHeight="1" thickBot="1" x14ac:dyDescent="0.25">
      <c r="L1824" s="645"/>
      <c r="M1824" s="616"/>
      <c r="N1824" s="616"/>
      <c r="O1824" s="616"/>
      <c r="P1824" s="615"/>
      <c r="Q1824" s="616"/>
      <c r="R1824" s="663"/>
      <c r="S1824" s="459"/>
      <c r="T1824" s="459"/>
      <c r="U1824" s="459"/>
      <c r="V1824" s="459"/>
      <c r="W1824" s="459"/>
      <c r="X1824" s="459"/>
      <c r="Y1824" s="666"/>
      <c r="Z1824" s="664"/>
      <c r="AA1824" s="665"/>
      <c r="AB1824" s="665"/>
      <c r="AC1824" s="665"/>
      <c r="AD1824" s="665"/>
      <c r="AE1824" s="665"/>
      <c r="AF1824" s="649"/>
      <c r="AG1824" s="650"/>
      <c r="AH1824" s="650"/>
      <c r="AI1824" s="667"/>
    </row>
    <row r="1825" spans="12:35" ht="45" customHeight="1" thickBot="1" x14ac:dyDescent="0.25">
      <c r="L1825" s="645"/>
      <c r="M1825" s="616"/>
      <c r="N1825" s="616"/>
      <c r="O1825" s="616"/>
      <c r="P1825" s="615"/>
      <c r="Q1825" s="616"/>
      <c r="R1825" s="663"/>
      <c r="S1825" s="459"/>
      <c r="T1825" s="459"/>
      <c r="U1825" s="459"/>
      <c r="V1825" s="459"/>
      <c r="W1825" s="459"/>
      <c r="X1825" s="459"/>
      <c r="Y1825" s="666"/>
      <c r="Z1825" s="664"/>
      <c r="AA1825" s="665"/>
      <c r="AB1825" s="665"/>
      <c r="AC1825" s="665"/>
      <c r="AD1825" s="665"/>
      <c r="AE1825" s="665"/>
      <c r="AF1825" s="649"/>
      <c r="AG1825" s="650"/>
      <c r="AH1825" s="650"/>
      <c r="AI1825" s="667"/>
    </row>
    <row r="1826" spans="12:35" ht="45" customHeight="1" thickBot="1" x14ac:dyDescent="0.25">
      <c r="L1826" s="645"/>
      <c r="M1826" s="616"/>
      <c r="N1826" s="616"/>
      <c r="O1826" s="616"/>
      <c r="P1826" s="615"/>
      <c r="Q1826" s="616"/>
      <c r="R1826" s="663"/>
      <c r="S1826" s="459"/>
      <c r="T1826" s="459"/>
      <c r="U1826" s="459"/>
      <c r="V1826" s="459"/>
      <c r="W1826" s="459"/>
      <c r="X1826" s="459"/>
      <c r="Y1826" s="666"/>
      <c r="Z1826" s="664"/>
      <c r="AA1826" s="665"/>
      <c r="AB1826" s="665"/>
      <c r="AC1826" s="665"/>
      <c r="AD1826" s="665"/>
      <c r="AE1826" s="665"/>
      <c r="AF1826" s="649"/>
      <c r="AG1826" s="650"/>
      <c r="AH1826" s="650"/>
      <c r="AI1826" s="667"/>
    </row>
    <row r="1827" spans="12:35" ht="45" customHeight="1" thickBot="1" x14ac:dyDescent="0.25">
      <c r="L1827" s="645"/>
      <c r="M1827" s="616"/>
      <c r="N1827" s="616"/>
      <c r="O1827" s="616"/>
      <c r="P1827" s="615"/>
      <c r="Q1827" s="616"/>
      <c r="R1827" s="663"/>
      <c r="S1827" s="459"/>
      <c r="T1827" s="459"/>
      <c r="U1827" s="459"/>
      <c r="V1827" s="459"/>
      <c r="W1827" s="459"/>
      <c r="X1827" s="459"/>
      <c r="Y1827" s="666"/>
      <c r="Z1827" s="664"/>
      <c r="AA1827" s="665"/>
      <c r="AB1827" s="665"/>
      <c r="AC1827" s="665"/>
      <c r="AD1827" s="665"/>
      <c r="AE1827" s="665"/>
      <c r="AF1827" s="649"/>
      <c r="AG1827" s="650"/>
      <c r="AH1827" s="650"/>
      <c r="AI1827" s="667"/>
    </row>
    <row r="1828" spans="12:35" ht="45" customHeight="1" thickBot="1" x14ac:dyDescent="0.25">
      <c r="L1828" s="645"/>
      <c r="M1828" s="616"/>
      <c r="N1828" s="616"/>
      <c r="O1828" s="616"/>
      <c r="P1828" s="615"/>
      <c r="Q1828" s="616"/>
      <c r="R1828" s="663"/>
      <c r="S1828" s="459"/>
      <c r="T1828" s="459"/>
      <c r="U1828" s="459"/>
      <c r="V1828" s="459"/>
      <c r="W1828" s="459"/>
      <c r="X1828" s="459"/>
      <c r="Y1828" s="666"/>
      <c r="Z1828" s="664"/>
      <c r="AA1828" s="665"/>
      <c r="AB1828" s="665"/>
      <c r="AC1828" s="665"/>
      <c r="AD1828" s="665"/>
      <c r="AE1828" s="665"/>
      <c r="AF1828" s="649"/>
      <c r="AG1828" s="650"/>
      <c r="AH1828" s="650"/>
      <c r="AI1828" s="667"/>
    </row>
    <row r="1829" spans="12:35" ht="45" customHeight="1" thickBot="1" x14ac:dyDescent="0.25">
      <c r="L1829" s="645"/>
      <c r="M1829" s="616"/>
      <c r="N1829" s="616"/>
      <c r="O1829" s="616"/>
      <c r="P1829" s="615"/>
      <c r="Q1829" s="616"/>
      <c r="R1829" s="663"/>
      <c r="S1829" s="459"/>
      <c r="T1829" s="459"/>
      <c r="U1829" s="459"/>
      <c r="V1829" s="459"/>
      <c r="W1829" s="459"/>
      <c r="X1829" s="459"/>
      <c r="Y1829" s="666"/>
      <c r="Z1829" s="664"/>
      <c r="AA1829" s="665"/>
      <c r="AB1829" s="665"/>
      <c r="AC1829" s="665"/>
      <c r="AD1829" s="665"/>
      <c r="AE1829" s="665"/>
      <c r="AF1829" s="649"/>
      <c r="AG1829" s="650"/>
      <c r="AH1829" s="650"/>
      <c r="AI1829" s="667"/>
    </row>
    <row r="1830" spans="12:35" ht="45" customHeight="1" thickBot="1" x14ac:dyDescent="0.25">
      <c r="L1830" s="645"/>
      <c r="M1830" s="616"/>
      <c r="N1830" s="616"/>
      <c r="O1830" s="616"/>
      <c r="P1830" s="615"/>
      <c r="Q1830" s="616"/>
      <c r="R1830" s="663"/>
      <c r="S1830" s="459"/>
      <c r="T1830" s="459"/>
      <c r="U1830" s="459"/>
      <c r="V1830" s="459"/>
      <c r="W1830" s="459"/>
      <c r="X1830" s="459"/>
      <c r="Y1830" s="666"/>
      <c r="Z1830" s="664"/>
      <c r="AA1830" s="665"/>
      <c r="AB1830" s="665"/>
      <c r="AC1830" s="665"/>
      <c r="AD1830" s="665"/>
      <c r="AE1830" s="665"/>
      <c r="AF1830" s="649"/>
      <c r="AG1830" s="650"/>
      <c r="AH1830" s="650"/>
      <c r="AI1830" s="667"/>
    </row>
    <row r="1831" spans="12:35" ht="45" customHeight="1" thickBot="1" x14ac:dyDescent="0.25">
      <c r="L1831" s="645"/>
      <c r="M1831" s="616"/>
      <c r="N1831" s="616"/>
      <c r="O1831" s="616"/>
      <c r="P1831" s="615"/>
      <c r="Q1831" s="616"/>
      <c r="R1831" s="663"/>
      <c r="S1831" s="459"/>
      <c r="T1831" s="459"/>
      <c r="U1831" s="459"/>
      <c r="V1831" s="459"/>
      <c r="W1831" s="459"/>
      <c r="X1831" s="459"/>
      <c r="Y1831" s="666"/>
      <c r="Z1831" s="664"/>
      <c r="AA1831" s="665"/>
      <c r="AB1831" s="665"/>
      <c r="AC1831" s="665"/>
      <c r="AD1831" s="665"/>
      <c r="AE1831" s="665"/>
      <c r="AF1831" s="649"/>
      <c r="AG1831" s="650"/>
      <c r="AH1831" s="650"/>
      <c r="AI1831" s="667"/>
    </row>
    <row r="1832" spans="12:35" ht="45" customHeight="1" thickBot="1" x14ac:dyDescent="0.25">
      <c r="L1832" s="645"/>
      <c r="M1832" s="616"/>
      <c r="N1832" s="616"/>
      <c r="O1832" s="616"/>
      <c r="P1832" s="615"/>
      <c r="Q1832" s="616"/>
      <c r="R1832" s="663"/>
      <c r="S1832" s="459"/>
      <c r="T1832" s="459"/>
      <c r="U1832" s="459"/>
      <c r="V1832" s="459"/>
      <c r="W1832" s="459"/>
      <c r="X1832" s="459"/>
      <c r="Y1832" s="666"/>
      <c r="Z1832" s="664"/>
      <c r="AA1832" s="665"/>
      <c r="AB1832" s="665"/>
      <c r="AC1832" s="665"/>
      <c r="AD1832" s="665"/>
      <c r="AE1832" s="665"/>
      <c r="AF1832" s="649"/>
      <c r="AG1832" s="650"/>
      <c r="AH1832" s="650"/>
      <c r="AI1832" s="667"/>
    </row>
    <row r="1833" spans="12:35" ht="45" customHeight="1" thickBot="1" x14ac:dyDescent="0.25">
      <c r="L1833" s="645"/>
      <c r="M1833" s="616"/>
      <c r="N1833" s="616"/>
      <c r="O1833" s="616"/>
      <c r="P1833" s="615"/>
      <c r="Q1833" s="616"/>
      <c r="R1833" s="663"/>
      <c r="S1833" s="459"/>
      <c r="T1833" s="459"/>
      <c r="U1833" s="459"/>
      <c r="V1833" s="459"/>
      <c r="W1833" s="459"/>
      <c r="X1833" s="459"/>
      <c r="Y1833" s="666"/>
      <c r="Z1833" s="664"/>
      <c r="AA1833" s="665"/>
      <c r="AB1833" s="665"/>
      <c r="AC1833" s="665"/>
      <c r="AD1833" s="665"/>
      <c r="AE1833" s="665"/>
      <c r="AF1833" s="649"/>
      <c r="AG1833" s="650"/>
      <c r="AH1833" s="650"/>
      <c r="AI1833" s="667"/>
    </row>
    <row r="1834" spans="12:35" ht="45" customHeight="1" thickBot="1" x14ac:dyDescent="0.25">
      <c r="L1834" s="645"/>
      <c r="M1834" s="616"/>
      <c r="N1834" s="616"/>
      <c r="O1834" s="616"/>
      <c r="P1834" s="615"/>
      <c r="Q1834" s="616"/>
      <c r="R1834" s="663"/>
      <c r="S1834" s="459"/>
      <c r="T1834" s="459"/>
      <c r="U1834" s="459"/>
      <c r="V1834" s="459"/>
      <c r="W1834" s="459"/>
      <c r="X1834" s="459"/>
      <c r="Y1834" s="666"/>
      <c r="Z1834" s="664"/>
      <c r="AA1834" s="665"/>
      <c r="AB1834" s="665"/>
      <c r="AC1834" s="665"/>
      <c r="AD1834" s="665"/>
      <c r="AE1834" s="665"/>
      <c r="AF1834" s="649"/>
      <c r="AG1834" s="650"/>
      <c r="AH1834" s="650"/>
      <c r="AI1834" s="667"/>
    </row>
    <row r="1835" spans="12:35" ht="45" customHeight="1" thickBot="1" x14ac:dyDescent="0.25">
      <c r="L1835" s="645"/>
      <c r="M1835" s="616"/>
      <c r="N1835" s="616"/>
      <c r="O1835" s="616"/>
      <c r="P1835" s="615"/>
      <c r="Q1835" s="616"/>
      <c r="R1835" s="663"/>
      <c r="S1835" s="459"/>
      <c r="T1835" s="459"/>
      <c r="U1835" s="459"/>
      <c r="V1835" s="459"/>
      <c r="W1835" s="459"/>
      <c r="X1835" s="459"/>
      <c r="Y1835" s="666"/>
      <c r="Z1835" s="664"/>
      <c r="AA1835" s="665"/>
      <c r="AB1835" s="665"/>
      <c r="AC1835" s="665"/>
      <c r="AD1835" s="665"/>
      <c r="AE1835" s="665"/>
      <c r="AF1835" s="649"/>
      <c r="AG1835" s="650"/>
      <c r="AH1835" s="650"/>
      <c r="AI1835" s="667"/>
    </row>
    <row r="1836" spans="12:35" ht="45" customHeight="1" thickBot="1" x14ac:dyDescent="0.25">
      <c r="L1836" s="645"/>
      <c r="M1836" s="616"/>
      <c r="N1836" s="616"/>
      <c r="O1836" s="616"/>
      <c r="P1836" s="615"/>
      <c r="Q1836" s="616"/>
      <c r="R1836" s="663"/>
      <c r="S1836" s="459"/>
      <c r="T1836" s="459"/>
      <c r="U1836" s="459"/>
      <c r="V1836" s="459"/>
      <c r="W1836" s="459"/>
      <c r="X1836" s="459"/>
      <c r="Y1836" s="666"/>
      <c r="Z1836" s="664"/>
      <c r="AA1836" s="665"/>
      <c r="AB1836" s="665"/>
      <c r="AC1836" s="665"/>
      <c r="AD1836" s="665"/>
      <c r="AE1836" s="665"/>
      <c r="AF1836" s="649"/>
      <c r="AG1836" s="650"/>
      <c r="AH1836" s="650"/>
      <c r="AI1836" s="667"/>
    </row>
    <row r="1837" spans="12:35" ht="45" customHeight="1" thickBot="1" x14ac:dyDescent="0.25">
      <c r="L1837" s="645"/>
      <c r="M1837" s="616"/>
      <c r="N1837" s="616"/>
      <c r="O1837" s="616"/>
      <c r="P1837" s="615"/>
      <c r="Q1837" s="616"/>
      <c r="R1837" s="663"/>
      <c r="S1837" s="459"/>
      <c r="T1837" s="459"/>
      <c r="U1837" s="459"/>
      <c r="V1837" s="459"/>
      <c r="W1837" s="459"/>
      <c r="X1837" s="459"/>
      <c r="Y1837" s="666"/>
      <c r="Z1837" s="664"/>
      <c r="AA1837" s="665"/>
      <c r="AB1837" s="665"/>
      <c r="AC1837" s="665"/>
      <c r="AD1837" s="665"/>
      <c r="AE1837" s="665"/>
      <c r="AF1837" s="649"/>
      <c r="AG1837" s="650"/>
      <c r="AH1837" s="650"/>
      <c r="AI1837" s="667"/>
    </row>
    <row r="1838" spans="12:35" ht="45" customHeight="1" thickBot="1" x14ac:dyDescent="0.25">
      <c r="L1838" s="645"/>
      <c r="M1838" s="616"/>
      <c r="N1838" s="616"/>
      <c r="O1838" s="616"/>
      <c r="P1838" s="615"/>
      <c r="Q1838" s="616"/>
      <c r="R1838" s="663"/>
      <c r="S1838" s="459"/>
      <c r="T1838" s="459"/>
      <c r="U1838" s="459"/>
      <c r="V1838" s="459"/>
      <c r="W1838" s="459"/>
      <c r="X1838" s="459"/>
      <c r="Y1838" s="666"/>
      <c r="Z1838" s="664"/>
      <c r="AA1838" s="665"/>
      <c r="AB1838" s="665"/>
      <c r="AC1838" s="665"/>
      <c r="AD1838" s="665"/>
      <c r="AE1838" s="665"/>
      <c r="AF1838" s="649"/>
      <c r="AG1838" s="650"/>
      <c r="AH1838" s="650"/>
      <c r="AI1838" s="667"/>
    </row>
    <row r="1839" spans="12:35" ht="45" customHeight="1" thickBot="1" x14ac:dyDescent="0.25">
      <c r="L1839" s="645"/>
      <c r="M1839" s="616"/>
      <c r="N1839" s="616"/>
      <c r="O1839" s="616"/>
      <c r="P1839" s="615"/>
      <c r="Q1839" s="616"/>
      <c r="R1839" s="663"/>
      <c r="S1839" s="459"/>
      <c r="T1839" s="459"/>
      <c r="U1839" s="459"/>
      <c r="V1839" s="459"/>
      <c r="W1839" s="459"/>
      <c r="X1839" s="459"/>
      <c r="Y1839" s="666"/>
      <c r="Z1839" s="664"/>
      <c r="AA1839" s="665"/>
      <c r="AB1839" s="665"/>
      <c r="AC1839" s="665"/>
      <c r="AD1839" s="665"/>
      <c r="AE1839" s="665"/>
      <c r="AF1839" s="649"/>
      <c r="AG1839" s="650"/>
      <c r="AH1839" s="650"/>
      <c r="AI1839" s="667"/>
    </row>
    <row r="1840" spans="12:35" ht="45" customHeight="1" thickBot="1" x14ac:dyDescent="0.25">
      <c r="L1840" s="645"/>
      <c r="M1840" s="616"/>
      <c r="N1840" s="616"/>
      <c r="O1840" s="616"/>
      <c r="P1840" s="615"/>
      <c r="Q1840" s="616"/>
      <c r="R1840" s="663"/>
      <c r="S1840" s="459"/>
      <c r="T1840" s="459"/>
      <c r="U1840" s="459"/>
      <c r="V1840" s="459"/>
      <c r="W1840" s="459"/>
      <c r="X1840" s="459"/>
      <c r="Y1840" s="666"/>
      <c r="Z1840" s="664"/>
      <c r="AA1840" s="665"/>
      <c r="AB1840" s="665"/>
      <c r="AC1840" s="665"/>
      <c r="AD1840" s="665"/>
      <c r="AE1840" s="665"/>
      <c r="AF1840" s="649"/>
      <c r="AG1840" s="650"/>
      <c r="AH1840" s="650"/>
      <c r="AI1840" s="667"/>
    </row>
    <row r="1841" spans="12:35" ht="45" customHeight="1" thickBot="1" x14ac:dyDescent="0.25">
      <c r="L1841" s="645"/>
      <c r="M1841" s="616"/>
      <c r="N1841" s="616"/>
      <c r="O1841" s="616"/>
      <c r="P1841" s="615"/>
      <c r="Q1841" s="616"/>
      <c r="R1841" s="663"/>
      <c r="S1841" s="459"/>
      <c r="T1841" s="459"/>
      <c r="U1841" s="459"/>
      <c r="V1841" s="459"/>
      <c r="W1841" s="459"/>
      <c r="X1841" s="459"/>
      <c r="Y1841" s="666"/>
      <c r="Z1841" s="664"/>
      <c r="AA1841" s="665"/>
      <c r="AB1841" s="665"/>
      <c r="AC1841" s="665"/>
      <c r="AD1841" s="665"/>
      <c r="AE1841" s="665"/>
      <c r="AF1841" s="649"/>
      <c r="AG1841" s="650"/>
      <c r="AH1841" s="650"/>
      <c r="AI1841" s="667"/>
    </row>
    <row r="1842" spans="12:35" ht="45" customHeight="1" thickBot="1" x14ac:dyDescent="0.25">
      <c r="L1842" s="645"/>
      <c r="M1842" s="616"/>
      <c r="N1842" s="616"/>
      <c r="O1842" s="616"/>
      <c r="P1842" s="615"/>
      <c r="Q1842" s="616"/>
      <c r="R1842" s="663"/>
      <c r="S1842" s="459"/>
      <c r="T1842" s="459"/>
      <c r="U1842" s="459"/>
      <c r="V1842" s="459"/>
      <c r="W1842" s="459"/>
      <c r="X1842" s="459"/>
      <c r="Y1842" s="666"/>
      <c r="Z1842" s="664"/>
      <c r="AA1842" s="665"/>
      <c r="AB1842" s="665"/>
      <c r="AC1842" s="665"/>
      <c r="AD1842" s="665"/>
      <c r="AE1842" s="665"/>
      <c r="AF1842" s="649"/>
      <c r="AG1842" s="650"/>
      <c r="AH1842" s="650"/>
      <c r="AI1842" s="667"/>
    </row>
    <row r="1843" spans="12:35" ht="45" customHeight="1" thickBot="1" x14ac:dyDescent="0.25">
      <c r="L1843" s="645"/>
      <c r="M1843" s="616"/>
      <c r="N1843" s="616"/>
      <c r="O1843" s="616"/>
      <c r="P1843" s="615"/>
      <c r="Q1843" s="616"/>
      <c r="R1843" s="663"/>
      <c r="S1843" s="459"/>
      <c r="T1843" s="459"/>
      <c r="U1843" s="459"/>
      <c r="V1843" s="459"/>
      <c r="W1843" s="459"/>
      <c r="X1843" s="459"/>
      <c r="Y1843" s="666"/>
      <c r="Z1843" s="664"/>
      <c r="AA1843" s="665"/>
      <c r="AB1843" s="665"/>
      <c r="AC1843" s="665"/>
      <c r="AD1843" s="665"/>
      <c r="AE1843" s="665"/>
      <c r="AF1843" s="649"/>
      <c r="AG1843" s="650"/>
      <c r="AH1843" s="650"/>
      <c r="AI1843" s="667"/>
    </row>
    <row r="1844" spans="12:35" ht="45" customHeight="1" thickBot="1" x14ac:dyDescent="0.25">
      <c r="L1844" s="645"/>
      <c r="M1844" s="616"/>
      <c r="N1844" s="616"/>
      <c r="O1844" s="616"/>
      <c r="P1844" s="615"/>
      <c r="Q1844" s="616"/>
      <c r="R1844" s="663"/>
      <c r="S1844" s="459"/>
      <c r="T1844" s="459"/>
      <c r="U1844" s="459"/>
      <c r="V1844" s="459"/>
      <c r="W1844" s="459"/>
      <c r="X1844" s="459"/>
      <c r="Y1844" s="666"/>
      <c r="Z1844" s="664"/>
      <c r="AA1844" s="665"/>
      <c r="AB1844" s="665"/>
      <c r="AC1844" s="665"/>
      <c r="AD1844" s="665"/>
      <c r="AE1844" s="665"/>
      <c r="AF1844" s="649"/>
      <c r="AG1844" s="650"/>
      <c r="AH1844" s="650"/>
      <c r="AI1844" s="667"/>
    </row>
    <row r="1845" spans="12:35" ht="45" customHeight="1" thickBot="1" x14ac:dyDescent="0.25">
      <c r="L1845" s="645"/>
      <c r="M1845" s="616"/>
      <c r="N1845" s="616"/>
      <c r="O1845" s="616"/>
      <c r="P1845" s="615"/>
      <c r="Q1845" s="616"/>
      <c r="R1845" s="663"/>
      <c r="S1845" s="459"/>
      <c r="T1845" s="459"/>
      <c r="U1845" s="459"/>
      <c r="V1845" s="459"/>
      <c r="W1845" s="459"/>
      <c r="X1845" s="459"/>
      <c r="Y1845" s="666"/>
      <c r="Z1845" s="664"/>
      <c r="AA1845" s="665"/>
      <c r="AB1845" s="665"/>
      <c r="AC1845" s="665"/>
      <c r="AD1845" s="665"/>
      <c r="AE1845" s="665"/>
      <c r="AF1845" s="649"/>
      <c r="AG1845" s="650"/>
      <c r="AH1845" s="650"/>
      <c r="AI1845" s="667"/>
    </row>
    <row r="1846" spans="12:35" ht="45" customHeight="1" thickBot="1" x14ac:dyDescent="0.25">
      <c r="L1846" s="645"/>
      <c r="M1846" s="616"/>
      <c r="N1846" s="616"/>
      <c r="O1846" s="616"/>
      <c r="P1846" s="615"/>
      <c r="Q1846" s="616"/>
      <c r="R1846" s="663"/>
      <c r="S1846" s="459"/>
      <c r="T1846" s="459"/>
      <c r="U1846" s="459"/>
      <c r="V1846" s="459"/>
      <c r="W1846" s="459"/>
      <c r="X1846" s="459"/>
      <c r="Y1846" s="666"/>
      <c r="Z1846" s="664"/>
      <c r="AA1846" s="665"/>
      <c r="AB1846" s="665"/>
      <c r="AC1846" s="665"/>
      <c r="AD1846" s="665"/>
      <c r="AE1846" s="665"/>
      <c r="AF1846" s="649"/>
      <c r="AG1846" s="650"/>
      <c r="AH1846" s="650"/>
      <c r="AI1846" s="667"/>
    </row>
    <row r="1847" spans="12:35" ht="45" customHeight="1" thickBot="1" x14ac:dyDescent="0.25">
      <c r="L1847" s="645"/>
      <c r="M1847" s="616"/>
      <c r="N1847" s="616"/>
      <c r="O1847" s="616"/>
      <c r="P1847" s="615"/>
      <c r="Q1847" s="616"/>
      <c r="R1847" s="663"/>
      <c r="S1847" s="459"/>
      <c r="T1847" s="459"/>
      <c r="U1847" s="459"/>
      <c r="V1847" s="459"/>
      <c r="W1847" s="459"/>
      <c r="X1847" s="459"/>
      <c r="Y1847" s="666"/>
      <c r="Z1847" s="664"/>
      <c r="AA1847" s="665"/>
      <c r="AB1847" s="665"/>
      <c r="AC1847" s="665"/>
      <c r="AD1847" s="665"/>
      <c r="AE1847" s="665"/>
      <c r="AF1847" s="649"/>
      <c r="AG1847" s="650"/>
      <c r="AH1847" s="650"/>
      <c r="AI1847" s="667"/>
    </row>
    <row r="1848" spans="12:35" ht="45" customHeight="1" thickBot="1" x14ac:dyDescent="0.25">
      <c r="L1848" s="645"/>
      <c r="M1848" s="616"/>
      <c r="N1848" s="616"/>
      <c r="O1848" s="616"/>
      <c r="P1848" s="615"/>
      <c r="Q1848" s="616"/>
      <c r="R1848" s="663"/>
      <c r="S1848" s="459"/>
      <c r="T1848" s="459"/>
      <c r="U1848" s="459"/>
      <c r="V1848" s="459"/>
      <c r="W1848" s="459"/>
      <c r="X1848" s="459"/>
      <c r="Y1848" s="666"/>
      <c r="Z1848" s="664"/>
      <c r="AA1848" s="665"/>
      <c r="AB1848" s="665"/>
      <c r="AC1848" s="665"/>
      <c r="AD1848" s="665"/>
      <c r="AE1848" s="665"/>
      <c r="AF1848" s="649"/>
      <c r="AG1848" s="650"/>
      <c r="AH1848" s="650"/>
      <c r="AI1848" s="667"/>
    </row>
    <row r="1849" spans="12:35" ht="45" customHeight="1" thickBot="1" x14ac:dyDescent="0.25">
      <c r="L1849" s="645"/>
      <c r="M1849" s="616"/>
      <c r="N1849" s="616"/>
      <c r="O1849" s="616"/>
      <c r="P1849" s="615"/>
      <c r="Q1849" s="616"/>
      <c r="R1849" s="663"/>
      <c r="S1849" s="459"/>
      <c r="T1849" s="459"/>
      <c r="U1849" s="459"/>
      <c r="V1849" s="459"/>
      <c r="W1849" s="459"/>
      <c r="X1849" s="459"/>
      <c r="Y1849" s="666"/>
      <c r="Z1849" s="664"/>
      <c r="AA1849" s="665"/>
      <c r="AB1849" s="665"/>
      <c r="AC1849" s="665"/>
      <c r="AD1849" s="665"/>
      <c r="AE1849" s="665"/>
      <c r="AF1849" s="649"/>
      <c r="AG1849" s="650"/>
      <c r="AH1849" s="650"/>
      <c r="AI1849" s="667"/>
    </row>
    <row r="1850" spans="12:35" ht="45" customHeight="1" thickBot="1" x14ac:dyDescent="0.25">
      <c r="L1850" s="645"/>
      <c r="M1850" s="616"/>
      <c r="N1850" s="616"/>
      <c r="O1850" s="616"/>
      <c r="P1850" s="615"/>
      <c r="Q1850" s="616"/>
      <c r="R1850" s="663"/>
      <c r="S1850" s="459"/>
      <c r="T1850" s="459"/>
      <c r="U1850" s="459"/>
      <c r="V1850" s="459"/>
      <c r="W1850" s="459"/>
      <c r="X1850" s="459"/>
      <c r="Y1850" s="666"/>
      <c r="Z1850" s="664"/>
      <c r="AA1850" s="665"/>
      <c r="AB1850" s="665"/>
      <c r="AC1850" s="665"/>
      <c r="AD1850" s="665"/>
      <c r="AE1850" s="665"/>
      <c r="AF1850" s="649"/>
      <c r="AG1850" s="650"/>
      <c r="AH1850" s="650"/>
      <c r="AI1850" s="667"/>
    </row>
    <row r="1851" spans="12:35" ht="45" customHeight="1" thickBot="1" x14ac:dyDescent="0.25">
      <c r="L1851" s="645"/>
      <c r="M1851" s="616"/>
      <c r="N1851" s="616"/>
      <c r="O1851" s="616"/>
      <c r="P1851" s="615"/>
      <c r="Q1851" s="616"/>
      <c r="R1851" s="663"/>
      <c r="S1851" s="459"/>
      <c r="T1851" s="459"/>
      <c r="U1851" s="459"/>
      <c r="V1851" s="459"/>
      <c r="W1851" s="459"/>
      <c r="X1851" s="459"/>
      <c r="Y1851" s="666"/>
      <c r="Z1851" s="664"/>
      <c r="AA1851" s="665"/>
      <c r="AB1851" s="665"/>
      <c r="AC1851" s="665"/>
      <c r="AD1851" s="665"/>
      <c r="AE1851" s="665"/>
      <c r="AF1851" s="649"/>
      <c r="AG1851" s="650"/>
      <c r="AH1851" s="650"/>
      <c r="AI1851" s="667"/>
    </row>
    <row r="1852" spans="12:35" ht="45" customHeight="1" thickBot="1" x14ac:dyDescent="0.25">
      <c r="L1852" s="645"/>
      <c r="M1852" s="616"/>
      <c r="N1852" s="616"/>
      <c r="O1852" s="616"/>
      <c r="P1852" s="615"/>
      <c r="Q1852" s="616"/>
      <c r="R1852" s="663"/>
      <c r="S1852" s="459"/>
      <c r="T1852" s="459"/>
      <c r="U1852" s="459"/>
      <c r="V1852" s="459"/>
      <c r="W1852" s="459"/>
      <c r="X1852" s="459"/>
      <c r="Y1852" s="666"/>
      <c r="Z1852" s="664"/>
      <c r="AA1852" s="665"/>
      <c r="AB1852" s="665"/>
      <c r="AC1852" s="665"/>
      <c r="AD1852" s="665"/>
      <c r="AE1852" s="665"/>
      <c r="AF1852" s="649"/>
      <c r="AG1852" s="650"/>
      <c r="AH1852" s="650"/>
      <c r="AI1852" s="667"/>
    </row>
    <row r="1853" spans="12:35" ht="45" customHeight="1" thickBot="1" x14ac:dyDescent="0.25">
      <c r="L1853" s="645"/>
      <c r="M1853" s="616"/>
      <c r="N1853" s="616"/>
      <c r="O1853" s="616"/>
      <c r="P1853" s="615"/>
      <c r="Q1853" s="616"/>
      <c r="R1853" s="663"/>
      <c r="S1853" s="459"/>
      <c r="T1853" s="459"/>
      <c r="U1853" s="459"/>
      <c r="V1853" s="459"/>
      <c r="W1853" s="459"/>
      <c r="X1853" s="459"/>
      <c r="Y1853" s="666"/>
      <c r="Z1853" s="664"/>
      <c r="AA1853" s="665"/>
      <c r="AB1853" s="665"/>
      <c r="AC1853" s="665"/>
      <c r="AD1853" s="665"/>
      <c r="AE1853" s="665"/>
      <c r="AF1853" s="649"/>
      <c r="AG1853" s="650"/>
      <c r="AH1853" s="650"/>
      <c r="AI1853" s="667"/>
    </row>
    <row r="1854" spans="12:35" ht="45" customHeight="1" thickBot="1" x14ac:dyDescent="0.25">
      <c r="L1854" s="645"/>
      <c r="M1854" s="616"/>
      <c r="N1854" s="616"/>
      <c r="O1854" s="616"/>
      <c r="P1854" s="615"/>
      <c r="Q1854" s="616"/>
      <c r="R1854" s="663"/>
      <c r="S1854" s="459"/>
      <c r="T1854" s="459"/>
      <c r="U1854" s="459"/>
      <c r="V1854" s="459"/>
      <c r="W1854" s="459"/>
      <c r="X1854" s="459"/>
      <c r="Y1854" s="666"/>
      <c r="Z1854" s="664"/>
      <c r="AA1854" s="665"/>
      <c r="AB1854" s="665"/>
      <c r="AC1854" s="665"/>
      <c r="AD1854" s="665"/>
      <c r="AE1854" s="665"/>
      <c r="AF1854" s="649"/>
      <c r="AG1854" s="650"/>
      <c r="AH1854" s="650"/>
      <c r="AI1854" s="667"/>
    </row>
    <row r="1855" spans="12:35" ht="45" customHeight="1" thickBot="1" x14ac:dyDescent="0.25">
      <c r="L1855" s="645"/>
      <c r="M1855" s="616"/>
      <c r="N1855" s="616"/>
      <c r="O1855" s="616"/>
      <c r="P1855" s="615"/>
      <c r="Q1855" s="616"/>
      <c r="R1855" s="663"/>
      <c r="S1855" s="459"/>
      <c r="T1855" s="459"/>
      <c r="U1855" s="459"/>
      <c r="V1855" s="459"/>
      <c r="W1855" s="459"/>
      <c r="X1855" s="459"/>
      <c r="Y1855" s="666"/>
      <c r="Z1855" s="664"/>
      <c r="AA1855" s="665"/>
      <c r="AB1855" s="665"/>
      <c r="AC1855" s="665"/>
      <c r="AD1855" s="665"/>
      <c r="AE1855" s="665"/>
      <c r="AF1855" s="649"/>
      <c r="AG1855" s="650"/>
      <c r="AH1855" s="650"/>
      <c r="AI1855" s="667"/>
    </row>
    <row r="1856" spans="12:35" ht="45" customHeight="1" thickBot="1" x14ac:dyDescent="0.25">
      <c r="L1856" s="645"/>
      <c r="M1856" s="616"/>
      <c r="N1856" s="616"/>
      <c r="O1856" s="616"/>
      <c r="P1856" s="615"/>
      <c r="Q1856" s="616"/>
      <c r="R1856" s="663"/>
      <c r="S1856" s="459"/>
      <c r="T1856" s="459"/>
      <c r="U1856" s="459"/>
      <c r="V1856" s="459"/>
      <c r="W1856" s="459"/>
      <c r="X1856" s="459"/>
      <c r="Y1856" s="666"/>
      <c r="Z1856" s="664"/>
      <c r="AA1856" s="665"/>
      <c r="AB1856" s="665"/>
      <c r="AC1856" s="665"/>
      <c r="AD1856" s="665"/>
      <c r="AE1856" s="665"/>
      <c r="AF1856" s="649"/>
      <c r="AG1856" s="650"/>
      <c r="AH1856" s="650"/>
      <c r="AI1856" s="667"/>
    </row>
    <row r="1857" spans="12:35" ht="45" customHeight="1" thickBot="1" x14ac:dyDescent="0.25">
      <c r="L1857" s="645"/>
      <c r="M1857" s="616"/>
      <c r="N1857" s="616"/>
      <c r="O1857" s="616"/>
      <c r="P1857" s="615"/>
      <c r="Q1857" s="616"/>
      <c r="R1857" s="663"/>
      <c r="S1857" s="459"/>
      <c r="T1857" s="459"/>
      <c r="U1857" s="459"/>
      <c r="V1857" s="459"/>
      <c r="W1857" s="459"/>
      <c r="X1857" s="459"/>
      <c r="Y1857" s="666"/>
      <c r="Z1857" s="664"/>
      <c r="AA1857" s="665"/>
      <c r="AB1857" s="665"/>
      <c r="AC1857" s="665"/>
      <c r="AD1857" s="665"/>
      <c r="AE1857" s="665"/>
      <c r="AF1857" s="649"/>
      <c r="AG1857" s="650"/>
      <c r="AH1857" s="650"/>
      <c r="AI1857" s="667"/>
    </row>
    <row r="1858" spans="12:35" ht="45" customHeight="1" thickBot="1" x14ac:dyDescent="0.25">
      <c r="L1858" s="645"/>
      <c r="M1858" s="616"/>
      <c r="N1858" s="616"/>
      <c r="O1858" s="616"/>
      <c r="P1858" s="615"/>
      <c r="Q1858" s="616"/>
      <c r="R1858" s="663"/>
      <c r="S1858" s="459"/>
      <c r="T1858" s="459"/>
      <c r="U1858" s="459"/>
      <c r="V1858" s="459"/>
      <c r="W1858" s="459"/>
      <c r="X1858" s="459"/>
      <c r="Y1858" s="666"/>
      <c r="Z1858" s="664"/>
      <c r="AA1858" s="665"/>
      <c r="AB1858" s="665"/>
      <c r="AC1858" s="665"/>
      <c r="AD1858" s="665"/>
      <c r="AE1858" s="665"/>
      <c r="AF1858" s="649"/>
      <c r="AG1858" s="650"/>
      <c r="AH1858" s="650"/>
      <c r="AI1858" s="667"/>
    </row>
    <row r="1859" spans="12:35" ht="45" customHeight="1" thickBot="1" x14ac:dyDescent="0.25">
      <c r="L1859" s="645"/>
      <c r="M1859" s="616"/>
      <c r="N1859" s="616"/>
      <c r="O1859" s="616"/>
      <c r="P1859" s="615"/>
      <c r="Q1859" s="616"/>
      <c r="R1859" s="663"/>
      <c r="S1859" s="459"/>
      <c r="T1859" s="459"/>
      <c r="U1859" s="459"/>
      <c r="V1859" s="459"/>
      <c r="W1859" s="459"/>
      <c r="X1859" s="459"/>
      <c r="Y1859" s="666"/>
      <c r="Z1859" s="664"/>
      <c r="AA1859" s="665"/>
      <c r="AB1859" s="665"/>
      <c r="AC1859" s="665"/>
      <c r="AD1859" s="665"/>
      <c r="AE1859" s="665"/>
      <c r="AF1859" s="649"/>
      <c r="AG1859" s="650"/>
      <c r="AH1859" s="650"/>
      <c r="AI1859" s="667"/>
    </row>
    <row r="1860" spans="12:35" ht="45" customHeight="1" thickBot="1" x14ac:dyDescent="0.25">
      <c r="L1860" s="645"/>
      <c r="M1860" s="616"/>
      <c r="N1860" s="616"/>
      <c r="O1860" s="616"/>
      <c r="P1860" s="615"/>
      <c r="Q1860" s="616"/>
      <c r="R1860" s="663"/>
      <c r="S1860" s="459"/>
      <c r="T1860" s="459"/>
      <c r="U1860" s="459"/>
      <c r="V1860" s="459"/>
      <c r="W1860" s="459"/>
      <c r="X1860" s="459"/>
      <c r="Y1860" s="666"/>
      <c r="Z1860" s="664"/>
      <c r="AA1860" s="665"/>
      <c r="AB1860" s="665"/>
      <c r="AC1860" s="665"/>
      <c r="AD1860" s="665"/>
      <c r="AE1860" s="665"/>
      <c r="AF1860" s="649"/>
      <c r="AG1860" s="650"/>
      <c r="AH1860" s="650"/>
      <c r="AI1860" s="667"/>
    </row>
    <row r="1861" spans="12:35" ht="45" customHeight="1" thickBot="1" x14ac:dyDescent="0.25">
      <c r="L1861" s="645"/>
      <c r="M1861" s="616"/>
      <c r="N1861" s="616"/>
      <c r="O1861" s="616"/>
      <c r="P1861" s="615"/>
      <c r="Q1861" s="616"/>
      <c r="R1861" s="663"/>
      <c r="S1861" s="459"/>
      <c r="T1861" s="459"/>
      <c r="U1861" s="459"/>
      <c r="V1861" s="459"/>
      <c r="W1861" s="459"/>
      <c r="X1861" s="459"/>
      <c r="Y1861" s="666"/>
      <c r="Z1861" s="664"/>
      <c r="AA1861" s="665"/>
      <c r="AB1861" s="665"/>
      <c r="AC1861" s="665"/>
      <c r="AD1861" s="665"/>
      <c r="AE1861" s="665"/>
      <c r="AF1861" s="649"/>
      <c r="AG1861" s="650"/>
      <c r="AH1861" s="650"/>
      <c r="AI1861" s="667"/>
    </row>
    <row r="1862" spans="12:35" ht="45" customHeight="1" thickBot="1" x14ac:dyDescent="0.25">
      <c r="L1862" s="645"/>
      <c r="M1862" s="616"/>
      <c r="N1862" s="616"/>
      <c r="O1862" s="616"/>
      <c r="P1862" s="615"/>
      <c r="Q1862" s="616"/>
      <c r="R1862" s="663"/>
      <c r="S1862" s="459"/>
      <c r="T1862" s="459"/>
      <c r="U1862" s="459"/>
      <c r="V1862" s="459"/>
      <c r="W1862" s="459"/>
      <c r="X1862" s="459"/>
      <c r="Y1862" s="666"/>
      <c r="Z1862" s="664"/>
      <c r="AA1862" s="665"/>
      <c r="AB1862" s="665"/>
      <c r="AC1862" s="665"/>
      <c r="AD1862" s="665"/>
      <c r="AE1862" s="665"/>
      <c r="AF1862" s="649"/>
      <c r="AG1862" s="650"/>
      <c r="AH1862" s="650"/>
      <c r="AI1862" s="667"/>
    </row>
    <row r="1863" spans="12:35" ht="45" customHeight="1" thickBot="1" x14ac:dyDescent="0.25">
      <c r="L1863" s="645"/>
      <c r="M1863" s="616"/>
      <c r="N1863" s="616"/>
      <c r="O1863" s="616"/>
      <c r="P1863" s="615"/>
      <c r="Q1863" s="616"/>
      <c r="R1863" s="663"/>
      <c r="S1863" s="459"/>
      <c r="T1863" s="459"/>
      <c r="U1863" s="459"/>
      <c r="V1863" s="459"/>
      <c r="W1863" s="459"/>
      <c r="X1863" s="459"/>
      <c r="Y1863" s="666"/>
      <c r="Z1863" s="664"/>
      <c r="AA1863" s="665"/>
      <c r="AB1863" s="665"/>
      <c r="AC1863" s="665"/>
      <c r="AD1863" s="665"/>
      <c r="AE1863" s="665"/>
      <c r="AF1863" s="649"/>
      <c r="AG1863" s="650"/>
      <c r="AH1863" s="650"/>
      <c r="AI1863" s="667"/>
    </row>
    <row r="1864" spans="12:35" ht="45" customHeight="1" thickBot="1" x14ac:dyDescent="0.25">
      <c r="L1864" s="645"/>
      <c r="M1864" s="616"/>
      <c r="N1864" s="616"/>
      <c r="O1864" s="616"/>
      <c r="P1864" s="615"/>
      <c r="Q1864" s="616"/>
      <c r="R1864" s="663"/>
      <c r="S1864" s="459"/>
      <c r="T1864" s="459"/>
      <c r="U1864" s="459"/>
      <c r="V1864" s="459"/>
      <c r="W1864" s="459"/>
      <c r="X1864" s="459"/>
      <c r="Y1864" s="666"/>
      <c r="Z1864" s="664"/>
      <c r="AA1864" s="665"/>
      <c r="AB1864" s="665"/>
      <c r="AC1864" s="665"/>
      <c r="AD1864" s="665"/>
      <c r="AE1864" s="665"/>
      <c r="AF1864" s="649"/>
      <c r="AG1864" s="650"/>
      <c r="AH1864" s="650"/>
      <c r="AI1864" s="667"/>
    </row>
    <row r="1865" spans="12:35" ht="45" customHeight="1" thickBot="1" x14ac:dyDescent="0.25">
      <c r="L1865" s="645"/>
      <c r="M1865" s="616"/>
      <c r="N1865" s="616"/>
      <c r="O1865" s="616"/>
      <c r="P1865" s="615"/>
      <c r="Q1865" s="616"/>
      <c r="R1865" s="663"/>
      <c r="S1865" s="459"/>
      <c r="T1865" s="459"/>
      <c r="U1865" s="459"/>
      <c r="V1865" s="459"/>
      <c r="W1865" s="459"/>
      <c r="X1865" s="459"/>
      <c r="Y1865" s="666"/>
      <c r="Z1865" s="664"/>
      <c r="AA1865" s="665"/>
      <c r="AB1865" s="665"/>
      <c r="AC1865" s="665"/>
      <c r="AD1865" s="665"/>
      <c r="AE1865" s="665"/>
      <c r="AF1865" s="649"/>
      <c r="AG1865" s="650"/>
      <c r="AH1865" s="650"/>
      <c r="AI1865" s="667"/>
    </row>
    <row r="1866" spans="12:35" ht="45" customHeight="1" thickBot="1" x14ac:dyDescent="0.25">
      <c r="L1866" s="645"/>
      <c r="M1866" s="616"/>
      <c r="N1866" s="616"/>
      <c r="O1866" s="616"/>
      <c r="P1866" s="615"/>
      <c r="Q1866" s="616"/>
      <c r="R1866" s="663"/>
      <c r="S1866" s="459"/>
      <c r="T1866" s="459"/>
      <c r="U1866" s="459"/>
      <c r="V1866" s="459"/>
      <c r="W1866" s="459"/>
      <c r="X1866" s="459"/>
      <c r="Y1866" s="666"/>
      <c r="Z1866" s="664"/>
      <c r="AA1866" s="665"/>
      <c r="AB1866" s="665"/>
      <c r="AC1866" s="665"/>
      <c r="AD1866" s="665"/>
      <c r="AE1866" s="665"/>
      <c r="AF1866" s="649"/>
      <c r="AG1866" s="650"/>
      <c r="AH1866" s="650"/>
      <c r="AI1866" s="667"/>
    </row>
    <row r="1867" spans="12:35" ht="45" customHeight="1" thickBot="1" x14ac:dyDescent="0.25">
      <c r="L1867" s="645"/>
      <c r="M1867" s="616"/>
      <c r="N1867" s="616"/>
      <c r="O1867" s="616"/>
      <c r="P1867" s="615"/>
      <c r="Q1867" s="616"/>
      <c r="R1867" s="663"/>
      <c r="S1867" s="459"/>
      <c r="T1867" s="459"/>
      <c r="U1867" s="459"/>
      <c r="V1867" s="459"/>
      <c r="W1867" s="459"/>
      <c r="X1867" s="459"/>
      <c r="Y1867" s="666"/>
      <c r="Z1867" s="664"/>
      <c r="AA1867" s="665"/>
      <c r="AB1867" s="665"/>
      <c r="AC1867" s="665"/>
      <c r="AD1867" s="665"/>
      <c r="AE1867" s="665"/>
      <c r="AF1867" s="649"/>
      <c r="AG1867" s="650"/>
      <c r="AH1867" s="650"/>
      <c r="AI1867" s="667"/>
    </row>
    <row r="1868" spans="12:35" ht="45" customHeight="1" thickBot="1" x14ac:dyDescent="0.25">
      <c r="L1868" s="645"/>
      <c r="M1868" s="616"/>
      <c r="N1868" s="616"/>
      <c r="O1868" s="616"/>
      <c r="P1868" s="615"/>
      <c r="Q1868" s="616"/>
      <c r="R1868" s="663"/>
      <c r="S1868" s="459"/>
      <c r="T1868" s="459"/>
      <c r="U1868" s="459"/>
      <c r="V1868" s="459"/>
      <c r="W1868" s="459"/>
      <c r="X1868" s="459"/>
      <c r="Y1868" s="666"/>
      <c r="Z1868" s="664"/>
      <c r="AA1868" s="665"/>
      <c r="AB1868" s="665"/>
      <c r="AC1868" s="665"/>
      <c r="AD1868" s="665"/>
      <c r="AE1868" s="665"/>
      <c r="AF1868" s="649"/>
      <c r="AG1868" s="650"/>
      <c r="AH1868" s="650"/>
      <c r="AI1868" s="667"/>
    </row>
    <row r="1869" spans="12:35" ht="45" customHeight="1" thickBot="1" x14ac:dyDescent="0.25">
      <c r="L1869" s="645"/>
      <c r="M1869" s="616"/>
      <c r="N1869" s="616"/>
      <c r="O1869" s="616"/>
      <c r="P1869" s="615"/>
      <c r="Q1869" s="616"/>
      <c r="R1869" s="663"/>
      <c r="S1869" s="459"/>
      <c r="T1869" s="459"/>
      <c r="U1869" s="459"/>
      <c r="V1869" s="459"/>
      <c r="W1869" s="459"/>
      <c r="X1869" s="459"/>
      <c r="Y1869" s="666"/>
      <c r="Z1869" s="664"/>
      <c r="AA1869" s="665"/>
      <c r="AB1869" s="665"/>
      <c r="AC1869" s="665"/>
      <c r="AD1869" s="665"/>
      <c r="AE1869" s="665"/>
      <c r="AF1869" s="649"/>
      <c r="AG1869" s="650"/>
      <c r="AH1869" s="650"/>
      <c r="AI1869" s="667"/>
    </row>
    <row r="1870" spans="12:35" ht="45" customHeight="1" thickBot="1" x14ac:dyDescent="0.25">
      <c r="L1870" s="645"/>
      <c r="M1870" s="616"/>
      <c r="N1870" s="616"/>
      <c r="O1870" s="616"/>
      <c r="P1870" s="615"/>
      <c r="Q1870" s="616"/>
      <c r="R1870" s="663"/>
      <c r="S1870" s="459"/>
      <c r="T1870" s="459"/>
      <c r="U1870" s="459"/>
      <c r="V1870" s="459"/>
      <c r="W1870" s="459"/>
      <c r="X1870" s="459"/>
      <c r="Y1870" s="666"/>
      <c r="Z1870" s="664"/>
      <c r="AA1870" s="665"/>
      <c r="AB1870" s="665"/>
      <c r="AC1870" s="665"/>
      <c r="AD1870" s="665"/>
      <c r="AE1870" s="665"/>
      <c r="AF1870" s="649"/>
      <c r="AG1870" s="650"/>
      <c r="AH1870" s="650"/>
      <c r="AI1870" s="667"/>
    </row>
    <row r="1871" spans="12:35" ht="45" customHeight="1" thickBot="1" x14ac:dyDescent="0.25">
      <c r="L1871" s="645"/>
      <c r="M1871" s="616"/>
      <c r="N1871" s="616"/>
      <c r="O1871" s="616"/>
      <c r="P1871" s="615"/>
      <c r="Q1871" s="616"/>
      <c r="R1871" s="663"/>
      <c r="S1871" s="459"/>
      <c r="T1871" s="459"/>
      <c r="U1871" s="459"/>
      <c r="V1871" s="459"/>
      <c r="W1871" s="459"/>
      <c r="X1871" s="459"/>
      <c r="Y1871" s="666"/>
      <c r="Z1871" s="664"/>
      <c r="AA1871" s="665"/>
      <c r="AB1871" s="665"/>
      <c r="AC1871" s="665"/>
      <c r="AD1871" s="665"/>
      <c r="AE1871" s="665"/>
      <c r="AF1871" s="649"/>
      <c r="AG1871" s="650"/>
      <c r="AH1871" s="650"/>
      <c r="AI1871" s="667"/>
    </row>
    <row r="1872" spans="12:35" ht="45" customHeight="1" thickBot="1" x14ac:dyDescent="0.25">
      <c r="L1872" s="645"/>
      <c r="M1872" s="616"/>
      <c r="N1872" s="616"/>
      <c r="O1872" s="616"/>
      <c r="P1872" s="615"/>
      <c r="Q1872" s="616"/>
      <c r="R1872" s="663"/>
      <c r="S1872" s="459"/>
      <c r="T1872" s="459"/>
      <c r="U1872" s="459"/>
      <c r="V1872" s="459"/>
      <c r="W1872" s="459"/>
      <c r="X1872" s="459"/>
      <c r="Y1872" s="666"/>
      <c r="Z1872" s="664"/>
      <c r="AA1872" s="665"/>
      <c r="AB1872" s="665"/>
      <c r="AC1872" s="665"/>
      <c r="AD1872" s="665"/>
      <c r="AE1872" s="665"/>
      <c r="AF1872" s="649"/>
      <c r="AG1872" s="650"/>
      <c r="AH1872" s="650"/>
      <c r="AI1872" s="667"/>
    </row>
    <row r="1873" spans="12:35" ht="45" customHeight="1" thickBot="1" x14ac:dyDescent="0.25">
      <c r="L1873" s="645"/>
      <c r="M1873" s="616"/>
      <c r="N1873" s="616"/>
      <c r="O1873" s="616"/>
      <c r="P1873" s="615"/>
      <c r="Q1873" s="616"/>
      <c r="R1873" s="663"/>
      <c r="S1873" s="459"/>
      <c r="T1873" s="459"/>
      <c r="U1873" s="459"/>
      <c r="V1873" s="459"/>
      <c r="W1873" s="459"/>
      <c r="X1873" s="459"/>
      <c r="Y1873" s="666"/>
      <c r="Z1873" s="664"/>
      <c r="AA1873" s="665"/>
      <c r="AB1873" s="665"/>
      <c r="AC1873" s="665"/>
      <c r="AD1873" s="665"/>
      <c r="AE1873" s="665"/>
      <c r="AF1873" s="649"/>
      <c r="AG1873" s="650"/>
      <c r="AH1873" s="650"/>
      <c r="AI1873" s="667"/>
    </row>
    <row r="1874" spans="12:35" ht="45" customHeight="1" thickBot="1" x14ac:dyDescent="0.25">
      <c r="L1874" s="645"/>
      <c r="M1874" s="616"/>
      <c r="N1874" s="616"/>
      <c r="O1874" s="616"/>
      <c r="P1874" s="615"/>
      <c r="Q1874" s="616"/>
      <c r="R1874" s="663"/>
      <c r="S1874" s="459"/>
      <c r="T1874" s="459"/>
      <c r="U1874" s="459"/>
      <c r="V1874" s="459"/>
      <c r="W1874" s="459"/>
      <c r="X1874" s="459"/>
      <c r="Y1874" s="666"/>
      <c r="Z1874" s="664"/>
      <c r="AA1874" s="665"/>
      <c r="AB1874" s="665"/>
      <c r="AC1874" s="665"/>
      <c r="AD1874" s="665"/>
      <c r="AE1874" s="665"/>
      <c r="AF1874" s="649"/>
      <c r="AG1874" s="650"/>
      <c r="AH1874" s="650"/>
      <c r="AI1874" s="667"/>
    </row>
    <row r="1875" spans="12:35" ht="45" customHeight="1" thickBot="1" x14ac:dyDescent="0.25">
      <c r="L1875" s="645"/>
      <c r="M1875" s="616"/>
      <c r="N1875" s="616"/>
      <c r="O1875" s="616"/>
      <c r="P1875" s="615"/>
      <c r="Q1875" s="616"/>
      <c r="R1875" s="663"/>
      <c r="S1875" s="459"/>
      <c r="T1875" s="459"/>
      <c r="U1875" s="459"/>
      <c r="V1875" s="459"/>
      <c r="W1875" s="459"/>
      <c r="X1875" s="459"/>
      <c r="Y1875" s="666"/>
      <c r="Z1875" s="664"/>
      <c r="AA1875" s="665"/>
      <c r="AB1875" s="665"/>
      <c r="AC1875" s="665"/>
      <c r="AD1875" s="665"/>
      <c r="AE1875" s="665"/>
      <c r="AF1875" s="649"/>
      <c r="AG1875" s="650"/>
      <c r="AH1875" s="650"/>
      <c r="AI1875" s="667"/>
    </row>
    <row r="1876" spans="12:35" ht="45" customHeight="1" thickBot="1" x14ac:dyDescent="0.25">
      <c r="L1876" s="645"/>
      <c r="M1876" s="616"/>
      <c r="N1876" s="616"/>
      <c r="O1876" s="616"/>
      <c r="P1876" s="615"/>
      <c r="Q1876" s="616"/>
      <c r="R1876" s="663"/>
      <c r="S1876" s="459"/>
      <c r="T1876" s="459"/>
      <c r="U1876" s="459"/>
      <c r="V1876" s="459"/>
      <c r="W1876" s="459"/>
      <c r="X1876" s="459"/>
      <c r="Y1876" s="666"/>
      <c r="Z1876" s="664"/>
      <c r="AA1876" s="665"/>
      <c r="AB1876" s="665"/>
      <c r="AC1876" s="665"/>
      <c r="AD1876" s="665"/>
      <c r="AE1876" s="665"/>
      <c r="AF1876" s="649"/>
      <c r="AG1876" s="650"/>
      <c r="AH1876" s="650"/>
      <c r="AI1876" s="667"/>
    </row>
    <row r="1877" spans="12:35" ht="45" customHeight="1" thickBot="1" x14ac:dyDescent="0.25">
      <c r="L1877" s="645"/>
      <c r="M1877" s="616"/>
      <c r="N1877" s="616"/>
      <c r="O1877" s="616"/>
      <c r="P1877" s="615"/>
      <c r="Q1877" s="616"/>
      <c r="R1877" s="663"/>
      <c r="S1877" s="459"/>
      <c r="T1877" s="459"/>
      <c r="U1877" s="459"/>
      <c r="V1877" s="459"/>
      <c r="W1877" s="459"/>
      <c r="X1877" s="459"/>
      <c r="Y1877" s="666"/>
      <c r="Z1877" s="664"/>
      <c r="AA1877" s="665"/>
      <c r="AB1877" s="665"/>
      <c r="AC1877" s="665"/>
      <c r="AD1877" s="665"/>
      <c r="AE1877" s="665"/>
      <c r="AF1877" s="649"/>
      <c r="AG1877" s="650"/>
      <c r="AH1877" s="650"/>
      <c r="AI1877" s="667"/>
    </row>
    <row r="1878" spans="12:35" ht="45" customHeight="1" thickBot="1" x14ac:dyDescent="0.25">
      <c r="L1878" s="645"/>
      <c r="M1878" s="616"/>
      <c r="N1878" s="616"/>
      <c r="O1878" s="616"/>
      <c r="P1878" s="615"/>
      <c r="Q1878" s="616"/>
      <c r="R1878" s="663"/>
      <c r="S1878" s="459"/>
      <c r="T1878" s="459"/>
      <c r="U1878" s="459"/>
      <c r="V1878" s="459"/>
      <c r="W1878" s="459"/>
      <c r="X1878" s="459"/>
      <c r="Y1878" s="666"/>
      <c r="Z1878" s="664"/>
      <c r="AA1878" s="665"/>
      <c r="AB1878" s="665"/>
      <c r="AC1878" s="665"/>
      <c r="AD1878" s="665"/>
      <c r="AE1878" s="665"/>
      <c r="AF1878" s="649"/>
      <c r="AG1878" s="650"/>
      <c r="AH1878" s="650"/>
      <c r="AI1878" s="667"/>
    </row>
    <row r="1879" spans="12:35" ht="45" customHeight="1" thickBot="1" x14ac:dyDescent="0.25">
      <c r="L1879" s="645"/>
      <c r="M1879" s="616"/>
      <c r="N1879" s="616"/>
      <c r="O1879" s="616"/>
      <c r="P1879" s="615"/>
      <c r="Q1879" s="616"/>
      <c r="R1879" s="663"/>
      <c r="S1879" s="459"/>
      <c r="T1879" s="459"/>
      <c r="U1879" s="459"/>
      <c r="V1879" s="459"/>
      <c r="W1879" s="459"/>
      <c r="X1879" s="459"/>
      <c r="Y1879" s="666"/>
      <c r="Z1879" s="664"/>
      <c r="AA1879" s="665"/>
      <c r="AB1879" s="665"/>
      <c r="AC1879" s="665"/>
      <c r="AD1879" s="665"/>
      <c r="AE1879" s="665"/>
      <c r="AF1879" s="649"/>
      <c r="AG1879" s="650"/>
      <c r="AH1879" s="650"/>
      <c r="AI1879" s="667"/>
    </row>
    <row r="1880" spans="12:35" ht="45" customHeight="1" thickBot="1" x14ac:dyDescent="0.25">
      <c r="L1880" s="645"/>
      <c r="M1880" s="616"/>
      <c r="N1880" s="616"/>
      <c r="O1880" s="616"/>
      <c r="P1880" s="615"/>
      <c r="Q1880" s="616"/>
      <c r="R1880" s="663"/>
      <c r="S1880" s="459"/>
      <c r="T1880" s="459"/>
      <c r="U1880" s="459"/>
      <c r="V1880" s="459"/>
      <c r="W1880" s="459"/>
      <c r="X1880" s="459"/>
      <c r="Y1880" s="666"/>
      <c r="Z1880" s="664"/>
      <c r="AA1880" s="665"/>
      <c r="AB1880" s="665"/>
      <c r="AC1880" s="665"/>
      <c r="AD1880" s="665"/>
      <c r="AE1880" s="665"/>
      <c r="AF1880" s="649"/>
      <c r="AG1880" s="650"/>
      <c r="AH1880" s="650"/>
      <c r="AI1880" s="667"/>
    </row>
    <row r="1881" spans="12:35" ht="45" customHeight="1" thickBot="1" x14ac:dyDescent="0.25">
      <c r="L1881" s="645"/>
      <c r="M1881" s="616"/>
      <c r="N1881" s="616"/>
      <c r="O1881" s="616"/>
      <c r="P1881" s="615"/>
      <c r="Q1881" s="616"/>
      <c r="R1881" s="663"/>
      <c r="S1881" s="459"/>
      <c r="T1881" s="459"/>
      <c r="U1881" s="459"/>
      <c r="V1881" s="459"/>
      <c r="W1881" s="459"/>
      <c r="X1881" s="459"/>
      <c r="Y1881" s="666"/>
      <c r="Z1881" s="664"/>
      <c r="AA1881" s="665"/>
      <c r="AB1881" s="665"/>
      <c r="AC1881" s="665"/>
      <c r="AD1881" s="665"/>
      <c r="AE1881" s="665"/>
      <c r="AF1881" s="649"/>
      <c r="AG1881" s="650"/>
      <c r="AH1881" s="650"/>
      <c r="AI1881" s="667"/>
    </row>
    <row r="1882" spans="12:35" ht="45" customHeight="1" thickBot="1" x14ac:dyDescent="0.25">
      <c r="L1882" s="645"/>
      <c r="M1882" s="616"/>
      <c r="N1882" s="616"/>
      <c r="O1882" s="616"/>
      <c r="P1882" s="615"/>
      <c r="Q1882" s="616"/>
      <c r="R1882" s="663"/>
      <c r="S1882" s="459"/>
      <c r="T1882" s="459"/>
      <c r="U1882" s="459"/>
      <c r="V1882" s="459"/>
      <c r="W1882" s="459"/>
      <c r="X1882" s="459"/>
      <c r="Y1882" s="666"/>
      <c r="Z1882" s="664"/>
      <c r="AA1882" s="665"/>
      <c r="AB1882" s="665"/>
      <c r="AC1882" s="665"/>
      <c r="AD1882" s="665"/>
      <c r="AE1882" s="665"/>
      <c r="AF1882" s="649"/>
      <c r="AG1882" s="650"/>
      <c r="AH1882" s="650"/>
      <c r="AI1882" s="667"/>
    </row>
    <row r="1883" spans="12:35" ht="45" customHeight="1" thickBot="1" x14ac:dyDescent="0.25">
      <c r="L1883" s="645"/>
      <c r="M1883" s="616"/>
      <c r="N1883" s="616"/>
      <c r="O1883" s="616"/>
      <c r="P1883" s="615"/>
      <c r="Q1883" s="616"/>
      <c r="R1883" s="663"/>
      <c r="S1883" s="459"/>
      <c r="T1883" s="459"/>
      <c r="U1883" s="459"/>
      <c r="V1883" s="459"/>
      <c r="W1883" s="459"/>
      <c r="X1883" s="459"/>
      <c r="Y1883" s="666"/>
      <c r="Z1883" s="664"/>
      <c r="AA1883" s="665"/>
      <c r="AB1883" s="665"/>
      <c r="AC1883" s="665"/>
      <c r="AD1883" s="665"/>
      <c r="AE1883" s="665"/>
      <c r="AF1883" s="649"/>
      <c r="AG1883" s="650"/>
      <c r="AH1883" s="650"/>
      <c r="AI1883" s="667"/>
    </row>
    <row r="1884" spans="12:35" ht="45" customHeight="1" thickBot="1" x14ac:dyDescent="0.25">
      <c r="L1884" s="645"/>
      <c r="M1884" s="616"/>
      <c r="N1884" s="616"/>
      <c r="O1884" s="616"/>
      <c r="P1884" s="615"/>
      <c r="Q1884" s="616"/>
      <c r="R1884" s="663"/>
      <c r="S1884" s="459"/>
      <c r="T1884" s="459"/>
      <c r="U1884" s="459"/>
      <c r="V1884" s="459"/>
      <c r="W1884" s="459"/>
      <c r="X1884" s="459"/>
      <c r="Y1884" s="666"/>
      <c r="Z1884" s="664"/>
      <c r="AA1884" s="665"/>
      <c r="AB1884" s="665"/>
      <c r="AC1884" s="665"/>
      <c r="AD1884" s="665"/>
      <c r="AE1884" s="665"/>
      <c r="AF1884" s="649"/>
      <c r="AG1884" s="650"/>
      <c r="AH1884" s="650"/>
      <c r="AI1884" s="667"/>
    </row>
    <row r="1885" spans="12:35" ht="45" customHeight="1" thickBot="1" x14ac:dyDescent="0.25">
      <c r="L1885" s="645"/>
      <c r="M1885" s="616"/>
      <c r="N1885" s="616"/>
      <c r="O1885" s="616"/>
      <c r="P1885" s="615"/>
      <c r="Q1885" s="616"/>
      <c r="R1885" s="663"/>
      <c r="S1885" s="459"/>
      <c r="T1885" s="459"/>
      <c r="U1885" s="459"/>
      <c r="V1885" s="459"/>
      <c r="W1885" s="459"/>
      <c r="X1885" s="459"/>
      <c r="Y1885" s="666"/>
      <c r="Z1885" s="664"/>
      <c r="AA1885" s="665"/>
      <c r="AB1885" s="665"/>
      <c r="AC1885" s="665"/>
      <c r="AD1885" s="665"/>
      <c r="AE1885" s="665"/>
      <c r="AF1885" s="649"/>
      <c r="AG1885" s="650"/>
      <c r="AH1885" s="650"/>
      <c r="AI1885" s="667"/>
    </row>
    <row r="1886" spans="12:35" ht="45" customHeight="1" thickBot="1" x14ac:dyDescent="0.25">
      <c r="L1886" s="645"/>
      <c r="M1886" s="616"/>
      <c r="N1886" s="616"/>
      <c r="O1886" s="616"/>
      <c r="P1886" s="615"/>
      <c r="Q1886" s="616"/>
      <c r="R1886" s="663"/>
      <c r="S1886" s="459"/>
      <c r="T1886" s="459"/>
      <c r="U1886" s="459"/>
      <c r="V1886" s="459"/>
      <c r="W1886" s="459"/>
      <c r="X1886" s="459"/>
      <c r="Y1886" s="666"/>
      <c r="Z1886" s="664"/>
      <c r="AA1886" s="665"/>
      <c r="AB1886" s="665"/>
      <c r="AC1886" s="665"/>
      <c r="AD1886" s="665"/>
      <c r="AE1886" s="665"/>
      <c r="AF1886" s="649"/>
      <c r="AG1886" s="650"/>
      <c r="AH1886" s="650"/>
      <c r="AI1886" s="667"/>
    </row>
    <row r="1887" spans="12:35" ht="45" customHeight="1" thickBot="1" x14ac:dyDescent="0.25">
      <c r="L1887" s="645"/>
      <c r="M1887" s="616"/>
      <c r="N1887" s="616"/>
      <c r="O1887" s="616"/>
      <c r="P1887" s="615"/>
      <c r="Q1887" s="616"/>
      <c r="R1887" s="663"/>
      <c r="S1887" s="459"/>
      <c r="T1887" s="459"/>
      <c r="U1887" s="459"/>
      <c r="V1887" s="459"/>
      <c r="W1887" s="459"/>
      <c r="X1887" s="459"/>
      <c r="Y1887" s="666"/>
      <c r="Z1887" s="664"/>
      <c r="AA1887" s="665"/>
      <c r="AB1887" s="665"/>
      <c r="AC1887" s="665"/>
      <c r="AD1887" s="665"/>
      <c r="AE1887" s="665"/>
      <c r="AF1887" s="649"/>
      <c r="AG1887" s="650"/>
      <c r="AH1887" s="650"/>
      <c r="AI1887" s="667"/>
    </row>
    <row r="1888" spans="12:35" ht="45" customHeight="1" thickBot="1" x14ac:dyDescent="0.25">
      <c r="L1888" s="645"/>
      <c r="M1888" s="616"/>
      <c r="N1888" s="616"/>
      <c r="O1888" s="616"/>
      <c r="P1888" s="615"/>
      <c r="Q1888" s="616"/>
      <c r="R1888" s="663"/>
      <c r="S1888" s="459"/>
      <c r="T1888" s="459"/>
      <c r="U1888" s="459"/>
      <c r="V1888" s="459"/>
      <c r="W1888" s="459"/>
      <c r="X1888" s="459"/>
      <c r="Y1888" s="666"/>
      <c r="Z1888" s="664"/>
      <c r="AA1888" s="665"/>
      <c r="AB1888" s="665"/>
      <c r="AC1888" s="665"/>
      <c r="AD1888" s="665"/>
      <c r="AE1888" s="665"/>
      <c r="AF1888" s="649"/>
      <c r="AG1888" s="650"/>
      <c r="AH1888" s="650"/>
      <c r="AI1888" s="667"/>
    </row>
    <row r="1889" spans="12:35" ht="45" customHeight="1" thickBot="1" x14ac:dyDescent="0.25">
      <c r="L1889" s="645"/>
      <c r="M1889" s="616"/>
      <c r="N1889" s="616"/>
      <c r="O1889" s="616"/>
      <c r="P1889" s="615"/>
      <c r="Q1889" s="616"/>
      <c r="R1889" s="663"/>
      <c r="S1889" s="459"/>
      <c r="T1889" s="459"/>
      <c r="U1889" s="459"/>
      <c r="V1889" s="459"/>
      <c r="W1889" s="459"/>
      <c r="X1889" s="459"/>
      <c r="Y1889" s="666"/>
      <c r="Z1889" s="664"/>
      <c r="AA1889" s="665"/>
      <c r="AB1889" s="665"/>
      <c r="AC1889" s="665"/>
      <c r="AD1889" s="665"/>
      <c r="AE1889" s="665"/>
      <c r="AF1889" s="649"/>
      <c r="AG1889" s="650"/>
      <c r="AH1889" s="650"/>
      <c r="AI1889" s="667"/>
    </row>
    <row r="1890" spans="12:35" ht="45" customHeight="1" thickBot="1" x14ac:dyDescent="0.25">
      <c r="L1890" s="645"/>
      <c r="M1890" s="616"/>
      <c r="N1890" s="616"/>
      <c r="O1890" s="616"/>
      <c r="P1890" s="615"/>
      <c r="Q1890" s="616"/>
      <c r="R1890" s="663"/>
      <c r="S1890" s="459"/>
      <c r="T1890" s="459"/>
      <c r="U1890" s="459"/>
      <c r="V1890" s="459"/>
      <c r="W1890" s="459"/>
      <c r="X1890" s="459"/>
      <c r="Y1890" s="666"/>
      <c r="Z1890" s="664"/>
      <c r="AA1890" s="665"/>
      <c r="AB1890" s="665"/>
      <c r="AC1890" s="665"/>
      <c r="AD1890" s="665"/>
      <c r="AE1890" s="665"/>
      <c r="AF1890" s="649"/>
      <c r="AG1890" s="650"/>
      <c r="AH1890" s="650"/>
      <c r="AI1890" s="667"/>
    </row>
    <row r="1891" spans="12:35" ht="45" customHeight="1" thickBot="1" x14ac:dyDescent="0.25">
      <c r="L1891" s="645"/>
      <c r="M1891" s="616"/>
      <c r="N1891" s="616"/>
      <c r="O1891" s="616"/>
      <c r="P1891" s="615"/>
      <c r="Q1891" s="616"/>
      <c r="R1891" s="663"/>
      <c r="S1891" s="459"/>
      <c r="T1891" s="459"/>
      <c r="U1891" s="459"/>
      <c r="V1891" s="459"/>
      <c r="W1891" s="459"/>
      <c r="X1891" s="459"/>
      <c r="Y1891" s="666"/>
      <c r="Z1891" s="664"/>
      <c r="AA1891" s="665"/>
      <c r="AB1891" s="665"/>
      <c r="AC1891" s="665"/>
      <c r="AD1891" s="665"/>
      <c r="AE1891" s="665"/>
      <c r="AF1891" s="649"/>
      <c r="AG1891" s="650"/>
      <c r="AH1891" s="650"/>
      <c r="AI1891" s="667"/>
    </row>
    <row r="1892" spans="12:35" ht="45" customHeight="1" thickBot="1" x14ac:dyDescent="0.25">
      <c r="L1892" s="645"/>
      <c r="M1892" s="616"/>
      <c r="N1892" s="616"/>
      <c r="O1892" s="616"/>
      <c r="P1892" s="615"/>
      <c r="Q1892" s="616"/>
      <c r="R1892" s="663"/>
      <c r="S1892" s="459"/>
      <c r="T1892" s="459"/>
      <c r="U1892" s="459"/>
      <c r="V1892" s="459"/>
      <c r="W1892" s="459"/>
      <c r="X1892" s="459"/>
      <c r="Y1892" s="666"/>
      <c r="Z1892" s="664"/>
      <c r="AA1892" s="665"/>
      <c r="AB1892" s="665"/>
      <c r="AC1892" s="665"/>
      <c r="AD1892" s="665"/>
      <c r="AE1892" s="665"/>
      <c r="AF1892" s="649"/>
      <c r="AG1892" s="650"/>
      <c r="AH1892" s="650"/>
      <c r="AI1892" s="667"/>
    </row>
    <row r="1893" spans="12:35" ht="45" customHeight="1" thickBot="1" x14ac:dyDescent="0.25">
      <c r="L1893" s="645"/>
      <c r="M1893" s="616"/>
      <c r="N1893" s="616"/>
      <c r="O1893" s="616"/>
      <c r="P1893" s="615"/>
      <c r="Q1893" s="616"/>
      <c r="R1893" s="663"/>
      <c r="S1893" s="459"/>
      <c r="T1893" s="459"/>
      <c r="U1893" s="459"/>
      <c r="V1893" s="459"/>
      <c r="W1893" s="459"/>
      <c r="X1893" s="459"/>
      <c r="Y1893" s="666"/>
      <c r="Z1893" s="664"/>
      <c r="AA1893" s="665"/>
      <c r="AB1893" s="665"/>
      <c r="AC1893" s="665"/>
      <c r="AD1893" s="665"/>
      <c r="AE1893" s="665"/>
      <c r="AF1893" s="649"/>
      <c r="AG1893" s="650"/>
      <c r="AH1893" s="650"/>
      <c r="AI1893" s="667"/>
    </row>
    <row r="1894" spans="12:35" ht="45" customHeight="1" thickBot="1" x14ac:dyDescent="0.25">
      <c r="L1894" s="645"/>
      <c r="M1894" s="616"/>
      <c r="N1894" s="616"/>
      <c r="O1894" s="616"/>
      <c r="P1894" s="615"/>
      <c r="Q1894" s="616"/>
      <c r="R1894" s="663"/>
      <c r="S1894" s="459"/>
      <c r="T1894" s="459"/>
      <c r="U1894" s="459"/>
      <c r="V1894" s="459"/>
      <c r="W1894" s="459"/>
      <c r="X1894" s="459"/>
      <c r="Y1894" s="666"/>
      <c r="Z1894" s="664"/>
      <c r="AA1894" s="665"/>
      <c r="AB1894" s="665"/>
      <c r="AC1894" s="665"/>
      <c r="AD1894" s="665"/>
      <c r="AE1894" s="665"/>
      <c r="AF1894" s="649"/>
      <c r="AG1894" s="650"/>
      <c r="AH1894" s="650"/>
      <c r="AI1894" s="667"/>
    </row>
    <row r="1895" spans="12:35" ht="45" customHeight="1" thickBot="1" x14ac:dyDescent="0.25">
      <c r="L1895" s="645"/>
      <c r="M1895" s="616"/>
      <c r="N1895" s="616"/>
      <c r="O1895" s="616"/>
      <c r="P1895" s="615"/>
      <c r="Q1895" s="616"/>
      <c r="R1895" s="663"/>
      <c r="S1895" s="459"/>
      <c r="T1895" s="459"/>
      <c r="U1895" s="459"/>
      <c r="V1895" s="459"/>
      <c r="W1895" s="459"/>
      <c r="X1895" s="459"/>
      <c r="Y1895" s="666"/>
      <c r="Z1895" s="664"/>
      <c r="AA1895" s="665"/>
      <c r="AB1895" s="665"/>
      <c r="AC1895" s="665"/>
      <c r="AD1895" s="665"/>
      <c r="AE1895" s="665"/>
      <c r="AF1895" s="649"/>
      <c r="AG1895" s="650"/>
      <c r="AH1895" s="650"/>
      <c r="AI1895" s="667"/>
    </row>
    <row r="1896" spans="12:35" ht="45" customHeight="1" thickBot="1" x14ac:dyDescent="0.25">
      <c r="L1896" s="645"/>
      <c r="M1896" s="616"/>
      <c r="N1896" s="616"/>
      <c r="O1896" s="616"/>
      <c r="P1896" s="615"/>
      <c r="Q1896" s="616"/>
      <c r="R1896" s="663"/>
      <c r="S1896" s="459"/>
      <c r="T1896" s="459"/>
      <c r="U1896" s="459"/>
      <c r="V1896" s="459"/>
      <c r="W1896" s="459"/>
      <c r="X1896" s="459"/>
      <c r="Y1896" s="666"/>
      <c r="Z1896" s="664"/>
      <c r="AA1896" s="665"/>
      <c r="AB1896" s="665"/>
      <c r="AC1896" s="665"/>
      <c r="AD1896" s="665"/>
      <c r="AE1896" s="665"/>
      <c r="AF1896" s="649"/>
      <c r="AG1896" s="650"/>
      <c r="AH1896" s="650"/>
      <c r="AI1896" s="667"/>
    </row>
    <row r="1897" spans="12:35" ht="45" customHeight="1" thickBot="1" x14ac:dyDescent="0.25">
      <c r="L1897" s="645"/>
      <c r="M1897" s="616"/>
      <c r="N1897" s="616"/>
      <c r="O1897" s="616"/>
      <c r="P1897" s="615"/>
      <c r="Q1897" s="616"/>
      <c r="R1897" s="663"/>
      <c r="S1897" s="459"/>
      <c r="T1897" s="459"/>
      <c r="U1897" s="459"/>
      <c r="V1897" s="459"/>
      <c r="W1897" s="459"/>
      <c r="X1897" s="459"/>
      <c r="Y1897" s="666"/>
      <c r="Z1897" s="664"/>
      <c r="AA1897" s="665"/>
      <c r="AB1897" s="665"/>
      <c r="AC1897" s="665"/>
      <c r="AD1897" s="665"/>
      <c r="AE1897" s="665"/>
      <c r="AF1897" s="649"/>
      <c r="AG1897" s="650"/>
      <c r="AH1897" s="650"/>
      <c r="AI1897" s="667"/>
    </row>
    <row r="1898" spans="12:35" ht="45" customHeight="1" thickBot="1" x14ac:dyDescent="0.25">
      <c r="L1898" s="645"/>
      <c r="M1898" s="616"/>
      <c r="N1898" s="616"/>
      <c r="O1898" s="616"/>
      <c r="P1898" s="615"/>
      <c r="Q1898" s="616"/>
      <c r="R1898" s="663"/>
      <c r="S1898" s="459"/>
      <c r="T1898" s="459"/>
      <c r="U1898" s="459"/>
      <c r="V1898" s="459"/>
      <c r="W1898" s="459"/>
      <c r="X1898" s="459"/>
      <c r="Y1898" s="666"/>
      <c r="Z1898" s="664"/>
      <c r="AA1898" s="665"/>
      <c r="AB1898" s="665"/>
      <c r="AC1898" s="665"/>
      <c r="AD1898" s="665"/>
      <c r="AE1898" s="665"/>
      <c r="AF1898" s="649"/>
      <c r="AG1898" s="650"/>
      <c r="AH1898" s="650"/>
      <c r="AI1898" s="667"/>
    </row>
    <row r="1899" spans="12:35" ht="45" customHeight="1" thickBot="1" x14ac:dyDescent="0.25">
      <c r="L1899" s="645"/>
      <c r="M1899" s="616"/>
      <c r="N1899" s="616"/>
      <c r="O1899" s="616"/>
      <c r="P1899" s="615"/>
      <c r="Q1899" s="616"/>
      <c r="R1899" s="663"/>
      <c r="S1899" s="459"/>
      <c r="T1899" s="459"/>
      <c r="U1899" s="459"/>
      <c r="V1899" s="459"/>
      <c r="W1899" s="459"/>
      <c r="X1899" s="459"/>
      <c r="Y1899" s="666"/>
      <c r="Z1899" s="664"/>
      <c r="AA1899" s="665"/>
      <c r="AB1899" s="665"/>
      <c r="AC1899" s="665"/>
      <c r="AD1899" s="665"/>
      <c r="AE1899" s="665"/>
      <c r="AF1899" s="649"/>
      <c r="AG1899" s="650"/>
      <c r="AH1899" s="650"/>
      <c r="AI1899" s="667"/>
    </row>
    <row r="1900" spans="12:35" ht="45" customHeight="1" thickBot="1" x14ac:dyDescent="0.25">
      <c r="L1900" s="645"/>
      <c r="M1900" s="616"/>
      <c r="N1900" s="616"/>
      <c r="O1900" s="616"/>
      <c r="P1900" s="615"/>
      <c r="Q1900" s="616"/>
      <c r="R1900" s="663"/>
      <c r="S1900" s="459"/>
      <c r="T1900" s="459"/>
      <c r="U1900" s="459"/>
      <c r="V1900" s="459"/>
      <c r="W1900" s="459"/>
      <c r="X1900" s="459"/>
      <c r="Y1900" s="666"/>
      <c r="Z1900" s="664"/>
      <c r="AA1900" s="665"/>
      <c r="AB1900" s="665"/>
      <c r="AC1900" s="665"/>
      <c r="AD1900" s="665"/>
      <c r="AE1900" s="665"/>
      <c r="AF1900" s="649"/>
      <c r="AG1900" s="650"/>
      <c r="AH1900" s="650"/>
      <c r="AI1900" s="667"/>
    </row>
    <row r="1901" spans="12:35" ht="45" customHeight="1" thickBot="1" x14ac:dyDescent="0.25">
      <c r="L1901" s="645"/>
      <c r="M1901" s="616"/>
      <c r="N1901" s="616"/>
      <c r="O1901" s="616"/>
      <c r="P1901" s="615"/>
      <c r="Q1901" s="616"/>
      <c r="R1901" s="663"/>
      <c r="S1901" s="459"/>
      <c r="T1901" s="459"/>
      <c r="U1901" s="459"/>
      <c r="V1901" s="459"/>
      <c r="W1901" s="459"/>
      <c r="X1901" s="459"/>
      <c r="Y1901" s="666"/>
      <c r="Z1901" s="664"/>
      <c r="AA1901" s="665"/>
      <c r="AB1901" s="665"/>
      <c r="AC1901" s="665"/>
      <c r="AD1901" s="665"/>
      <c r="AE1901" s="665"/>
      <c r="AF1901" s="649"/>
      <c r="AG1901" s="650"/>
      <c r="AH1901" s="650"/>
      <c r="AI1901" s="667"/>
    </row>
    <row r="1902" spans="12:35" ht="45" customHeight="1" thickBot="1" x14ac:dyDescent="0.25">
      <c r="L1902" s="645"/>
      <c r="M1902" s="616"/>
      <c r="N1902" s="616"/>
      <c r="O1902" s="616"/>
      <c r="P1902" s="615"/>
      <c r="Q1902" s="616"/>
      <c r="R1902" s="663"/>
      <c r="S1902" s="459"/>
      <c r="T1902" s="459"/>
      <c r="U1902" s="459"/>
      <c r="V1902" s="459"/>
      <c r="W1902" s="459"/>
      <c r="X1902" s="459"/>
      <c r="Y1902" s="666"/>
      <c r="Z1902" s="664"/>
      <c r="AA1902" s="665"/>
      <c r="AB1902" s="665"/>
      <c r="AC1902" s="665"/>
      <c r="AD1902" s="665"/>
      <c r="AE1902" s="665"/>
      <c r="AF1902" s="649"/>
      <c r="AG1902" s="650"/>
      <c r="AH1902" s="650"/>
      <c r="AI1902" s="667"/>
    </row>
    <row r="1903" spans="12:35" ht="45" customHeight="1" thickBot="1" x14ac:dyDescent="0.25">
      <c r="L1903" s="645"/>
      <c r="M1903" s="616"/>
      <c r="N1903" s="616"/>
      <c r="O1903" s="616"/>
      <c r="P1903" s="615"/>
      <c r="Q1903" s="616"/>
      <c r="R1903" s="663"/>
      <c r="S1903" s="459"/>
      <c r="T1903" s="459"/>
      <c r="U1903" s="459"/>
      <c r="V1903" s="459"/>
      <c r="W1903" s="459"/>
      <c r="X1903" s="459"/>
      <c r="Y1903" s="666"/>
      <c r="Z1903" s="664"/>
      <c r="AA1903" s="665"/>
      <c r="AB1903" s="665"/>
      <c r="AC1903" s="665"/>
      <c r="AD1903" s="665"/>
      <c r="AE1903" s="665"/>
      <c r="AF1903" s="649"/>
      <c r="AG1903" s="650"/>
      <c r="AH1903" s="650"/>
      <c r="AI1903" s="667"/>
    </row>
    <row r="1904" spans="12:35" ht="45" customHeight="1" thickBot="1" x14ac:dyDescent="0.25">
      <c r="L1904" s="645"/>
      <c r="M1904" s="616"/>
      <c r="N1904" s="616"/>
      <c r="O1904" s="616"/>
      <c r="P1904" s="615"/>
      <c r="Q1904" s="616"/>
      <c r="R1904" s="663"/>
      <c r="S1904" s="459"/>
      <c r="T1904" s="459"/>
      <c r="U1904" s="459"/>
      <c r="V1904" s="459"/>
      <c r="W1904" s="459"/>
      <c r="X1904" s="459"/>
      <c r="Y1904" s="666"/>
      <c r="Z1904" s="664"/>
      <c r="AA1904" s="665"/>
      <c r="AB1904" s="665"/>
      <c r="AC1904" s="665"/>
      <c r="AD1904" s="665"/>
      <c r="AE1904" s="665"/>
      <c r="AF1904" s="649"/>
      <c r="AG1904" s="650"/>
      <c r="AH1904" s="650"/>
      <c r="AI1904" s="667"/>
    </row>
    <row r="1905" spans="12:35" ht="45" customHeight="1" thickBot="1" x14ac:dyDescent="0.25">
      <c r="L1905" s="645"/>
      <c r="M1905" s="616"/>
      <c r="N1905" s="616"/>
      <c r="O1905" s="616"/>
      <c r="P1905" s="615"/>
      <c r="Q1905" s="616"/>
      <c r="R1905" s="663"/>
      <c r="S1905" s="459"/>
      <c r="T1905" s="459"/>
      <c r="U1905" s="459"/>
      <c r="V1905" s="459"/>
      <c r="W1905" s="459"/>
      <c r="X1905" s="459"/>
      <c r="Y1905" s="666"/>
      <c r="Z1905" s="664"/>
      <c r="AA1905" s="665"/>
      <c r="AB1905" s="665"/>
      <c r="AC1905" s="665"/>
      <c r="AD1905" s="665"/>
      <c r="AE1905" s="665"/>
      <c r="AF1905" s="649"/>
      <c r="AG1905" s="650"/>
      <c r="AH1905" s="650"/>
      <c r="AI1905" s="667"/>
    </row>
    <row r="1906" spans="12:35" ht="45" customHeight="1" thickBot="1" x14ac:dyDescent="0.25">
      <c r="L1906" s="645"/>
      <c r="M1906" s="616"/>
      <c r="N1906" s="616"/>
      <c r="O1906" s="616"/>
      <c r="P1906" s="615"/>
      <c r="Q1906" s="616"/>
      <c r="R1906" s="663"/>
      <c r="S1906" s="459"/>
      <c r="T1906" s="459"/>
      <c r="U1906" s="459"/>
      <c r="V1906" s="459"/>
      <c r="W1906" s="459"/>
      <c r="X1906" s="459"/>
      <c r="Y1906" s="666"/>
      <c r="Z1906" s="664"/>
      <c r="AA1906" s="665"/>
      <c r="AB1906" s="665"/>
      <c r="AC1906" s="665"/>
      <c r="AD1906" s="665"/>
      <c r="AE1906" s="665"/>
      <c r="AF1906" s="649"/>
      <c r="AG1906" s="650"/>
      <c r="AH1906" s="650"/>
      <c r="AI1906" s="667"/>
    </row>
    <row r="1907" spans="12:35" ht="45" customHeight="1" thickBot="1" x14ac:dyDescent="0.25">
      <c r="L1907" s="645"/>
      <c r="M1907" s="616"/>
      <c r="N1907" s="616"/>
      <c r="O1907" s="616"/>
      <c r="P1907" s="615"/>
      <c r="Q1907" s="616"/>
      <c r="R1907" s="663"/>
      <c r="S1907" s="459"/>
      <c r="T1907" s="459"/>
      <c r="U1907" s="459"/>
      <c r="V1907" s="459"/>
      <c r="W1907" s="459"/>
      <c r="X1907" s="459"/>
      <c r="Y1907" s="666"/>
      <c r="Z1907" s="664"/>
      <c r="AA1907" s="665"/>
      <c r="AB1907" s="665"/>
      <c r="AC1907" s="665"/>
      <c r="AD1907" s="665"/>
      <c r="AE1907" s="665"/>
      <c r="AF1907" s="649"/>
      <c r="AG1907" s="650"/>
      <c r="AH1907" s="650"/>
      <c r="AI1907" s="667"/>
    </row>
    <row r="1908" spans="12:35" ht="45" customHeight="1" thickBot="1" x14ac:dyDescent="0.25">
      <c r="L1908" s="645"/>
      <c r="M1908" s="616"/>
      <c r="N1908" s="616"/>
      <c r="O1908" s="616"/>
      <c r="P1908" s="615"/>
      <c r="Q1908" s="616"/>
      <c r="R1908" s="663"/>
      <c r="S1908" s="459"/>
      <c r="T1908" s="459"/>
      <c r="U1908" s="459"/>
      <c r="V1908" s="459"/>
      <c r="W1908" s="459"/>
      <c r="X1908" s="459"/>
      <c r="Y1908" s="666"/>
      <c r="Z1908" s="664"/>
      <c r="AA1908" s="665"/>
      <c r="AB1908" s="665"/>
      <c r="AC1908" s="665"/>
      <c r="AD1908" s="665"/>
      <c r="AE1908" s="665"/>
      <c r="AF1908" s="649"/>
      <c r="AG1908" s="650"/>
      <c r="AH1908" s="650"/>
      <c r="AI1908" s="667"/>
    </row>
    <row r="1909" spans="12:35" ht="45" customHeight="1" thickBot="1" x14ac:dyDescent="0.25">
      <c r="L1909" s="645"/>
      <c r="M1909" s="616"/>
      <c r="N1909" s="616"/>
      <c r="O1909" s="616"/>
      <c r="P1909" s="615"/>
      <c r="Q1909" s="616"/>
      <c r="R1909" s="663"/>
      <c r="S1909" s="459"/>
      <c r="T1909" s="459"/>
      <c r="U1909" s="459"/>
      <c r="V1909" s="459"/>
      <c r="W1909" s="459"/>
      <c r="X1909" s="459"/>
      <c r="Y1909" s="666"/>
      <c r="Z1909" s="664"/>
      <c r="AA1909" s="665"/>
      <c r="AB1909" s="665"/>
      <c r="AC1909" s="665"/>
      <c r="AD1909" s="665"/>
      <c r="AE1909" s="665"/>
      <c r="AF1909" s="649"/>
      <c r="AG1909" s="650"/>
      <c r="AH1909" s="650"/>
      <c r="AI1909" s="667"/>
    </row>
    <row r="1910" spans="12:35" ht="45" customHeight="1" thickBot="1" x14ac:dyDescent="0.25">
      <c r="L1910" s="645"/>
      <c r="M1910" s="616"/>
      <c r="N1910" s="616"/>
      <c r="O1910" s="616"/>
      <c r="P1910" s="615"/>
      <c r="Q1910" s="616"/>
      <c r="R1910" s="663"/>
      <c r="S1910" s="459"/>
      <c r="T1910" s="459"/>
      <c r="U1910" s="459"/>
      <c r="V1910" s="459"/>
      <c r="W1910" s="459"/>
      <c r="X1910" s="459"/>
      <c r="Y1910" s="666"/>
      <c r="Z1910" s="664"/>
      <c r="AA1910" s="665"/>
      <c r="AB1910" s="665"/>
      <c r="AC1910" s="665"/>
      <c r="AD1910" s="665"/>
      <c r="AE1910" s="665"/>
      <c r="AF1910" s="649"/>
      <c r="AG1910" s="650"/>
      <c r="AH1910" s="650"/>
      <c r="AI1910" s="667"/>
    </row>
    <row r="1911" spans="12:35" ht="45" customHeight="1" thickBot="1" x14ac:dyDescent="0.25">
      <c r="L1911" s="645"/>
      <c r="M1911" s="616"/>
      <c r="N1911" s="616"/>
      <c r="O1911" s="616"/>
      <c r="P1911" s="615"/>
      <c r="Q1911" s="616"/>
      <c r="R1911" s="663"/>
      <c r="S1911" s="459"/>
      <c r="T1911" s="459"/>
      <c r="U1911" s="459"/>
      <c r="V1911" s="459"/>
      <c r="W1911" s="459"/>
      <c r="X1911" s="459"/>
      <c r="Y1911" s="666"/>
      <c r="Z1911" s="664"/>
      <c r="AA1911" s="665"/>
      <c r="AB1911" s="665"/>
      <c r="AC1911" s="665"/>
      <c r="AD1911" s="665"/>
      <c r="AE1911" s="665"/>
      <c r="AF1911" s="649"/>
      <c r="AG1911" s="650"/>
      <c r="AH1911" s="650"/>
      <c r="AI1911" s="667"/>
    </row>
    <row r="1912" spans="12:35" ht="45" customHeight="1" thickBot="1" x14ac:dyDescent="0.25">
      <c r="L1912" s="645"/>
      <c r="M1912" s="616"/>
      <c r="N1912" s="616"/>
      <c r="O1912" s="616"/>
      <c r="P1912" s="615"/>
      <c r="Q1912" s="616"/>
      <c r="R1912" s="663"/>
      <c r="S1912" s="459"/>
      <c r="T1912" s="459"/>
      <c r="U1912" s="459"/>
      <c r="V1912" s="459"/>
      <c r="W1912" s="459"/>
      <c r="X1912" s="459"/>
      <c r="Y1912" s="666"/>
      <c r="Z1912" s="664"/>
      <c r="AA1912" s="665"/>
      <c r="AB1912" s="665"/>
      <c r="AC1912" s="665"/>
      <c r="AD1912" s="665"/>
      <c r="AE1912" s="665"/>
      <c r="AF1912" s="649"/>
      <c r="AG1912" s="650"/>
      <c r="AH1912" s="650"/>
      <c r="AI1912" s="667"/>
    </row>
    <row r="1913" spans="12:35" ht="45" customHeight="1" thickBot="1" x14ac:dyDescent="0.25">
      <c r="L1913" s="645"/>
      <c r="M1913" s="616"/>
      <c r="N1913" s="616"/>
      <c r="O1913" s="616"/>
      <c r="P1913" s="615"/>
      <c r="Q1913" s="616"/>
      <c r="R1913" s="663"/>
      <c r="S1913" s="459"/>
      <c r="T1913" s="459"/>
      <c r="U1913" s="459"/>
      <c r="V1913" s="459"/>
      <c r="W1913" s="459"/>
      <c r="X1913" s="459"/>
      <c r="Y1913" s="666"/>
      <c r="Z1913" s="664"/>
      <c r="AA1913" s="665"/>
      <c r="AB1913" s="665"/>
      <c r="AC1913" s="665"/>
      <c r="AD1913" s="665"/>
      <c r="AE1913" s="665"/>
      <c r="AF1913" s="649"/>
      <c r="AG1913" s="650"/>
      <c r="AH1913" s="650"/>
      <c r="AI1913" s="667"/>
    </row>
    <row r="1914" spans="12:35" ht="45" customHeight="1" thickBot="1" x14ac:dyDescent="0.25">
      <c r="L1914" s="645"/>
      <c r="M1914" s="616"/>
      <c r="N1914" s="616"/>
      <c r="O1914" s="616"/>
      <c r="P1914" s="615"/>
      <c r="Q1914" s="616"/>
      <c r="R1914" s="663"/>
      <c r="S1914" s="459"/>
      <c r="T1914" s="459"/>
      <c r="U1914" s="459"/>
      <c r="V1914" s="459"/>
      <c r="W1914" s="459"/>
      <c r="X1914" s="459"/>
      <c r="Y1914" s="666"/>
      <c r="Z1914" s="664"/>
      <c r="AA1914" s="665"/>
      <c r="AB1914" s="665"/>
      <c r="AC1914" s="665"/>
      <c r="AD1914" s="665"/>
      <c r="AE1914" s="665"/>
      <c r="AF1914" s="649"/>
      <c r="AG1914" s="650"/>
      <c r="AH1914" s="650"/>
      <c r="AI1914" s="667"/>
    </row>
    <row r="1915" spans="12:35" ht="45" customHeight="1" thickBot="1" x14ac:dyDescent="0.25">
      <c r="L1915" s="645"/>
      <c r="M1915" s="616"/>
      <c r="N1915" s="616"/>
      <c r="O1915" s="616"/>
      <c r="P1915" s="615"/>
      <c r="Q1915" s="616"/>
      <c r="R1915" s="663"/>
      <c r="S1915" s="459"/>
      <c r="T1915" s="459"/>
      <c r="U1915" s="459"/>
      <c r="V1915" s="459"/>
      <c r="W1915" s="459"/>
      <c r="X1915" s="459"/>
      <c r="Y1915" s="666"/>
      <c r="Z1915" s="664"/>
      <c r="AA1915" s="665"/>
      <c r="AB1915" s="665"/>
      <c r="AC1915" s="665"/>
      <c r="AD1915" s="665"/>
      <c r="AE1915" s="665"/>
      <c r="AF1915" s="649"/>
      <c r="AG1915" s="650"/>
      <c r="AH1915" s="650"/>
      <c r="AI1915" s="667"/>
    </row>
    <row r="1916" spans="12:35" ht="45" customHeight="1" thickBot="1" x14ac:dyDescent="0.25">
      <c r="L1916" s="645"/>
      <c r="M1916" s="616"/>
      <c r="N1916" s="616"/>
      <c r="O1916" s="616"/>
      <c r="P1916" s="615"/>
      <c r="Q1916" s="616"/>
      <c r="R1916" s="663"/>
      <c r="S1916" s="459"/>
      <c r="T1916" s="459"/>
      <c r="U1916" s="459"/>
      <c r="V1916" s="459"/>
      <c r="W1916" s="459"/>
      <c r="X1916" s="459"/>
      <c r="Y1916" s="666"/>
      <c r="Z1916" s="664"/>
      <c r="AA1916" s="665"/>
      <c r="AB1916" s="665"/>
      <c r="AC1916" s="665"/>
      <c r="AD1916" s="665"/>
      <c r="AE1916" s="665"/>
      <c r="AF1916" s="649"/>
      <c r="AG1916" s="650"/>
      <c r="AH1916" s="650"/>
      <c r="AI1916" s="667"/>
    </row>
    <row r="1917" spans="12:35" ht="45" customHeight="1" thickBot="1" x14ac:dyDescent="0.25">
      <c r="L1917" s="645"/>
      <c r="M1917" s="616"/>
      <c r="N1917" s="616"/>
      <c r="O1917" s="616"/>
      <c r="P1917" s="615"/>
      <c r="Q1917" s="616"/>
      <c r="R1917" s="663"/>
      <c r="S1917" s="459"/>
      <c r="T1917" s="459"/>
      <c r="U1917" s="459"/>
      <c r="V1917" s="459"/>
      <c r="W1917" s="459"/>
      <c r="X1917" s="459"/>
      <c r="Y1917" s="666"/>
      <c r="Z1917" s="664"/>
      <c r="AA1917" s="665"/>
      <c r="AB1917" s="665"/>
      <c r="AC1917" s="665"/>
      <c r="AD1917" s="665"/>
      <c r="AE1917" s="665"/>
      <c r="AF1917" s="649"/>
      <c r="AG1917" s="650"/>
      <c r="AH1917" s="650"/>
      <c r="AI1917" s="667"/>
    </row>
    <row r="1918" spans="12:35" ht="45" customHeight="1" thickBot="1" x14ac:dyDescent="0.25">
      <c r="L1918" s="645"/>
      <c r="M1918" s="616"/>
      <c r="N1918" s="616"/>
      <c r="O1918" s="616"/>
      <c r="P1918" s="615"/>
      <c r="Q1918" s="616"/>
      <c r="R1918" s="663"/>
      <c r="S1918" s="459"/>
      <c r="T1918" s="459"/>
      <c r="U1918" s="459"/>
      <c r="V1918" s="459"/>
      <c r="W1918" s="459"/>
      <c r="X1918" s="459"/>
      <c r="Y1918" s="666"/>
      <c r="Z1918" s="664"/>
      <c r="AA1918" s="665"/>
      <c r="AB1918" s="665"/>
      <c r="AC1918" s="665"/>
      <c r="AD1918" s="665"/>
      <c r="AE1918" s="665"/>
      <c r="AF1918" s="649"/>
      <c r="AG1918" s="650"/>
      <c r="AH1918" s="650"/>
      <c r="AI1918" s="667"/>
    </row>
    <row r="1919" spans="12:35" ht="45" customHeight="1" thickBot="1" x14ac:dyDescent="0.25">
      <c r="L1919" s="645"/>
      <c r="M1919" s="616"/>
      <c r="N1919" s="616"/>
      <c r="O1919" s="616"/>
      <c r="P1919" s="615"/>
      <c r="Q1919" s="616"/>
      <c r="R1919" s="663"/>
      <c r="S1919" s="459"/>
      <c r="T1919" s="459"/>
      <c r="U1919" s="459"/>
      <c r="V1919" s="459"/>
      <c r="W1919" s="459"/>
      <c r="X1919" s="459"/>
      <c r="Y1919" s="666"/>
      <c r="Z1919" s="664"/>
      <c r="AA1919" s="665"/>
      <c r="AB1919" s="665"/>
      <c r="AC1919" s="665"/>
      <c r="AD1919" s="665"/>
      <c r="AE1919" s="665"/>
      <c r="AF1919" s="649"/>
      <c r="AG1919" s="650"/>
      <c r="AH1919" s="650"/>
      <c r="AI1919" s="667"/>
    </row>
    <row r="1920" spans="12:35" ht="45" customHeight="1" thickBot="1" x14ac:dyDescent="0.25">
      <c r="L1920" s="645"/>
      <c r="M1920" s="616"/>
      <c r="N1920" s="616"/>
      <c r="O1920" s="616"/>
      <c r="P1920" s="615"/>
      <c r="Q1920" s="616"/>
      <c r="R1920" s="663"/>
      <c r="S1920" s="459"/>
      <c r="T1920" s="459"/>
      <c r="U1920" s="459"/>
      <c r="V1920" s="459"/>
      <c r="W1920" s="459"/>
      <c r="X1920" s="459"/>
      <c r="Y1920" s="666"/>
      <c r="Z1920" s="664"/>
      <c r="AA1920" s="665"/>
      <c r="AB1920" s="665"/>
      <c r="AC1920" s="665"/>
      <c r="AD1920" s="665"/>
      <c r="AE1920" s="665"/>
      <c r="AF1920" s="649"/>
      <c r="AG1920" s="650"/>
      <c r="AH1920" s="650"/>
      <c r="AI1920" s="667"/>
    </row>
    <row r="1921" spans="12:35" ht="45" customHeight="1" thickBot="1" x14ac:dyDescent="0.25">
      <c r="L1921" s="645"/>
      <c r="M1921" s="616"/>
      <c r="N1921" s="616"/>
      <c r="O1921" s="616"/>
      <c r="P1921" s="615"/>
      <c r="Q1921" s="616"/>
      <c r="R1921" s="663"/>
      <c r="S1921" s="459"/>
      <c r="T1921" s="459"/>
      <c r="U1921" s="459"/>
      <c r="V1921" s="459"/>
      <c r="W1921" s="459"/>
      <c r="X1921" s="459"/>
      <c r="Y1921" s="666"/>
      <c r="Z1921" s="664"/>
      <c r="AA1921" s="665"/>
      <c r="AB1921" s="665"/>
      <c r="AC1921" s="665"/>
      <c r="AD1921" s="665"/>
      <c r="AE1921" s="665"/>
      <c r="AF1921" s="649"/>
      <c r="AG1921" s="650"/>
      <c r="AH1921" s="650"/>
      <c r="AI1921" s="667"/>
    </row>
    <row r="1922" spans="12:35" ht="45" customHeight="1" thickBot="1" x14ac:dyDescent="0.25">
      <c r="L1922" s="645"/>
      <c r="M1922" s="616"/>
      <c r="N1922" s="616"/>
      <c r="O1922" s="616"/>
      <c r="P1922" s="615"/>
      <c r="Q1922" s="616"/>
      <c r="R1922" s="663"/>
      <c r="S1922" s="459"/>
      <c r="T1922" s="459"/>
      <c r="U1922" s="459"/>
      <c r="V1922" s="459"/>
      <c r="W1922" s="459"/>
      <c r="X1922" s="459"/>
      <c r="Y1922" s="666"/>
      <c r="Z1922" s="664"/>
      <c r="AA1922" s="665"/>
      <c r="AB1922" s="665"/>
      <c r="AC1922" s="665"/>
      <c r="AD1922" s="665"/>
      <c r="AE1922" s="665"/>
      <c r="AF1922" s="649"/>
      <c r="AG1922" s="650"/>
      <c r="AH1922" s="650"/>
      <c r="AI1922" s="667"/>
    </row>
    <row r="1923" spans="12:35" ht="45" customHeight="1" thickBot="1" x14ac:dyDescent="0.25">
      <c r="L1923" s="645"/>
      <c r="M1923" s="616"/>
      <c r="N1923" s="616"/>
      <c r="O1923" s="616"/>
      <c r="P1923" s="615"/>
      <c r="Q1923" s="616"/>
      <c r="R1923" s="663"/>
      <c r="S1923" s="459"/>
      <c r="T1923" s="459"/>
      <c r="U1923" s="459"/>
      <c r="V1923" s="459"/>
      <c r="W1923" s="459"/>
      <c r="X1923" s="459"/>
      <c r="Y1923" s="666"/>
      <c r="Z1923" s="664"/>
      <c r="AA1923" s="665"/>
      <c r="AB1923" s="665"/>
      <c r="AC1923" s="665"/>
      <c r="AD1923" s="665"/>
      <c r="AE1923" s="665"/>
      <c r="AF1923" s="649"/>
      <c r="AG1923" s="650"/>
      <c r="AH1923" s="650"/>
      <c r="AI1923" s="667"/>
    </row>
    <row r="1924" spans="12:35" ht="45" customHeight="1" thickBot="1" x14ac:dyDescent="0.25">
      <c r="L1924" s="645"/>
      <c r="M1924" s="616"/>
      <c r="N1924" s="616"/>
      <c r="O1924" s="616"/>
      <c r="P1924" s="615"/>
      <c r="Q1924" s="616"/>
      <c r="R1924" s="663"/>
      <c r="S1924" s="459"/>
      <c r="T1924" s="459"/>
      <c r="U1924" s="459"/>
      <c r="V1924" s="459"/>
      <c r="W1924" s="459"/>
      <c r="X1924" s="459"/>
      <c r="Y1924" s="666"/>
      <c r="Z1924" s="664"/>
      <c r="AA1924" s="665"/>
      <c r="AB1924" s="665"/>
      <c r="AC1924" s="665"/>
      <c r="AD1924" s="665"/>
      <c r="AE1924" s="665"/>
      <c r="AF1924" s="649"/>
      <c r="AG1924" s="650"/>
      <c r="AH1924" s="650"/>
      <c r="AI1924" s="667"/>
    </row>
    <row r="1925" spans="12:35" ht="45" customHeight="1" thickBot="1" x14ac:dyDescent="0.25">
      <c r="L1925" s="645"/>
      <c r="M1925" s="616"/>
      <c r="N1925" s="616"/>
      <c r="O1925" s="616"/>
      <c r="P1925" s="615"/>
      <c r="Q1925" s="616"/>
      <c r="R1925" s="663"/>
      <c r="S1925" s="459"/>
      <c r="T1925" s="459"/>
      <c r="U1925" s="459"/>
      <c r="V1925" s="459"/>
      <c r="W1925" s="459"/>
      <c r="X1925" s="459"/>
      <c r="Y1925" s="666"/>
      <c r="Z1925" s="664"/>
      <c r="AA1925" s="665"/>
      <c r="AB1925" s="665"/>
      <c r="AC1925" s="665"/>
      <c r="AD1925" s="665"/>
      <c r="AE1925" s="665"/>
      <c r="AF1925" s="649"/>
      <c r="AG1925" s="650"/>
      <c r="AH1925" s="650"/>
      <c r="AI1925" s="667"/>
    </row>
    <row r="1926" spans="12:35" ht="45" customHeight="1" thickBot="1" x14ac:dyDescent="0.25">
      <c r="L1926" s="645"/>
      <c r="M1926" s="616"/>
      <c r="N1926" s="616"/>
      <c r="O1926" s="616"/>
      <c r="P1926" s="615"/>
      <c r="Q1926" s="616"/>
      <c r="R1926" s="663"/>
      <c r="S1926" s="459"/>
      <c r="T1926" s="459"/>
      <c r="U1926" s="459"/>
      <c r="V1926" s="459"/>
      <c r="W1926" s="459"/>
      <c r="X1926" s="459"/>
      <c r="Y1926" s="666"/>
      <c r="Z1926" s="664"/>
      <c r="AA1926" s="665"/>
      <c r="AB1926" s="665"/>
      <c r="AC1926" s="665"/>
      <c r="AD1926" s="665"/>
      <c r="AE1926" s="665"/>
      <c r="AF1926" s="649"/>
      <c r="AG1926" s="650"/>
      <c r="AH1926" s="650"/>
      <c r="AI1926" s="667"/>
    </row>
    <row r="1927" spans="12:35" ht="45" customHeight="1" thickBot="1" x14ac:dyDescent="0.25">
      <c r="L1927" s="645"/>
      <c r="M1927" s="616"/>
      <c r="N1927" s="616"/>
      <c r="O1927" s="616"/>
      <c r="P1927" s="615"/>
      <c r="Q1927" s="616"/>
      <c r="R1927" s="663"/>
      <c r="S1927" s="459"/>
      <c r="T1927" s="459"/>
      <c r="U1927" s="459"/>
      <c r="V1927" s="459"/>
      <c r="W1927" s="459"/>
      <c r="X1927" s="459"/>
      <c r="Y1927" s="666"/>
      <c r="Z1927" s="664"/>
      <c r="AA1927" s="665"/>
      <c r="AB1927" s="665"/>
      <c r="AC1927" s="665"/>
      <c r="AD1927" s="665"/>
      <c r="AE1927" s="665"/>
      <c r="AF1927" s="649"/>
      <c r="AG1927" s="650"/>
      <c r="AH1927" s="650"/>
      <c r="AI1927" s="667"/>
    </row>
    <row r="1928" spans="12:35" ht="45" customHeight="1" thickBot="1" x14ac:dyDescent="0.25">
      <c r="L1928" s="645"/>
      <c r="M1928" s="616"/>
      <c r="N1928" s="616"/>
      <c r="O1928" s="616"/>
      <c r="P1928" s="615"/>
      <c r="Q1928" s="616"/>
      <c r="R1928" s="663"/>
      <c r="S1928" s="459"/>
      <c r="T1928" s="459"/>
      <c r="U1928" s="459"/>
      <c r="V1928" s="459"/>
      <c r="W1928" s="459"/>
      <c r="X1928" s="459"/>
      <c r="Y1928" s="666"/>
      <c r="Z1928" s="664"/>
      <c r="AA1928" s="665"/>
      <c r="AB1928" s="665"/>
      <c r="AC1928" s="665"/>
      <c r="AD1928" s="665"/>
      <c r="AE1928" s="665"/>
      <c r="AF1928" s="649"/>
      <c r="AG1928" s="650"/>
      <c r="AH1928" s="650"/>
      <c r="AI1928" s="667"/>
    </row>
    <row r="1929" spans="12:35" ht="45" customHeight="1" thickBot="1" x14ac:dyDescent="0.25">
      <c r="L1929" s="645"/>
      <c r="M1929" s="616"/>
      <c r="N1929" s="616"/>
      <c r="O1929" s="616"/>
      <c r="P1929" s="615"/>
      <c r="Q1929" s="616"/>
      <c r="R1929" s="663"/>
      <c r="S1929" s="459"/>
      <c r="T1929" s="459"/>
      <c r="U1929" s="459"/>
      <c r="V1929" s="459"/>
      <c r="W1929" s="459"/>
      <c r="X1929" s="459"/>
      <c r="Y1929" s="666"/>
      <c r="Z1929" s="664"/>
      <c r="AA1929" s="665"/>
      <c r="AB1929" s="665"/>
      <c r="AC1929" s="665"/>
      <c r="AD1929" s="665"/>
      <c r="AE1929" s="665"/>
      <c r="AF1929" s="649"/>
      <c r="AG1929" s="650"/>
      <c r="AH1929" s="650"/>
      <c r="AI1929" s="667"/>
    </row>
    <row r="1930" spans="12:35" ht="45" customHeight="1" thickBot="1" x14ac:dyDescent="0.25">
      <c r="L1930" s="645"/>
      <c r="M1930" s="616"/>
      <c r="N1930" s="616"/>
      <c r="O1930" s="616"/>
      <c r="P1930" s="615"/>
      <c r="Q1930" s="616"/>
      <c r="R1930" s="663"/>
      <c r="S1930" s="459"/>
      <c r="T1930" s="459"/>
      <c r="U1930" s="459"/>
      <c r="V1930" s="459"/>
      <c r="W1930" s="459"/>
      <c r="X1930" s="459"/>
      <c r="Y1930" s="666"/>
      <c r="Z1930" s="664"/>
      <c r="AA1930" s="665"/>
      <c r="AB1930" s="665"/>
      <c r="AC1930" s="665"/>
      <c r="AD1930" s="665"/>
      <c r="AE1930" s="665"/>
      <c r="AF1930" s="649"/>
      <c r="AG1930" s="650"/>
      <c r="AH1930" s="650"/>
      <c r="AI1930" s="667"/>
    </row>
    <row r="1931" spans="12:35" ht="45" customHeight="1" thickBot="1" x14ac:dyDescent="0.25">
      <c r="L1931" s="645"/>
      <c r="M1931" s="616"/>
      <c r="N1931" s="616"/>
      <c r="O1931" s="616"/>
      <c r="P1931" s="615"/>
      <c r="Q1931" s="616"/>
      <c r="R1931" s="663"/>
      <c r="S1931" s="459"/>
      <c r="T1931" s="459"/>
      <c r="U1931" s="459"/>
      <c r="V1931" s="459"/>
      <c r="W1931" s="459"/>
      <c r="X1931" s="459"/>
      <c r="Y1931" s="666"/>
      <c r="Z1931" s="664"/>
      <c r="AA1931" s="665"/>
      <c r="AB1931" s="665"/>
      <c r="AC1931" s="665"/>
      <c r="AD1931" s="665"/>
      <c r="AE1931" s="665"/>
      <c r="AF1931" s="649"/>
      <c r="AG1931" s="650"/>
      <c r="AH1931" s="650"/>
      <c r="AI1931" s="667"/>
    </row>
    <row r="1932" spans="12:35" ht="45" customHeight="1" thickBot="1" x14ac:dyDescent="0.25">
      <c r="L1932" s="645"/>
      <c r="M1932" s="616"/>
      <c r="N1932" s="616"/>
      <c r="O1932" s="616"/>
      <c r="P1932" s="615"/>
      <c r="Q1932" s="616"/>
      <c r="R1932" s="663"/>
      <c r="S1932" s="459"/>
      <c r="T1932" s="459"/>
      <c r="U1932" s="459"/>
      <c r="V1932" s="459"/>
      <c r="W1932" s="459"/>
      <c r="X1932" s="459"/>
      <c r="Y1932" s="666"/>
      <c r="Z1932" s="664"/>
      <c r="AA1932" s="665"/>
      <c r="AB1932" s="665"/>
      <c r="AC1932" s="665"/>
      <c r="AD1932" s="665"/>
      <c r="AE1932" s="665"/>
      <c r="AF1932" s="649"/>
      <c r="AG1932" s="650"/>
      <c r="AH1932" s="650"/>
      <c r="AI1932" s="667"/>
    </row>
    <row r="1933" spans="12:35" ht="45" customHeight="1" thickBot="1" x14ac:dyDescent="0.25">
      <c r="L1933" s="645"/>
      <c r="M1933" s="616"/>
      <c r="N1933" s="616"/>
      <c r="O1933" s="616"/>
      <c r="P1933" s="615"/>
      <c r="Q1933" s="616"/>
      <c r="R1933" s="663"/>
      <c r="S1933" s="459"/>
      <c r="T1933" s="459"/>
      <c r="U1933" s="459"/>
      <c r="V1933" s="459"/>
      <c r="W1933" s="459"/>
      <c r="X1933" s="459"/>
      <c r="Y1933" s="666"/>
      <c r="Z1933" s="664"/>
      <c r="AA1933" s="665"/>
      <c r="AB1933" s="665"/>
      <c r="AC1933" s="665"/>
      <c r="AD1933" s="665"/>
      <c r="AE1933" s="665"/>
      <c r="AF1933" s="649"/>
      <c r="AG1933" s="650"/>
      <c r="AH1933" s="650"/>
      <c r="AI1933" s="667"/>
    </row>
    <row r="1934" spans="12:35" ht="45" customHeight="1" thickBot="1" x14ac:dyDescent="0.25">
      <c r="L1934" s="645"/>
      <c r="M1934" s="616"/>
      <c r="N1934" s="616"/>
      <c r="O1934" s="616"/>
      <c r="P1934" s="615"/>
      <c r="Q1934" s="616"/>
      <c r="R1934" s="663"/>
      <c r="S1934" s="459"/>
      <c r="T1934" s="459"/>
      <c r="U1934" s="459"/>
      <c r="V1934" s="459"/>
      <c r="W1934" s="459"/>
      <c r="X1934" s="459"/>
      <c r="Y1934" s="666"/>
      <c r="Z1934" s="664"/>
      <c r="AA1934" s="665"/>
      <c r="AB1934" s="665"/>
      <c r="AC1934" s="665"/>
      <c r="AD1934" s="665"/>
      <c r="AE1934" s="665"/>
      <c r="AF1934" s="649"/>
      <c r="AG1934" s="650"/>
      <c r="AH1934" s="650"/>
      <c r="AI1934" s="667"/>
    </row>
    <row r="1935" spans="12:35" ht="45" customHeight="1" thickBot="1" x14ac:dyDescent="0.25">
      <c r="L1935" s="645"/>
      <c r="M1935" s="616"/>
      <c r="N1935" s="616"/>
      <c r="O1935" s="616"/>
      <c r="P1935" s="615"/>
      <c r="Q1935" s="616"/>
      <c r="R1935" s="663"/>
      <c r="S1935" s="459"/>
      <c r="T1935" s="459"/>
      <c r="U1935" s="459"/>
      <c r="V1935" s="459"/>
      <c r="W1935" s="459"/>
      <c r="X1935" s="459"/>
      <c r="Y1935" s="666"/>
      <c r="Z1935" s="664"/>
      <c r="AA1935" s="665"/>
      <c r="AB1935" s="665"/>
      <c r="AC1935" s="665"/>
      <c r="AD1935" s="665"/>
      <c r="AE1935" s="665"/>
      <c r="AF1935" s="649"/>
      <c r="AG1935" s="650"/>
      <c r="AH1935" s="650"/>
      <c r="AI1935" s="667"/>
    </row>
    <row r="1936" spans="12:35" ht="45" customHeight="1" thickBot="1" x14ac:dyDescent="0.25">
      <c r="L1936" s="645"/>
      <c r="M1936" s="616"/>
      <c r="N1936" s="616"/>
      <c r="O1936" s="616"/>
      <c r="P1936" s="615"/>
      <c r="Q1936" s="616"/>
      <c r="R1936" s="663"/>
      <c r="S1936" s="459"/>
      <c r="T1936" s="459"/>
      <c r="U1936" s="459"/>
      <c r="V1936" s="459"/>
      <c r="W1936" s="459"/>
      <c r="X1936" s="459"/>
      <c r="Y1936" s="666"/>
      <c r="Z1936" s="664"/>
      <c r="AA1936" s="665"/>
      <c r="AB1936" s="665"/>
      <c r="AC1936" s="665"/>
      <c r="AD1936" s="665"/>
      <c r="AE1936" s="665"/>
      <c r="AF1936" s="649"/>
      <c r="AG1936" s="650"/>
      <c r="AH1936" s="650"/>
      <c r="AI1936" s="667"/>
    </row>
    <row r="1937" spans="12:35" ht="45" customHeight="1" thickBot="1" x14ac:dyDescent="0.25">
      <c r="L1937" s="645"/>
      <c r="M1937" s="616"/>
      <c r="N1937" s="616"/>
      <c r="O1937" s="616"/>
      <c r="P1937" s="615"/>
      <c r="Q1937" s="616"/>
      <c r="R1937" s="663"/>
      <c r="S1937" s="459"/>
      <c r="T1937" s="459"/>
      <c r="U1937" s="459"/>
      <c r="V1937" s="459"/>
      <c r="W1937" s="459"/>
      <c r="X1937" s="459"/>
      <c r="Y1937" s="666"/>
      <c r="Z1937" s="664"/>
      <c r="AA1937" s="665"/>
      <c r="AB1937" s="665"/>
      <c r="AC1937" s="665"/>
      <c r="AD1937" s="665"/>
      <c r="AE1937" s="665"/>
      <c r="AF1937" s="649"/>
      <c r="AG1937" s="650"/>
      <c r="AH1937" s="650"/>
      <c r="AI1937" s="667"/>
    </row>
    <row r="1938" spans="12:35" ht="45" customHeight="1" thickBot="1" x14ac:dyDescent="0.25">
      <c r="L1938" s="645"/>
      <c r="M1938" s="616"/>
      <c r="N1938" s="616"/>
      <c r="O1938" s="616"/>
      <c r="P1938" s="615"/>
      <c r="Q1938" s="616"/>
      <c r="R1938" s="663"/>
      <c r="S1938" s="459"/>
      <c r="T1938" s="459"/>
      <c r="U1938" s="459"/>
      <c r="V1938" s="459"/>
      <c r="W1938" s="459"/>
      <c r="X1938" s="459"/>
      <c r="Y1938" s="666"/>
      <c r="Z1938" s="664"/>
      <c r="AA1938" s="665"/>
      <c r="AB1938" s="665"/>
      <c r="AC1938" s="665"/>
      <c r="AD1938" s="665"/>
      <c r="AE1938" s="665"/>
      <c r="AF1938" s="649"/>
      <c r="AG1938" s="650"/>
      <c r="AH1938" s="650"/>
      <c r="AI1938" s="667"/>
    </row>
    <row r="1939" spans="12:35" ht="45" customHeight="1" thickBot="1" x14ac:dyDescent="0.25">
      <c r="L1939" s="645"/>
      <c r="M1939" s="616"/>
      <c r="N1939" s="616"/>
      <c r="O1939" s="616"/>
      <c r="P1939" s="615"/>
      <c r="Q1939" s="616"/>
      <c r="R1939" s="663"/>
      <c r="S1939" s="459"/>
      <c r="T1939" s="459"/>
      <c r="U1939" s="459"/>
      <c r="V1939" s="459"/>
      <c r="W1939" s="459"/>
      <c r="X1939" s="459"/>
      <c r="Y1939" s="666"/>
      <c r="Z1939" s="664"/>
      <c r="AA1939" s="665"/>
      <c r="AB1939" s="665"/>
      <c r="AC1939" s="665"/>
      <c r="AD1939" s="665"/>
      <c r="AE1939" s="665"/>
      <c r="AF1939" s="649"/>
      <c r="AG1939" s="650"/>
      <c r="AH1939" s="650"/>
      <c r="AI1939" s="667"/>
    </row>
    <row r="1940" spans="12:35" ht="45" customHeight="1" thickBot="1" x14ac:dyDescent="0.25">
      <c r="L1940" s="645"/>
      <c r="M1940" s="616"/>
      <c r="N1940" s="616"/>
      <c r="O1940" s="616"/>
      <c r="P1940" s="615"/>
      <c r="Q1940" s="616"/>
      <c r="R1940" s="663"/>
      <c r="S1940" s="459"/>
      <c r="T1940" s="459"/>
      <c r="U1940" s="459"/>
      <c r="V1940" s="459"/>
      <c r="W1940" s="459"/>
      <c r="X1940" s="459"/>
      <c r="Y1940" s="666"/>
      <c r="Z1940" s="664"/>
      <c r="AA1940" s="665"/>
      <c r="AB1940" s="665"/>
      <c r="AC1940" s="665"/>
      <c r="AD1940" s="665"/>
      <c r="AE1940" s="665"/>
      <c r="AF1940" s="649"/>
      <c r="AG1940" s="650"/>
      <c r="AH1940" s="650"/>
      <c r="AI1940" s="667"/>
    </row>
    <row r="1941" spans="12:35" ht="45" customHeight="1" thickBot="1" x14ac:dyDescent="0.25">
      <c r="L1941" s="645"/>
      <c r="M1941" s="616"/>
      <c r="N1941" s="616"/>
      <c r="O1941" s="616"/>
      <c r="P1941" s="615"/>
      <c r="Q1941" s="616"/>
      <c r="R1941" s="663"/>
      <c r="S1941" s="459"/>
      <c r="T1941" s="459"/>
      <c r="U1941" s="459"/>
      <c r="V1941" s="459"/>
      <c r="W1941" s="459"/>
      <c r="X1941" s="459"/>
      <c r="Y1941" s="666"/>
      <c r="Z1941" s="664"/>
      <c r="AA1941" s="665"/>
      <c r="AB1941" s="665"/>
      <c r="AC1941" s="665"/>
      <c r="AD1941" s="665"/>
      <c r="AE1941" s="665"/>
      <c r="AF1941" s="649"/>
      <c r="AG1941" s="650"/>
      <c r="AH1941" s="650"/>
      <c r="AI1941" s="667"/>
    </row>
    <row r="1942" spans="12:35" ht="45" customHeight="1" thickBot="1" x14ac:dyDescent="0.25">
      <c r="L1942" s="645"/>
      <c r="M1942" s="616"/>
      <c r="N1942" s="616"/>
      <c r="O1942" s="616"/>
      <c r="P1942" s="615"/>
      <c r="Q1942" s="616"/>
      <c r="R1942" s="663"/>
      <c r="S1942" s="459"/>
      <c r="T1942" s="459"/>
      <c r="U1942" s="459"/>
      <c r="V1942" s="459"/>
      <c r="W1942" s="459"/>
      <c r="X1942" s="459"/>
      <c r="Y1942" s="666"/>
      <c r="Z1942" s="664"/>
      <c r="AA1942" s="665"/>
      <c r="AB1942" s="665"/>
      <c r="AC1942" s="665"/>
      <c r="AD1942" s="665"/>
      <c r="AE1942" s="665"/>
      <c r="AF1942" s="649"/>
      <c r="AG1942" s="650"/>
      <c r="AH1942" s="650"/>
      <c r="AI1942" s="667"/>
    </row>
    <row r="1943" spans="12:35" ht="45" customHeight="1" thickBot="1" x14ac:dyDescent="0.25">
      <c r="L1943" s="645"/>
      <c r="M1943" s="616"/>
      <c r="N1943" s="616"/>
      <c r="O1943" s="616"/>
      <c r="P1943" s="615"/>
      <c r="Q1943" s="616"/>
      <c r="R1943" s="663"/>
      <c r="S1943" s="459"/>
      <c r="T1943" s="459"/>
      <c r="U1943" s="459"/>
      <c r="V1943" s="459"/>
      <c r="W1943" s="459"/>
      <c r="X1943" s="459"/>
      <c r="Y1943" s="666"/>
      <c r="Z1943" s="664"/>
      <c r="AA1943" s="665"/>
      <c r="AB1943" s="665"/>
      <c r="AC1943" s="665"/>
      <c r="AD1943" s="665"/>
      <c r="AE1943" s="665"/>
      <c r="AF1943" s="649"/>
      <c r="AG1943" s="650"/>
      <c r="AH1943" s="650"/>
      <c r="AI1943" s="667"/>
    </row>
    <row r="1944" spans="12:35" ht="45" customHeight="1" thickBot="1" x14ac:dyDescent="0.25">
      <c r="L1944" s="645"/>
      <c r="M1944" s="616"/>
      <c r="N1944" s="616"/>
      <c r="O1944" s="616"/>
      <c r="P1944" s="615"/>
      <c r="Q1944" s="616"/>
      <c r="R1944" s="663"/>
      <c r="S1944" s="459"/>
      <c r="T1944" s="459"/>
      <c r="U1944" s="459"/>
      <c r="V1944" s="459"/>
      <c r="W1944" s="459"/>
      <c r="X1944" s="459"/>
      <c r="Y1944" s="666"/>
      <c r="Z1944" s="664"/>
      <c r="AA1944" s="665"/>
      <c r="AB1944" s="665"/>
      <c r="AC1944" s="665"/>
      <c r="AD1944" s="665"/>
      <c r="AE1944" s="665"/>
      <c r="AF1944" s="649"/>
      <c r="AG1944" s="650"/>
      <c r="AH1944" s="650"/>
      <c r="AI1944" s="667"/>
    </row>
    <row r="1945" spans="12:35" ht="45" customHeight="1" thickBot="1" x14ac:dyDescent="0.25">
      <c r="L1945" s="645"/>
      <c r="M1945" s="616"/>
      <c r="N1945" s="616"/>
      <c r="O1945" s="616"/>
      <c r="P1945" s="615"/>
      <c r="Q1945" s="616"/>
      <c r="R1945" s="663"/>
      <c r="S1945" s="459"/>
      <c r="T1945" s="459"/>
      <c r="U1945" s="459"/>
      <c r="V1945" s="459"/>
      <c r="W1945" s="459"/>
      <c r="X1945" s="459"/>
      <c r="Y1945" s="666"/>
      <c r="Z1945" s="664"/>
      <c r="AA1945" s="665"/>
      <c r="AB1945" s="665"/>
      <c r="AC1945" s="665"/>
      <c r="AD1945" s="665"/>
      <c r="AE1945" s="665"/>
      <c r="AF1945" s="649"/>
      <c r="AG1945" s="650"/>
      <c r="AH1945" s="650"/>
      <c r="AI1945" s="667"/>
    </row>
    <row r="1946" spans="12:35" ht="45" customHeight="1" thickBot="1" x14ac:dyDescent="0.25">
      <c r="L1946" s="645"/>
      <c r="M1946" s="616"/>
      <c r="N1946" s="616"/>
      <c r="O1946" s="616"/>
      <c r="P1946" s="615"/>
      <c r="Q1946" s="616"/>
      <c r="R1946" s="663"/>
      <c r="S1946" s="459"/>
      <c r="T1946" s="459"/>
      <c r="U1946" s="459"/>
      <c r="V1946" s="459"/>
      <c r="W1946" s="459"/>
      <c r="X1946" s="459"/>
      <c r="Y1946" s="666"/>
      <c r="Z1946" s="664"/>
      <c r="AA1946" s="665"/>
      <c r="AB1946" s="665"/>
      <c r="AC1946" s="665"/>
      <c r="AD1946" s="665"/>
      <c r="AE1946" s="665"/>
      <c r="AF1946" s="649"/>
      <c r="AG1946" s="650"/>
      <c r="AH1946" s="650"/>
      <c r="AI1946" s="667"/>
    </row>
    <row r="1947" spans="12:35" ht="45" customHeight="1" thickBot="1" x14ac:dyDescent="0.25">
      <c r="L1947" s="645"/>
      <c r="M1947" s="616"/>
      <c r="N1947" s="616"/>
      <c r="O1947" s="616"/>
      <c r="P1947" s="615"/>
      <c r="Q1947" s="616"/>
      <c r="R1947" s="663"/>
      <c r="S1947" s="459"/>
      <c r="T1947" s="459"/>
      <c r="U1947" s="459"/>
      <c r="V1947" s="459"/>
      <c r="W1947" s="459"/>
      <c r="X1947" s="459"/>
      <c r="Y1947" s="666"/>
      <c r="Z1947" s="664"/>
      <c r="AA1947" s="665"/>
      <c r="AB1947" s="665"/>
      <c r="AC1947" s="665"/>
      <c r="AD1947" s="665"/>
      <c r="AE1947" s="665"/>
      <c r="AF1947" s="649"/>
      <c r="AG1947" s="650"/>
      <c r="AH1947" s="650"/>
      <c r="AI1947" s="667"/>
    </row>
    <row r="1948" spans="12:35" ht="45" customHeight="1" thickBot="1" x14ac:dyDescent="0.25">
      <c r="L1948" s="645"/>
      <c r="M1948" s="616"/>
      <c r="N1948" s="616"/>
      <c r="O1948" s="616"/>
      <c r="P1948" s="615"/>
      <c r="Q1948" s="616"/>
      <c r="R1948" s="663"/>
      <c r="S1948" s="459"/>
      <c r="T1948" s="459"/>
      <c r="U1948" s="459"/>
      <c r="V1948" s="459"/>
      <c r="W1948" s="459"/>
      <c r="X1948" s="459"/>
      <c r="Y1948" s="666"/>
      <c r="Z1948" s="664"/>
      <c r="AA1948" s="665"/>
      <c r="AB1948" s="665"/>
      <c r="AC1948" s="665"/>
      <c r="AD1948" s="665"/>
      <c r="AE1948" s="665"/>
      <c r="AF1948" s="649"/>
      <c r="AG1948" s="650"/>
      <c r="AH1948" s="650"/>
      <c r="AI1948" s="667"/>
    </row>
    <row r="1949" spans="12:35" ht="45" customHeight="1" thickBot="1" x14ac:dyDescent="0.25">
      <c r="L1949" s="645"/>
      <c r="M1949" s="616"/>
      <c r="N1949" s="616"/>
      <c r="O1949" s="616"/>
      <c r="P1949" s="615"/>
      <c r="Q1949" s="616"/>
      <c r="R1949" s="663"/>
      <c r="S1949" s="459"/>
      <c r="T1949" s="459"/>
      <c r="U1949" s="459"/>
      <c r="V1949" s="459"/>
      <c r="W1949" s="459"/>
      <c r="X1949" s="459"/>
      <c r="Y1949" s="666"/>
      <c r="Z1949" s="664"/>
      <c r="AA1949" s="665"/>
      <c r="AB1949" s="665"/>
      <c r="AC1949" s="665"/>
      <c r="AD1949" s="665"/>
      <c r="AE1949" s="665"/>
      <c r="AF1949" s="649"/>
      <c r="AG1949" s="650"/>
      <c r="AH1949" s="650"/>
      <c r="AI1949" s="667"/>
    </row>
    <row r="1950" spans="12:35" ht="45" customHeight="1" thickBot="1" x14ac:dyDescent="0.25">
      <c r="L1950" s="645"/>
      <c r="M1950" s="616"/>
      <c r="N1950" s="616"/>
      <c r="O1950" s="616"/>
      <c r="P1950" s="615"/>
      <c r="Q1950" s="616"/>
      <c r="R1950" s="663"/>
      <c r="S1950" s="459"/>
      <c r="T1950" s="459"/>
      <c r="U1950" s="459"/>
      <c r="V1950" s="459"/>
      <c r="W1950" s="459"/>
      <c r="X1950" s="459"/>
      <c r="Y1950" s="666"/>
      <c r="Z1950" s="664"/>
      <c r="AA1950" s="665"/>
      <c r="AB1950" s="665"/>
      <c r="AC1950" s="665"/>
      <c r="AD1950" s="665"/>
      <c r="AE1950" s="665"/>
      <c r="AF1950" s="649"/>
      <c r="AG1950" s="650"/>
      <c r="AH1950" s="650"/>
      <c r="AI1950" s="667"/>
    </row>
    <row r="1951" spans="12:35" ht="45" customHeight="1" thickBot="1" x14ac:dyDescent="0.25">
      <c r="L1951" s="645"/>
      <c r="M1951" s="616"/>
      <c r="N1951" s="616"/>
      <c r="O1951" s="616"/>
      <c r="P1951" s="615"/>
      <c r="Q1951" s="616"/>
      <c r="R1951" s="663"/>
      <c r="S1951" s="459"/>
      <c r="T1951" s="459"/>
      <c r="U1951" s="459"/>
      <c r="V1951" s="459"/>
      <c r="W1951" s="459"/>
      <c r="X1951" s="459"/>
      <c r="Y1951" s="666"/>
      <c r="Z1951" s="664"/>
      <c r="AA1951" s="665"/>
      <c r="AB1951" s="665"/>
      <c r="AC1951" s="665"/>
      <c r="AD1951" s="665"/>
      <c r="AE1951" s="665"/>
      <c r="AF1951" s="649"/>
      <c r="AG1951" s="650"/>
      <c r="AH1951" s="650"/>
      <c r="AI1951" s="667"/>
    </row>
    <row r="1952" spans="12:35" ht="45" customHeight="1" thickBot="1" x14ac:dyDescent="0.25">
      <c r="L1952" s="645"/>
      <c r="M1952" s="616"/>
      <c r="N1952" s="616"/>
      <c r="O1952" s="616"/>
      <c r="P1952" s="615"/>
      <c r="Q1952" s="616"/>
      <c r="R1952" s="663"/>
      <c r="S1952" s="459"/>
      <c r="T1952" s="459"/>
      <c r="U1952" s="459"/>
      <c r="V1952" s="459"/>
      <c r="W1952" s="459"/>
      <c r="X1952" s="459"/>
      <c r="Y1952" s="666"/>
      <c r="Z1952" s="664"/>
      <c r="AA1952" s="665"/>
      <c r="AB1952" s="665"/>
      <c r="AC1952" s="665"/>
      <c r="AD1952" s="665"/>
      <c r="AE1952" s="665"/>
      <c r="AF1952" s="649"/>
      <c r="AG1952" s="650"/>
      <c r="AH1952" s="650"/>
      <c r="AI1952" s="667"/>
    </row>
    <row r="1953" spans="12:35" ht="45" customHeight="1" thickBot="1" x14ac:dyDescent="0.25">
      <c r="L1953" s="645"/>
      <c r="M1953" s="616"/>
      <c r="N1953" s="616"/>
      <c r="O1953" s="616"/>
      <c r="P1953" s="615"/>
      <c r="Q1953" s="616"/>
      <c r="R1953" s="663"/>
      <c r="S1953" s="459"/>
      <c r="T1953" s="459"/>
      <c r="U1953" s="459"/>
      <c r="V1953" s="459"/>
      <c r="W1953" s="459"/>
      <c r="X1953" s="459"/>
      <c r="Y1953" s="666"/>
      <c r="Z1953" s="664"/>
      <c r="AA1953" s="665"/>
      <c r="AB1953" s="665"/>
      <c r="AC1953" s="665"/>
      <c r="AD1953" s="665"/>
      <c r="AE1953" s="665"/>
      <c r="AF1953" s="649"/>
      <c r="AG1953" s="650"/>
      <c r="AH1953" s="650"/>
      <c r="AI1953" s="667"/>
    </row>
    <row r="1954" spans="12:35" ht="45" customHeight="1" thickBot="1" x14ac:dyDescent="0.25">
      <c r="L1954" s="645"/>
      <c r="M1954" s="616"/>
      <c r="N1954" s="616"/>
      <c r="O1954" s="616"/>
      <c r="P1954" s="615"/>
      <c r="Q1954" s="616"/>
      <c r="R1954" s="663"/>
      <c r="S1954" s="459"/>
      <c r="T1954" s="459"/>
      <c r="U1954" s="459"/>
      <c r="V1954" s="459"/>
      <c r="W1954" s="459"/>
      <c r="X1954" s="459"/>
      <c r="Y1954" s="666"/>
      <c r="Z1954" s="664"/>
      <c r="AA1954" s="665"/>
      <c r="AB1954" s="665"/>
      <c r="AC1954" s="665"/>
      <c r="AD1954" s="665"/>
      <c r="AE1954" s="665"/>
      <c r="AF1954" s="649"/>
      <c r="AG1954" s="650"/>
      <c r="AH1954" s="650"/>
      <c r="AI1954" s="667"/>
    </row>
    <row r="1955" spans="12:35" ht="45" customHeight="1" thickBot="1" x14ac:dyDescent="0.25">
      <c r="L1955" s="645"/>
      <c r="M1955" s="616"/>
      <c r="N1955" s="616"/>
      <c r="O1955" s="616"/>
      <c r="P1955" s="615"/>
      <c r="Q1955" s="616"/>
      <c r="R1955" s="663"/>
      <c r="S1955" s="459"/>
      <c r="T1955" s="459"/>
      <c r="U1955" s="459"/>
      <c r="V1955" s="459"/>
      <c r="W1955" s="459"/>
      <c r="X1955" s="459"/>
      <c r="Y1955" s="666"/>
      <c r="Z1955" s="664"/>
      <c r="AA1955" s="665"/>
      <c r="AB1955" s="665"/>
      <c r="AC1955" s="665"/>
      <c r="AD1955" s="665"/>
      <c r="AE1955" s="665"/>
      <c r="AF1955" s="649"/>
      <c r="AG1955" s="650"/>
      <c r="AH1955" s="650"/>
      <c r="AI1955" s="667"/>
    </row>
    <row r="1956" spans="12:35" ht="45" customHeight="1" thickBot="1" x14ac:dyDescent="0.25">
      <c r="L1956" s="645"/>
      <c r="M1956" s="616"/>
      <c r="N1956" s="616"/>
      <c r="O1956" s="616"/>
      <c r="P1956" s="615"/>
      <c r="Q1956" s="616"/>
      <c r="R1956" s="663"/>
      <c r="S1956" s="459"/>
      <c r="T1956" s="459"/>
      <c r="U1956" s="459"/>
      <c r="V1956" s="459"/>
      <c r="W1956" s="459"/>
      <c r="X1956" s="459"/>
      <c r="Y1956" s="666"/>
      <c r="Z1956" s="664"/>
      <c r="AA1956" s="665"/>
      <c r="AB1956" s="665"/>
      <c r="AC1956" s="665"/>
      <c r="AD1956" s="665"/>
      <c r="AE1956" s="665"/>
      <c r="AF1956" s="649"/>
      <c r="AG1956" s="650"/>
      <c r="AH1956" s="650"/>
      <c r="AI1956" s="667"/>
    </row>
    <row r="1957" spans="12:35" ht="45" customHeight="1" thickBot="1" x14ac:dyDescent="0.25">
      <c r="L1957" s="645"/>
      <c r="M1957" s="616"/>
      <c r="N1957" s="616"/>
      <c r="O1957" s="616"/>
      <c r="P1957" s="615"/>
      <c r="Q1957" s="616"/>
      <c r="R1957" s="663"/>
      <c r="S1957" s="459"/>
      <c r="T1957" s="459"/>
      <c r="U1957" s="459"/>
      <c r="V1957" s="459"/>
      <c r="W1957" s="459"/>
      <c r="X1957" s="459"/>
      <c r="Y1957" s="666"/>
      <c r="Z1957" s="664"/>
      <c r="AA1957" s="665"/>
      <c r="AB1957" s="665"/>
      <c r="AC1957" s="665"/>
      <c r="AD1957" s="665"/>
      <c r="AE1957" s="665"/>
      <c r="AF1957" s="649"/>
      <c r="AG1957" s="650"/>
      <c r="AH1957" s="650"/>
      <c r="AI1957" s="667"/>
    </row>
    <row r="1958" spans="12:35" ht="45" customHeight="1" thickBot="1" x14ac:dyDescent="0.25">
      <c r="L1958" s="645"/>
      <c r="M1958" s="616"/>
      <c r="N1958" s="616"/>
      <c r="O1958" s="616"/>
      <c r="P1958" s="615"/>
      <c r="Q1958" s="616"/>
      <c r="R1958" s="663"/>
      <c r="S1958" s="459"/>
      <c r="T1958" s="459"/>
      <c r="U1958" s="459"/>
      <c r="V1958" s="459"/>
      <c r="W1958" s="459"/>
      <c r="X1958" s="459"/>
      <c r="Y1958" s="666"/>
      <c r="Z1958" s="664"/>
      <c r="AA1958" s="665"/>
      <c r="AB1958" s="665"/>
      <c r="AC1958" s="665"/>
      <c r="AD1958" s="665"/>
      <c r="AE1958" s="665"/>
      <c r="AF1958" s="649"/>
      <c r="AG1958" s="650"/>
      <c r="AH1958" s="650"/>
      <c r="AI1958" s="667"/>
    </row>
    <row r="1959" spans="12:35" ht="45" customHeight="1" thickBot="1" x14ac:dyDescent="0.25">
      <c r="L1959" s="645"/>
      <c r="M1959" s="616"/>
      <c r="N1959" s="616"/>
      <c r="O1959" s="616"/>
      <c r="P1959" s="615"/>
      <c r="Q1959" s="616"/>
      <c r="R1959" s="663"/>
      <c r="S1959" s="459"/>
      <c r="T1959" s="459"/>
      <c r="U1959" s="459"/>
      <c r="V1959" s="459"/>
      <c r="W1959" s="459"/>
      <c r="X1959" s="459"/>
      <c r="Y1959" s="666"/>
      <c r="Z1959" s="664"/>
      <c r="AA1959" s="665"/>
      <c r="AB1959" s="665"/>
      <c r="AC1959" s="665"/>
      <c r="AD1959" s="665"/>
      <c r="AE1959" s="665"/>
      <c r="AF1959" s="649"/>
      <c r="AG1959" s="650"/>
      <c r="AH1959" s="650"/>
      <c r="AI1959" s="667"/>
    </row>
    <row r="1960" spans="12:35" ht="45" customHeight="1" thickBot="1" x14ac:dyDescent="0.25">
      <c r="L1960" s="645"/>
      <c r="M1960" s="616"/>
      <c r="N1960" s="616"/>
      <c r="O1960" s="616"/>
      <c r="P1960" s="615"/>
      <c r="Q1960" s="616"/>
      <c r="R1960" s="663"/>
      <c r="S1960" s="459"/>
      <c r="T1960" s="459"/>
      <c r="U1960" s="459"/>
      <c r="V1960" s="459"/>
      <c r="W1960" s="459"/>
      <c r="X1960" s="459"/>
      <c r="Y1960" s="666"/>
      <c r="Z1960" s="664"/>
      <c r="AA1960" s="665"/>
      <c r="AB1960" s="665"/>
      <c r="AC1960" s="665"/>
      <c r="AD1960" s="665"/>
      <c r="AE1960" s="665"/>
      <c r="AF1960" s="649"/>
      <c r="AG1960" s="650"/>
      <c r="AH1960" s="650"/>
      <c r="AI1960" s="667"/>
    </row>
    <row r="1961" spans="12:35" ht="45" customHeight="1" thickBot="1" x14ac:dyDescent="0.25">
      <c r="L1961" s="645"/>
      <c r="M1961" s="616"/>
      <c r="N1961" s="616"/>
      <c r="O1961" s="616"/>
      <c r="P1961" s="615"/>
      <c r="Q1961" s="616"/>
      <c r="R1961" s="663"/>
      <c r="S1961" s="459"/>
      <c r="T1961" s="459"/>
      <c r="U1961" s="459"/>
      <c r="V1961" s="459"/>
      <c r="W1961" s="459"/>
      <c r="X1961" s="459"/>
      <c r="Y1961" s="666"/>
      <c r="Z1961" s="664"/>
      <c r="AA1961" s="665"/>
      <c r="AB1961" s="665"/>
      <c r="AC1961" s="665"/>
      <c r="AD1961" s="665"/>
      <c r="AE1961" s="665"/>
      <c r="AF1961" s="649"/>
      <c r="AG1961" s="650"/>
      <c r="AH1961" s="650"/>
      <c r="AI1961" s="667"/>
    </row>
    <row r="1962" spans="12:35" ht="45" customHeight="1" thickBot="1" x14ac:dyDescent="0.25">
      <c r="L1962" s="645"/>
      <c r="M1962" s="616"/>
      <c r="N1962" s="616"/>
      <c r="O1962" s="616"/>
      <c r="P1962" s="615"/>
      <c r="Q1962" s="616"/>
      <c r="R1962" s="663"/>
      <c r="S1962" s="459"/>
      <c r="T1962" s="459"/>
      <c r="U1962" s="459"/>
      <c r="V1962" s="459"/>
      <c r="W1962" s="459"/>
      <c r="X1962" s="459"/>
      <c r="Y1962" s="666"/>
      <c r="Z1962" s="664"/>
      <c r="AA1962" s="665"/>
      <c r="AB1962" s="665"/>
      <c r="AC1962" s="665"/>
      <c r="AD1962" s="665"/>
      <c r="AE1962" s="665"/>
      <c r="AF1962" s="649"/>
      <c r="AG1962" s="650"/>
      <c r="AH1962" s="650"/>
      <c r="AI1962" s="667"/>
    </row>
    <row r="1963" spans="12:35" ht="45" customHeight="1" thickBot="1" x14ac:dyDescent="0.25">
      <c r="L1963" s="645"/>
      <c r="M1963" s="616"/>
      <c r="N1963" s="616"/>
      <c r="O1963" s="616"/>
      <c r="P1963" s="615"/>
      <c r="Q1963" s="616"/>
      <c r="R1963" s="663"/>
      <c r="S1963" s="459"/>
      <c r="T1963" s="459"/>
      <c r="U1963" s="459"/>
      <c r="V1963" s="459"/>
      <c r="W1963" s="459"/>
      <c r="X1963" s="459"/>
      <c r="Y1963" s="666"/>
      <c r="Z1963" s="664"/>
      <c r="AA1963" s="665"/>
      <c r="AB1963" s="665"/>
      <c r="AC1963" s="665"/>
      <c r="AD1963" s="665"/>
      <c r="AE1963" s="665"/>
      <c r="AF1963" s="649"/>
      <c r="AG1963" s="650"/>
      <c r="AH1963" s="650"/>
      <c r="AI1963" s="667"/>
    </row>
    <row r="1964" spans="12:35" ht="45" customHeight="1" thickBot="1" x14ac:dyDescent="0.25">
      <c r="L1964" s="645"/>
      <c r="M1964" s="616"/>
      <c r="N1964" s="616"/>
      <c r="O1964" s="616"/>
      <c r="P1964" s="615"/>
      <c r="Q1964" s="616"/>
      <c r="R1964" s="663"/>
      <c r="S1964" s="459"/>
      <c r="T1964" s="459"/>
      <c r="U1964" s="459"/>
      <c r="V1964" s="459"/>
      <c r="W1964" s="459"/>
      <c r="X1964" s="459"/>
      <c r="Y1964" s="666"/>
      <c r="Z1964" s="664"/>
      <c r="AA1964" s="665"/>
      <c r="AB1964" s="665"/>
      <c r="AC1964" s="665"/>
      <c r="AD1964" s="665"/>
      <c r="AE1964" s="665"/>
      <c r="AF1964" s="649"/>
      <c r="AG1964" s="650"/>
      <c r="AH1964" s="650"/>
      <c r="AI1964" s="667"/>
    </row>
    <row r="1965" spans="12:35" ht="45" customHeight="1" thickBot="1" x14ac:dyDescent="0.25">
      <c r="L1965" s="645"/>
      <c r="M1965" s="616"/>
      <c r="N1965" s="616"/>
      <c r="O1965" s="616"/>
      <c r="P1965" s="615"/>
      <c r="Q1965" s="616"/>
      <c r="R1965" s="663"/>
      <c r="S1965" s="459"/>
      <c r="T1965" s="459"/>
      <c r="U1965" s="459"/>
      <c r="V1965" s="459"/>
      <c r="W1965" s="459"/>
      <c r="X1965" s="459"/>
      <c r="Y1965" s="666"/>
      <c r="Z1965" s="664"/>
      <c r="AA1965" s="665"/>
      <c r="AB1965" s="665"/>
      <c r="AC1965" s="665"/>
      <c r="AD1965" s="665"/>
      <c r="AE1965" s="665"/>
      <c r="AF1965" s="649"/>
      <c r="AG1965" s="650"/>
      <c r="AH1965" s="650"/>
      <c r="AI1965" s="667"/>
    </row>
    <row r="1966" spans="12:35" ht="45" customHeight="1" thickBot="1" x14ac:dyDescent="0.25">
      <c r="L1966" s="645"/>
      <c r="M1966" s="616"/>
      <c r="N1966" s="616"/>
      <c r="O1966" s="616"/>
      <c r="P1966" s="615"/>
      <c r="Q1966" s="616"/>
      <c r="R1966" s="663"/>
      <c r="S1966" s="459"/>
      <c r="T1966" s="459"/>
      <c r="U1966" s="459"/>
      <c r="V1966" s="459"/>
      <c r="W1966" s="459"/>
      <c r="X1966" s="459"/>
      <c r="Y1966" s="666"/>
      <c r="Z1966" s="664"/>
      <c r="AA1966" s="665"/>
      <c r="AB1966" s="665"/>
      <c r="AC1966" s="665"/>
      <c r="AD1966" s="665"/>
      <c r="AE1966" s="665"/>
      <c r="AF1966" s="649"/>
      <c r="AG1966" s="650"/>
      <c r="AH1966" s="650"/>
      <c r="AI1966" s="667"/>
    </row>
    <row r="1967" spans="12:35" ht="45" customHeight="1" thickBot="1" x14ac:dyDescent="0.25">
      <c r="L1967" s="645"/>
      <c r="M1967" s="616"/>
      <c r="N1967" s="616"/>
      <c r="O1967" s="616"/>
      <c r="P1967" s="615"/>
      <c r="Q1967" s="616"/>
      <c r="R1967" s="663"/>
      <c r="S1967" s="459"/>
      <c r="T1967" s="459"/>
      <c r="U1967" s="459"/>
      <c r="V1967" s="459"/>
      <c r="W1967" s="459"/>
      <c r="X1967" s="459"/>
      <c r="Y1967" s="666"/>
      <c r="Z1967" s="664"/>
      <c r="AA1967" s="665"/>
      <c r="AB1967" s="665"/>
      <c r="AC1967" s="665"/>
      <c r="AD1967" s="665"/>
      <c r="AE1967" s="665"/>
      <c r="AF1967" s="649"/>
      <c r="AG1967" s="650"/>
      <c r="AH1967" s="650"/>
      <c r="AI1967" s="667"/>
    </row>
    <row r="1968" spans="12:35" ht="45" customHeight="1" thickBot="1" x14ac:dyDescent="0.25">
      <c r="L1968" s="645"/>
      <c r="M1968" s="616"/>
      <c r="N1968" s="616"/>
      <c r="O1968" s="616"/>
      <c r="P1968" s="615"/>
      <c r="Q1968" s="616"/>
      <c r="R1968" s="663"/>
      <c r="S1968" s="459"/>
      <c r="T1968" s="459"/>
      <c r="U1968" s="459"/>
      <c r="V1968" s="459"/>
      <c r="W1968" s="459"/>
      <c r="X1968" s="459"/>
      <c r="Y1968" s="666"/>
      <c r="Z1968" s="664"/>
      <c r="AA1968" s="665"/>
      <c r="AB1968" s="665"/>
      <c r="AC1968" s="665"/>
      <c r="AD1968" s="665"/>
      <c r="AE1968" s="665"/>
      <c r="AF1968" s="649"/>
      <c r="AG1968" s="650"/>
      <c r="AH1968" s="650"/>
      <c r="AI1968" s="667"/>
    </row>
    <row r="1969" spans="12:35" ht="45" customHeight="1" thickBot="1" x14ac:dyDescent="0.25">
      <c r="L1969" s="645"/>
      <c r="M1969" s="616"/>
      <c r="N1969" s="616"/>
      <c r="O1969" s="616"/>
      <c r="P1969" s="615"/>
      <c r="Q1969" s="616"/>
      <c r="R1969" s="663"/>
      <c r="S1969" s="459"/>
      <c r="T1969" s="459"/>
      <c r="U1969" s="459"/>
      <c r="V1969" s="459"/>
      <c r="W1969" s="459"/>
      <c r="X1969" s="459"/>
      <c r="Y1969" s="666"/>
      <c r="Z1969" s="664"/>
      <c r="AA1969" s="665"/>
      <c r="AB1969" s="665"/>
      <c r="AC1969" s="665"/>
      <c r="AD1969" s="665"/>
      <c r="AE1969" s="665"/>
      <c r="AF1969" s="649"/>
      <c r="AG1969" s="650"/>
      <c r="AH1969" s="650"/>
      <c r="AI1969" s="667"/>
    </row>
    <row r="1970" spans="12:35" ht="45" customHeight="1" thickBot="1" x14ac:dyDescent="0.25">
      <c r="L1970" s="645"/>
      <c r="M1970" s="616"/>
      <c r="N1970" s="616"/>
      <c r="O1970" s="616"/>
      <c r="P1970" s="615"/>
      <c r="Q1970" s="616"/>
      <c r="R1970" s="663"/>
      <c r="S1970" s="459"/>
      <c r="T1970" s="459"/>
      <c r="U1970" s="459"/>
      <c r="V1970" s="459"/>
      <c r="W1970" s="459"/>
      <c r="X1970" s="459"/>
      <c r="Y1970" s="666"/>
      <c r="Z1970" s="664"/>
      <c r="AA1970" s="665"/>
      <c r="AB1970" s="665"/>
      <c r="AC1970" s="665"/>
      <c r="AD1970" s="665"/>
      <c r="AE1970" s="665"/>
      <c r="AF1970" s="649"/>
      <c r="AG1970" s="650"/>
      <c r="AH1970" s="650"/>
      <c r="AI1970" s="667"/>
    </row>
    <row r="1971" spans="12:35" ht="45" customHeight="1" thickBot="1" x14ac:dyDescent="0.25">
      <c r="L1971" s="645"/>
      <c r="M1971" s="616"/>
      <c r="N1971" s="616"/>
      <c r="O1971" s="616"/>
      <c r="P1971" s="615"/>
      <c r="Q1971" s="616"/>
      <c r="R1971" s="663"/>
      <c r="S1971" s="459"/>
      <c r="T1971" s="459"/>
      <c r="U1971" s="459"/>
      <c r="V1971" s="459"/>
      <c r="W1971" s="459"/>
      <c r="X1971" s="459"/>
      <c r="Y1971" s="666"/>
      <c r="Z1971" s="664"/>
      <c r="AA1971" s="665"/>
      <c r="AB1971" s="665"/>
      <c r="AC1971" s="665"/>
      <c r="AD1971" s="665"/>
      <c r="AE1971" s="665"/>
      <c r="AF1971" s="649"/>
      <c r="AG1971" s="650"/>
      <c r="AH1971" s="650"/>
      <c r="AI1971" s="667"/>
    </row>
    <row r="1972" spans="12:35" ht="45" customHeight="1" thickBot="1" x14ac:dyDescent="0.25">
      <c r="L1972" s="645"/>
      <c r="M1972" s="616"/>
      <c r="N1972" s="616"/>
      <c r="O1972" s="616"/>
      <c r="P1972" s="615"/>
      <c r="Q1972" s="616"/>
      <c r="R1972" s="663"/>
      <c r="S1972" s="459"/>
      <c r="T1972" s="459"/>
      <c r="U1972" s="459"/>
      <c r="V1972" s="459"/>
      <c r="W1972" s="459"/>
      <c r="X1972" s="459"/>
      <c r="Y1972" s="666"/>
      <c r="Z1972" s="664"/>
      <c r="AA1972" s="665"/>
      <c r="AB1972" s="665"/>
      <c r="AC1972" s="665"/>
      <c r="AD1972" s="665"/>
      <c r="AE1972" s="665"/>
      <c r="AF1972" s="649"/>
      <c r="AG1972" s="650"/>
      <c r="AH1972" s="650"/>
      <c r="AI1972" s="667"/>
    </row>
    <row r="1973" spans="12:35" ht="45" customHeight="1" thickBot="1" x14ac:dyDescent="0.25">
      <c r="L1973" s="645"/>
      <c r="M1973" s="616"/>
      <c r="N1973" s="616"/>
      <c r="O1973" s="616"/>
      <c r="P1973" s="615"/>
      <c r="Q1973" s="616"/>
      <c r="R1973" s="663"/>
      <c r="S1973" s="459"/>
      <c r="T1973" s="459"/>
      <c r="U1973" s="459"/>
      <c r="V1973" s="459"/>
      <c r="W1973" s="459"/>
      <c r="X1973" s="459"/>
      <c r="Y1973" s="666"/>
      <c r="Z1973" s="664"/>
      <c r="AA1973" s="665"/>
      <c r="AB1973" s="665"/>
      <c r="AC1973" s="665"/>
      <c r="AD1973" s="665"/>
      <c r="AE1973" s="665"/>
      <c r="AF1973" s="649"/>
      <c r="AG1973" s="650"/>
      <c r="AH1973" s="650"/>
      <c r="AI1973" s="667"/>
    </row>
    <row r="1974" spans="12:35" ht="45" customHeight="1" thickBot="1" x14ac:dyDescent="0.25">
      <c r="L1974" s="645"/>
      <c r="M1974" s="616"/>
      <c r="N1974" s="616"/>
      <c r="O1974" s="616"/>
      <c r="P1974" s="615"/>
      <c r="Q1974" s="616"/>
      <c r="R1974" s="663"/>
      <c r="S1974" s="459"/>
      <c r="T1974" s="459"/>
      <c r="U1974" s="459"/>
      <c r="V1974" s="459"/>
      <c r="W1974" s="459"/>
      <c r="X1974" s="459"/>
      <c r="Y1974" s="666"/>
      <c r="Z1974" s="664"/>
      <c r="AA1974" s="665"/>
      <c r="AB1974" s="665"/>
      <c r="AC1974" s="665"/>
      <c r="AD1974" s="665"/>
      <c r="AE1974" s="665"/>
      <c r="AF1974" s="649"/>
      <c r="AG1974" s="650"/>
      <c r="AH1974" s="650"/>
      <c r="AI1974" s="667"/>
    </row>
    <row r="1975" spans="12:35" ht="45" customHeight="1" thickBot="1" x14ac:dyDescent="0.25">
      <c r="L1975" s="645"/>
      <c r="M1975" s="616"/>
      <c r="N1975" s="616"/>
      <c r="O1975" s="616"/>
      <c r="P1975" s="615"/>
      <c r="Q1975" s="616"/>
      <c r="R1975" s="663"/>
      <c r="S1975" s="459"/>
      <c r="T1975" s="459"/>
      <c r="U1975" s="459"/>
      <c r="V1975" s="459"/>
      <c r="W1975" s="459"/>
      <c r="X1975" s="459"/>
      <c r="Y1975" s="666"/>
      <c r="Z1975" s="664"/>
      <c r="AA1975" s="665"/>
      <c r="AB1975" s="665"/>
      <c r="AC1975" s="665"/>
      <c r="AD1975" s="665"/>
      <c r="AE1975" s="665"/>
      <c r="AF1975" s="649"/>
      <c r="AG1975" s="650"/>
      <c r="AH1975" s="650"/>
      <c r="AI1975" s="667"/>
    </row>
    <row r="1976" spans="12:35" ht="45" customHeight="1" thickBot="1" x14ac:dyDescent="0.25">
      <c r="L1976" s="645"/>
      <c r="M1976" s="616"/>
      <c r="N1976" s="616"/>
      <c r="O1976" s="616"/>
      <c r="P1976" s="615"/>
      <c r="Q1976" s="616"/>
      <c r="R1976" s="663"/>
      <c r="S1976" s="459"/>
      <c r="T1976" s="459"/>
      <c r="U1976" s="459"/>
      <c r="V1976" s="459"/>
      <c r="W1976" s="459"/>
      <c r="X1976" s="459"/>
      <c r="Y1976" s="666"/>
      <c r="Z1976" s="664"/>
      <c r="AA1976" s="665"/>
      <c r="AB1976" s="665"/>
      <c r="AC1976" s="665"/>
      <c r="AD1976" s="665"/>
      <c r="AE1976" s="665"/>
      <c r="AF1976" s="649"/>
      <c r="AG1976" s="650"/>
      <c r="AH1976" s="650"/>
      <c r="AI1976" s="667"/>
    </row>
    <row r="1977" spans="12:35" ht="45" customHeight="1" thickBot="1" x14ac:dyDescent="0.25">
      <c r="L1977" s="645"/>
      <c r="M1977" s="616"/>
      <c r="N1977" s="616"/>
      <c r="O1977" s="616"/>
      <c r="P1977" s="615"/>
      <c r="Q1977" s="616"/>
      <c r="R1977" s="663"/>
      <c r="S1977" s="459"/>
      <c r="T1977" s="459"/>
      <c r="U1977" s="459"/>
      <c r="V1977" s="459"/>
      <c r="W1977" s="459"/>
      <c r="X1977" s="459"/>
      <c r="Y1977" s="666"/>
      <c r="Z1977" s="664"/>
      <c r="AA1977" s="665"/>
      <c r="AB1977" s="665"/>
      <c r="AC1977" s="665"/>
      <c r="AD1977" s="665"/>
      <c r="AE1977" s="665"/>
      <c r="AF1977" s="649"/>
      <c r="AG1977" s="650"/>
      <c r="AH1977" s="650"/>
      <c r="AI1977" s="667"/>
    </row>
    <row r="1978" spans="12:35" ht="45" customHeight="1" thickBot="1" x14ac:dyDescent="0.25">
      <c r="L1978" s="645"/>
      <c r="M1978" s="616"/>
      <c r="N1978" s="616"/>
      <c r="O1978" s="616"/>
      <c r="P1978" s="615"/>
      <c r="Q1978" s="616"/>
      <c r="R1978" s="663"/>
      <c r="S1978" s="459"/>
      <c r="T1978" s="459"/>
      <c r="U1978" s="459"/>
      <c r="V1978" s="459"/>
      <c r="W1978" s="459"/>
      <c r="X1978" s="459"/>
      <c r="Y1978" s="666"/>
      <c r="Z1978" s="664"/>
      <c r="AA1978" s="665"/>
      <c r="AB1978" s="665"/>
      <c r="AC1978" s="665"/>
      <c r="AD1978" s="665"/>
      <c r="AE1978" s="665"/>
      <c r="AF1978" s="649"/>
      <c r="AG1978" s="650"/>
      <c r="AH1978" s="650"/>
      <c r="AI1978" s="667"/>
    </row>
    <row r="1979" spans="12:35" ht="45" customHeight="1" thickBot="1" x14ac:dyDescent="0.25">
      <c r="L1979" s="645"/>
      <c r="M1979" s="616"/>
      <c r="N1979" s="616"/>
      <c r="O1979" s="616"/>
      <c r="P1979" s="615"/>
      <c r="Q1979" s="616"/>
      <c r="R1979" s="663"/>
      <c r="S1979" s="459"/>
      <c r="T1979" s="459"/>
      <c r="U1979" s="459"/>
      <c r="V1979" s="459"/>
      <c r="W1979" s="459"/>
      <c r="X1979" s="459"/>
      <c r="Y1979" s="666"/>
      <c r="Z1979" s="664"/>
      <c r="AA1979" s="665"/>
      <c r="AB1979" s="665"/>
      <c r="AC1979" s="665"/>
      <c r="AD1979" s="665"/>
      <c r="AE1979" s="665"/>
      <c r="AF1979" s="649"/>
      <c r="AG1979" s="650"/>
      <c r="AH1979" s="650"/>
      <c r="AI1979" s="667"/>
    </row>
    <row r="1980" spans="12:35" ht="45" customHeight="1" thickBot="1" x14ac:dyDescent="0.25">
      <c r="L1980" s="645"/>
      <c r="M1980" s="616"/>
      <c r="N1980" s="616"/>
      <c r="O1980" s="616"/>
      <c r="P1980" s="615"/>
      <c r="Q1980" s="616"/>
      <c r="R1980" s="663"/>
      <c r="S1980" s="459"/>
      <c r="T1980" s="459"/>
      <c r="U1980" s="459"/>
      <c r="V1980" s="459"/>
      <c r="W1980" s="459"/>
      <c r="X1980" s="459"/>
      <c r="Y1980" s="666"/>
      <c r="Z1980" s="664"/>
      <c r="AA1980" s="665"/>
      <c r="AB1980" s="665"/>
      <c r="AC1980" s="665"/>
      <c r="AD1980" s="665"/>
      <c r="AE1980" s="665"/>
      <c r="AF1980" s="649"/>
      <c r="AG1980" s="650"/>
      <c r="AH1980" s="650"/>
      <c r="AI1980" s="667"/>
    </row>
    <row r="1981" spans="12:35" ht="45" customHeight="1" thickBot="1" x14ac:dyDescent="0.25">
      <c r="L1981" s="645"/>
      <c r="M1981" s="616"/>
      <c r="N1981" s="616"/>
      <c r="O1981" s="616"/>
      <c r="P1981" s="615"/>
      <c r="Q1981" s="616"/>
      <c r="R1981" s="663"/>
      <c r="S1981" s="459"/>
      <c r="T1981" s="459"/>
      <c r="U1981" s="459"/>
      <c r="V1981" s="459"/>
      <c r="W1981" s="459"/>
      <c r="X1981" s="459"/>
      <c r="Y1981" s="666"/>
      <c r="Z1981" s="664"/>
      <c r="AA1981" s="665"/>
      <c r="AB1981" s="665"/>
      <c r="AC1981" s="665"/>
      <c r="AD1981" s="665"/>
      <c r="AE1981" s="665"/>
      <c r="AF1981" s="649"/>
      <c r="AG1981" s="650"/>
      <c r="AH1981" s="650"/>
      <c r="AI1981" s="667"/>
    </row>
    <row r="1982" spans="12:35" ht="45" customHeight="1" thickBot="1" x14ac:dyDescent="0.25">
      <c r="L1982" s="645"/>
      <c r="M1982" s="616"/>
      <c r="N1982" s="616"/>
      <c r="O1982" s="616"/>
      <c r="P1982" s="615"/>
      <c r="Q1982" s="616"/>
      <c r="R1982" s="663"/>
      <c r="S1982" s="459"/>
      <c r="T1982" s="459"/>
      <c r="U1982" s="459"/>
      <c r="V1982" s="459"/>
      <c r="W1982" s="459"/>
      <c r="X1982" s="459"/>
      <c r="Y1982" s="666"/>
      <c r="Z1982" s="664"/>
      <c r="AA1982" s="665"/>
      <c r="AB1982" s="665"/>
      <c r="AC1982" s="665"/>
      <c r="AD1982" s="665"/>
      <c r="AE1982" s="665"/>
      <c r="AF1982" s="649"/>
      <c r="AG1982" s="650"/>
      <c r="AH1982" s="650"/>
      <c r="AI1982" s="667"/>
    </row>
    <row r="1983" spans="12:35" ht="45" customHeight="1" thickBot="1" x14ac:dyDescent="0.25">
      <c r="L1983" s="645"/>
      <c r="M1983" s="616"/>
      <c r="N1983" s="616"/>
      <c r="O1983" s="616"/>
      <c r="P1983" s="615"/>
      <c r="Q1983" s="616"/>
      <c r="R1983" s="663"/>
      <c r="S1983" s="459"/>
      <c r="T1983" s="459"/>
      <c r="U1983" s="459"/>
      <c r="V1983" s="459"/>
      <c r="W1983" s="459"/>
      <c r="X1983" s="459"/>
      <c r="Y1983" s="666"/>
      <c r="Z1983" s="664"/>
      <c r="AA1983" s="665"/>
      <c r="AB1983" s="665"/>
      <c r="AC1983" s="665"/>
      <c r="AD1983" s="665"/>
      <c r="AE1983" s="665"/>
      <c r="AF1983" s="649"/>
      <c r="AG1983" s="650"/>
      <c r="AH1983" s="650"/>
      <c r="AI1983" s="667"/>
    </row>
    <row r="1984" spans="12:35" ht="45" customHeight="1" thickBot="1" x14ac:dyDescent="0.25">
      <c r="L1984" s="645"/>
      <c r="M1984" s="616"/>
      <c r="N1984" s="616"/>
      <c r="O1984" s="616"/>
      <c r="P1984" s="615"/>
      <c r="Q1984" s="616"/>
      <c r="R1984" s="663"/>
      <c r="S1984" s="459"/>
      <c r="T1984" s="459"/>
      <c r="U1984" s="459"/>
      <c r="V1984" s="459"/>
      <c r="W1984" s="459"/>
      <c r="X1984" s="459"/>
      <c r="Y1984" s="666"/>
      <c r="Z1984" s="664"/>
      <c r="AA1984" s="665"/>
      <c r="AB1984" s="665"/>
      <c r="AC1984" s="665"/>
      <c r="AD1984" s="665"/>
      <c r="AE1984" s="665"/>
      <c r="AF1984" s="649"/>
      <c r="AG1984" s="650"/>
      <c r="AH1984" s="650"/>
      <c r="AI1984" s="667"/>
    </row>
    <row r="1985" spans="12:35" ht="45" customHeight="1" thickBot="1" x14ac:dyDescent="0.25">
      <c r="L1985" s="645"/>
      <c r="M1985" s="616"/>
      <c r="N1985" s="616"/>
      <c r="O1985" s="616"/>
      <c r="P1985" s="615"/>
      <c r="Q1985" s="616"/>
      <c r="R1985" s="663"/>
      <c r="S1985" s="459"/>
      <c r="T1985" s="459"/>
      <c r="U1985" s="459"/>
      <c r="V1985" s="459"/>
      <c r="W1985" s="459"/>
      <c r="X1985" s="459"/>
      <c r="Y1985" s="666"/>
      <c r="Z1985" s="664"/>
      <c r="AA1985" s="665"/>
      <c r="AB1985" s="665"/>
      <c r="AC1985" s="665"/>
      <c r="AD1985" s="665"/>
      <c r="AE1985" s="665"/>
      <c r="AF1985" s="649"/>
      <c r="AG1985" s="650"/>
      <c r="AH1985" s="650"/>
      <c r="AI1985" s="667"/>
    </row>
    <row r="1986" spans="12:35" ht="45" customHeight="1" thickBot="1" x14ac:dyDescent="0.25">
      <c r="L1986" s="645"/>
      <c r="M1986" s="616"/>
      <c r="N1986" s="616"/>
      <c r="O1986" s="616"/>
      <c r="P1986" s="615"/>
      <c r="Q1986" s="616"/>
      <c r="R1986" s="663"/>
      <c r="S1986" s="459"/>
      <c r="T1986" s="459"/>
      <c r="U1986" s="459"/>
      <c r="V1986" s="459"/>
      <c r="W1986" s="459"/>
      <c r="X1986" s="459"/>
      <c r="Y1986" s="666"/>
      <c r="Z1986" s="664"/>
      <c r="AA1986" s="665"/>
      <c r="AB1986" s="665"/>
      <c r="AC1986" s="665"/>
      <c r="AD1986" s="665"/>
      <c r="AE1986" s="665"/>
      <c r="AF1986" s="649"/>
      <c r="AG1986" s="650"/>
      <c r="AH1986" s="650"/>
      <c r="AI1986" s="667"/>
    </row>
    <row r="1987" spans="12:35" ht="45" customHeight="1" thickBot="1" x14ac:dyDescent="0.25">
      <c r="L1987" s="645"/>
      <c r="M1987" s="616"/>
      <c r="N1987" s="616"/>
      <c r="O1987" s="616"/>
      <c r="P1987" s="615"/>
      <c r="Q1987" s="616"/>
      <c r="R1987" s="663"/>
      <c r="S1987" s="459"/>
      <c r="T1987" s="459"/>
      <c r="U1987" s="459"/>
      <c r="V1987" s="459"/>
      <c r="W1987" s="459"/>
      <c r="X1987" s="459"/>
      <c r="Y1987" s="666"/>
      <c r="Z1987" s="664"/>
      <c r="AA1987" s="665"/>
      <c r="AB1987" s="665"/>
      <c r="AC1987" s="665"/>
      <c r="AD1987" s="665"/>
      <c r="AE1987" s="665"/>
      <c r="AF1987" s="649"/>
      <c r="AG1987" s="650"/>
      <c r="AH1987" s="650"/>
      <c r="AI1987" s="667"/>
    </row>
    <row r="1988" spans="12:35" ht="45" customHeight="1" thickBot="1" x14ac:dyDescent="0.25">
      <c r="L1988" s="645"/>
      <c r="M1988" s="616"/>
      <c r="N1988" s="616"/>
      <c r="O1988" s="616"/>
      <c r="P1988" s="615"/>
      <c r="Q1988" s="616"/>
      <c r="R1988" s="663"/>
      <c r="S1988" s="459"/>
      <c r="T1988" s="459"/>
      <c r="U1988" s="459"/>
      <c r="V1988" s="459"/>
      <c r="W1988" s="459"/>
      <c r="X1988" s="459"/>
      <c r="Y1988" s="666"/>
      <c r="Z1988" s="664"/>
      <c r="AA1988" s="665"/>
      <c r="AB1988" s="665"/>
      <c r="AC1988" s="665"/>
      <c r="AD1988" s="665"/>
      <c r="AE1988" s="665"/>
      <c r="AF1988" s="649"/>
      <c r="AG1988" s="650"/>
      <c r="AH1988" s="650"/>
      <c r="AI1988" s="667"/>
    </row>
    <row r="1989" spans="12:35" ht="45" customHeight="1" thickBot="1" x14ac:dyDescent="0.25">
      <c r="L1989" s="645"/>
      <c r="M1989" s="616"/>
      <c r="N1989" s="616"/>
      <c r="O1989" s="616"/>
      <c r="P1989" s="615"/>
      <c r="Q1989" s="616"/>
      <c r="R1989" s="663"/>
      <c r="S1989" s="459"/>
      <c r="T1989" s="459"/>
      <c r="U1989" s="459"/>
      <c r="V1989" s="459"/>
      <c r="W1989" s="459"/>
      <c r="X1989" s="459"/>
      <c r="Y1989" s="666"/>
      <c r="Z1989" s="664"/>
      <c r="AA1989" s="665"/>
      <c r="AB1989" s="665"/>
      <c r="AC1989" s="665"/>
      <c r="AD1989" s="665"/>
      <c r="AE1989" s="665"/>
      <c r="AF1989" s="649"/>
      <c r="AG1989" s="650"/>
      <c r="AH1989" s="650"/>
      <c r="AI1989" s="667"/>
    </row>
    <row r="1990" spans="12:35" ht="45" customHeight="1" thickBot="1" x14ac:dyDescent="0.25">
      <c r="L1990" s="645"/>
      <c r="M1990" s="616"/>
      <c r="N1990" s="616"/>
      <c r="O1990" s="616"/>
      <c r="P1990" s="615"/>
      <c r="Q1990" s="616"/>
      <c r="R1990" s="663"/>
      <c r="S1990" s="459"/>
      <c r="T1990" s="459"/>
      <c r="U1990" s="459"/>
      <c r="V1990" s="459"/>
      <c r="W1990" s="459"/>
      <c r="X1990" s="459"/>
      <c r="Y1990" s="666"/>
      <c r="Z1990" s="664"/>
      <c r="AA1990" s="665"/>
      <c r="AB1990" s="665"/>
      <c r="AC1990" s="665"/>
      <c r="AD1990" s="665"/>
      <c r="AE1990" s="665"/>
      <c r="AF1990" s="649"/>
      <c r="AG1990" s="650"/>
      <c r="AH1990" s="650"/>
      <c r="AI1990" s="667"/>
    </row>
    <row r="1991" spans="12:35" ht="45" customHeight="1" thickBot="1" x14ac:dyDescent="0.25">
      <c r="L1991" s="645"/>
      <c r="M1991" s="616"/>
      <c r="N1991" s="616"/>
      <c r="O1991" s="616"/>
      <c r="P1991" s="615"/>
      <c r="Q1991" s="616"/>
      <c r="R1991" s="663"/>
      <c r="S1991" s="459"/>
      <c r="T1991" s="459"/>
      <c r="U1991" s="459"/>
      <c r="V1991" s="459"/>
      <c r="W1991" s="459"/>
      <c r="X1991" s="459"/>
      <c r="Y1991" s="666"/>
      <c r="Z1991" s="664"/>
      <c r="AA1991" s="665"/>
      <c r="AB1991" s="665"/>
      <c r="AC1991" s="665"/>
      <c r="AD1991" s="665"/>
      <c r="AE1991" s="665"/>
      <c r="AF1991" s="649"/>
      <c r="AG1991" s="650"/>
      <c r="AH1991" s="650"/>
      <c r="AI1991" s="667"/>
    </row>
    <row r="1992" spans="12:35" ht="45" customHeight="1" thickBot="1" x14ac:dyDescent="0.25">
      <c r="L1992" s="645"/>
      <c r="M1992" s="616"/>
      <c r="N1992" s="616"/>
      <c r="O1992" s="616"/>
      <c r="P1992" s="615"/>
      <c r="Q1992" s="616"/>
      <c r="R1992" s="663"/>
      <c r="S1992" s="459"/>
      <c r="T1992" s="459"/>
      <c r="U1992" s="459"/>
      <c r="V1992" s="459"/>
      <c r="W1992" s="459"/>
      <c r="X1992" s="459"/>
      <c r="Y1992" s="666"/>
      <c r="Z1992" s="664"/>
      <c r="AA1992" s="665"/>
      <c r="AB1992" s="665"/>
      <c r="AC1992" s="665"/>
      <c r="AD1992" s="665"/>
      <c r="AE1992" s="665"/>
      <c r="AF1992" s="649"/>
      <c r="AG1992" s="650"/>
      <c r="AH1992" s="650"/>
      <c r="AI1992" s="667"/>
    </row>
    <row r="1993" spans="12:35" ht="45" customHeight="1" thickBot="1" x14ac:dyDescent="0.25">
      <c r="L1993" s="645"/>
      <c r="M1993" s="616"/>
      <c r="N1993" s="616"/>
      <c r="O1993" s="616"/>
      <c r="P1993" s="615"/>
      <c r="Q1993" s="616"/>
      <c r="R1993" s="663"/>
      <c r="S1993" s="459"/>
      <c r="T1993" s="459"/>
      <c r="U1993" s="459"/>
      <c r="V1993" s="459"/>
      <c r="W1993" s="459"/>
      <c r="X1993" s="459"/>
      <c r="Y1993" s="666"/>
      <c r="Z1993" s="664"/>
      <c r="AA1993" s="665"/>
      <c r="AB1993" s="665"/>
      <c r="AC1993" s="665"/>
      <c r="AD1993" s="665"/>
      <c r="AE1993" s="665"/>
      <c r="AF1993" s="649"/>
      <c r="AG1993" s="650"/>
      <c r="AH1993" s="650"/>
      <c r="AI1993" s="667"/>
    </row>
    <row r="1994" spans="12:35" ht="45" customHeight="1" thickBot="1" x14ac:dyDescent="0.25">
      <c r="L1994" s="645"/>
      <c r="M1994" s="616"/>
      <c r="N1994" s="616"/>
      <c r="O1994" s="616"/>
      <c r="P1994" s="615"/>
      <c r="Q1994" s="616"/>
      <c r="R1994" s="663"/>
      <c r="S1994" s="459"/>
      <c r="T1994" s="459"/>
      <c r="U1994" s="459"/>
      <c r="V1994" s="459"/>
      <c r="W1994" s="459"/>
      <c r="X1994" s="459"/>
      <c r="Y1994" s="666"/>
      <c r="Z1994" s="664"/>
      <c r="AA1994" s="665"/>
      <c r="AB1994" s="665"/>
      <c r="AC1994" s="665"/>
      <c r="AD1994" s="665"/>
      <c r="AE1994" s="665"/>
      <c r="AF1994" s="649"/>
      <c r="AG1994" s="650"/>
      <c r="AH1994" s="650"/>
      <c r="AI1994" s="667"/>
    </row>
    <row r="1995" spans="12:35" ht="45" customHeight="1" thickBot="1" x14ac:dyDescent="0.25">
      <c r="L1995" s="645"/>
      <c r="M1995" s="616"/>
      <c r="N1995" s="616"/>
      <c r="O1995" s="616"/>
      <c r="P1995" s="615"/>
      <c r="Q1995" s="616"/>
      <c r="R1995" s="663"/>
      <c r="S1995" s="459"/>
      <c r="T1995" s="459"/>
      <c r="U1995" s="459"/>
      <c r="V1995" s="459"/>
      <c r="W1995" s="459"/>
      <c r="X1995" s="459"/>
      <c r="Y1995" s="666"/>
      <c r="Z1995" s="664"/>
      <c r="AA1995" s="665"/>
      <c r="AB1995" s="665"/>
      <c r="AC1995" s="665"/>
      <c r="AD1995" s="665"/>
      <c r="AE1995" s="665"/>
      <c r="AF1995" s="649"/>
      <c r="AG1995" s="650"/>
      <c r="AH1995" s="650"/>
      <c r="AI1995" s="667"/>
    </row>
    <row r="1996" spans="12:35" ht="45" customHeight="1" thickBot="1" x14ac:dyDescent="0.25">
      <c r="L1996" s="645"/>
      <c r="M1996" s="616"/>
      <c r="N1996" s="616"/>
      <c r="O1996" s="616"/>
      <c r="P1996" s="615"/>
      <c r="Q1996" s="616"/>
      <c r="R1996" s="663"/>
      <c r="S1996" s="459"/>
      <c r="T1996" s="459"/>
      <c r="U1996" s="459"/>
      <c r="V1996" s="459"/>
      <c r="W1996" s="459"/>
      <c r="X1996" s="459"/>
      <c r="Y1996" s="666"/>
      <c r="Z1996" s="664"/>
      <c r="AA1996" s="665"/>
      <c r="AB1996" s="665"/>
      <c r="AC1996" s="665"/>
      <c r="AD1996" s="665"/>
      <c r="AE1996" s="665"/>
      <c r="AF1996" s="649"/>
      <c r="AG1996" s="650"/>
      <c r="AH1996" s="650"/>
      <c r="AI1996" s="667"/>
    </row>
    <row r="1997" spans="12:35" ht="45" customHeight="1" thickBot="1" x14ac:dyDescent="0.25">
      <c r="L1997" s="645"/>
      <c r="M1997" s="616"/>
      <c r="N1997" s="616"/>
      <c r="O1997" s="616"/>
      <c r="P1997" s="615"/>
      <c r="Q1997" s="616"/>
      <c r="R1997" s="663"/>
      <c r="S1997" s="459"/>
      <c r="T1997" s="459"/>
      <c r="U1997" s="459"/>
      <c r="V1997" s="459"/>
      <c r="W1997" s="459"/>
      <c r="X1997" s="459"/>
      <c r="Y1997" s="666"/>
      <c r="Z1997" s="664"/>
      <c r="AA1997" s="665"/>
      <c r="AB1997" s="665"/>
      <c r="AC1997" s="665"/>
      <c r="AD1997" s="665"/>
      <c r="AE1997" s="665"/>
      <c r="AF1997" s="649"/>
      <c r="AG1997" s="650"/>
      <c r="AH1997" s="650"/>
      <c r="AI1997" s="667"/>
    </row>
    <row r="1998" spans="12:35" ht="45" customHeight="1" thickBot="1" x14ac:dyDescent="0.25">
      <c r="L1998" s="645"/>
      <c r="M1998" s="616"/>
      <c r="N1998" s="616"/>
      <c r="O1998" s="616"/>
      <c r="P1998" s="615"/>
      <c r="Q1998" s="616"/>
      <c r="R1998" s="663"/>
      <c r="S1998" s="459"/>
      <c r="T1998" s="459"/>
      <c r="U1998" s="459"/>
      <c r="V1998" s="459"/>
      <c r="W1998" s="459"/>
      <c r="X1998" s="459"/>
      <c r="Y1998" s="666"/>
      <c r="Z1998" s="664"/>
      <c r="AA1998" s="665"/>
      <c r="AB1998" s="665"/>
      <c r="AC1998" s="665"/>
      <c r="AD1998" s="665"/>
      <c r="AE1998" s="665"/>
      <c r="AF1998" s="649"/>
      <c r="AG1998" s="650"/>
      <c r="AH1998" s="650"/>
      <c r="AI1998" s="667"/>
    </row>
    <row r="1999" spans="12:35" ht="45" customHeight="1" thickBot="1" x14ac:dyDescent="0.25">
      <c r="L1999" s="645"/>
      <c r="M1999" s="616"/>
      <c r="N1999" s="616"/>
      <c r="O1999" s="616"/>
      <c r="P1999" s="615"/>
      <c r="Q1999" s="616"/>
      <c r="R1999" s="663"/>
      <c r="S1999" s="459"/>
      <c r="T1999" s="459"/>
      <c r="U1999" s="459"/>
      <c r="V1999" s="459"/>
      <c r="W1999" s="459"/>
      <c r="X1999" s="459"/>
      <c r="Y1999" s="666"/>
      <c r="Z1999" s="664"/>
      <c r="AA1999" s="665"/>
      <c r="AB1999" s="665"/>
      <c r="AC1999" s="665"/>
      <c r="AD1999" s="665"/>
      <c r="AE1999" s="665"/>
      <c r="AF1999" s="649"/>
      <c r="AG1999" s="650"/>
      <c r="AH1999" s="650"/>
      <c r="AI1999" s="667"/>
    </row>
    <row r="2000" spans="12:35" ht="45" customHeight="1" thickBot="1" x14ac:dyDescent="0.25">
      <c r="L2000" s="645"/>
      <c r="M2000" s="616"/>
      <c r="N2000" s="616"/>
      <c r="O2000" s="616"/>
      <c r="P2000" s="615"/>
      <c r="Q2000" s="616"/>
      <c r="R2000" s="663"/>
      <c r="S2000" s="459"/>
      <c r="T2000" s="459"/>
      <c r="U2000" s="459"/>
      <c r="V2000" s="459"/>
      <c r="W2000" s="459"/>
      <c r="X2000" s="459"/>
      <c r="Y2000" s="666"/>
      <c r="Z2000" s="664"/>
      <c r="AA2000" s="665"/>
      <c r="AB2000" s="665"/>
      <c r="AC2000" s="665"/>
      <c r="AD2000" s="665"/>
      <c r="AE2000" s="665"/>
      <c r="AF2000" s="649"/>
      <c r="AG2000" s="650"/>
      <c r="AH2000" s="650"/>
      <c r="AI2000" s="667"/>
    </row>
    <row r="2001" spans="12:35" ht="45" customHeight="1" thickBot="1" x14ac:dyDescent="0.25">
      <c r="L2001" s="645"/>
      <c r="M2001" s="616"/>
      <c r="N2001" s="616"/>
      <c r="O2001" s="616"/>
      <c r="P2001" s="615"/>
      <c r="Q2001" s="616"/>
      <c r="R2001" s="663"/>
      <c r="S2001" s="459"/>
      <c r="T2001" s="459"/>
      <c r="U2001" s="459"/>
      <c r="V2001" s="459"/>
      <c r="W2001" s="459"/>
      <c r="X2001" s="459"/>
      <c r="Y2001" s="666"/>
      <c r="Z2001" s="664"/>
      <c r="AA2001" s="665"/>
      <c r="AB2001" s="665"/>
      <c r="AC2001" s="665"/>
      <c r="AD2001" s="665"/>
      <c r="AE2001" s="665"/>
      <c r="AF2001" s="649"/>
      <c r="AG2001" s="650"/>
      <c r="AH2001" s="650"/>
      <c r="AI2001" s="667"/>
    </row>
    <row r="2002" spans="12:35" ht="45" customHeight="1" thickBot="1" x14ac:dyDescent="0.25">
      <c r="L2002" s="645"/>
      <c r="M2002" s="616"/>
      <c r="N2002" s="616"/>
      <c r="O2002" s="616"/>
      <c r="P2002" s="615"/>
      <c r="Q2002" s="616"/>
      <c r="R2002" s="663"/>
      <c r="S2002" s="459"/>
      <c r="T2002" s="459"/>
      <c r="U2002" s="459"/>
      <c r="V2002" s="459"/>
      <c r="W2002" s="459"/>
      <c r="X2002" s="459"/>
      <c r="Y2002" s="666"/>
      <c r="Z2002" s="664"/>
      <c r="AA2002" s="665"/>
      <c r="AB2002" s="665"/>
      <c r="AC2002" s="665"/>
      <c r="AD2002" s="665"/>
      <c r="AE2002" s="665"/>
      <c r="AF2002" s="649"/>
      <c r="AG2002" s="650"/>
      <c r="AH2002" s="650"/>
      <c r="AI2002" s="667"/>
    </row>
    <row r="2003" spans="12:35" ht="45" customHeight="1" thickBot="1" x14ac:dyDescent="0.25">
      <c r="L2003" s="645"/>
      <c r="M2003" s="616"/>
      <c r="N2003" s="616"/>
      <c r="O2003" s="616"/>
      <c r="P2003" s="615"/>
      <c r="Q2003" s="616"/>
      <c r="R2003" s="663"/>
      <c r="S2003" s="459"/>
      <c r="T2003" s="459"/>
      <c r="U2003" s="459"/>
      <c r="V2003" s="459"/>
      <c r="W2003" s="459"/>
      <c r="X2003" s="459"/>
      <c r="Y2003" s="666"/>
      <c r="Z2003" s="664"/>
      <c r="AA2003" s="665"/>
      <c r="AB2003" s="665"/>
      <c r="AC2003" s="665"/>
      <c r="AD2003" s="665"/>
      <c r="AE2003" s="665"/>
      <c r="AF2003" s="649"/>
      <c r="AG2003" s="650"/>
      <c r="AH2003" s="650"/>
      <c r="AI2003" s="667"/>
    </row>
    <row r="2004" spans="12:35" ht="45" customHeight="1" thickBot="1" x14ac:dyDescent="0.25">
      <c r="L2004" s="645"/>
      <c r="M2004" s="616"/>
      <c r="N2004" s="616"/>
      <c r="O2004" s="616"/>
      <c r="P2004" s="615"/>
      <c r="Q2004" s="616"/>
      <c r="R2004" s="663"/>
      <c r="S2004" s="459"/>
      <c r="T2004" s="459"/>
      <c r="U2004" s="459"/>
      <c r="V2004" s="459"/>
      <c r="W2004" s="459"/>
      <c r="X2004" s="459"/>
      <c r="Y2004" s="666"/>
      <c r="Z2004" s="664"/>
      <c r="AA2004" s="665"/>
      <c r="AB2004" s="665"/>
      <c r="AC2004" s="665"/>
      <c r="AD2004" s="665"/>
      <c r="AE2004" s="665"/>
      <c r="AF2004" s="649"/>
      <c r="AG2004" s="650"/>
      <c r="AH2004" s="650"/>
      <c r="AI2004" s="667"/>
    </row>
    <row r="2005" spans="12:35" ht="45" customHeight="1" thickBot="1" x14ac:dyDescent="0.25">
      <c r="L2005" s="645"/>
      <c r="M2005" s="616"/>
      <c r="N2005" s="616"/>
      <c r="O2005" s="616"/>
      <c r="P2005" s="615"/>
      <c r="Q2005" s="616"/>
      <c r="R2005" s="663"/>
      <c r="S2005" s="459"/>
      <c r="T2005" s="459"/>
      <c r="U2005" s="459"/>
      <c r="V2005" s="459"/>
      <c r="W2005" s="459"/>
      <c r="X2005" s="459"/>
      <c r="Y2005" s="666"/>
      <c r="Z2005" s="664"/>
      <c r="AA2005" s="665"/>
      <c r="AB2005" s="665"/>
      <c r="AC2005" s="665"/>
      <c r="AD2005" s="665"/>
      <c r="AE2005" s="665"/>
      <c r="AF2005" s="649"/>
      <c r="AG2005" s="650"/>
      <c r="AH2005" s="650"/>
      <c r="AI2005" s="667"/>
    </row>
    <row r="2006" spans="12:35" ht="45" customHeight="1" thickBot="1" x14ac:dyDescent="0.25">
      <c r="L2006" s="645"/>
      <c r="M2006" s="616"/>
      <c r="N2006" s="616"/>
      <c r="O2006" s="616"/>
      <c r="P2006" s="615"/>
      <c r="Q2006" s="616"/>
      <c r="R2006" s="663"/>
      <c r="S2006" s="459"/>
      <c r="T2006" s="459"/>
      <c r="U2006" s="459"/>
      <c r="V2006" s="459"/>
      <c r="W2006" s="459"/>
      <c r="X2006" s="459"/>
      <c r="Y2006" s="666"/>
      <c r="Z2006" s="664"/>
      <c r="AA2006" s="665"/>
      <c r="AB2006" s="665"/>
      <c r="AC2006" s="665"/>
      <c r="AD2006" s="665"/>
      <c r="AE2006" s="665"/>
      <c r="AF2006" s="649"/>
      <c r="AG2006" s="650"/>
      <c r="AH2006" s="650"/>
      <c r="AI2006" s="667"/>
    </row>
    <row r="2007" spans="12:35" ht="45" customHeight="1" thickBot="1" x14ac:dyDescent="0.25">
      <c r="L2007" s="645"/>
      <c r="M2007" s="616"/>
      <c r="N2007" s="616"/>
      <c r="O2007" s="616"/>
      <c r="P2007" s="615"/>
      <c r="Q2007" s="616"/>
      <c r="R2007" s="663"/>
      <c r="S2007" s="459"/>
      <c r="T2007" s="459"/>
      <c r="U2007" s="459"/>
      <c r="V2007" s="459"/>
      <c r="W2007" s="459"/>
      <c r="X2007" s="459"/>
      <c r="Y2007" s="666"/>
      <c r="Z2007" s="664"/>
      <c r="AA2007" s="665"/>
      <c r="AB2007" s="665"/>
      <c r="AC2007" s="665"/>
      <c r="AD2007" s="665"/>
      <c r="AE2007" s="665"/>
      <c r="AF2007" s="649"/>
      <c r="AG2007" s="650"/>
      <c r="AH2007" s="650"/>
      <c r="AI2007" s="667"/>
    </row>
    <row r="2008" spans="12:35" ht="45" customHeight="1" thickBot="1" x14ac:dyDescent="0.25">
      <c r="L2008" s="645"/>
      <c r="M2008" s="616"/>
      <c r="N2008" s="616"/>
      <c r="O2008" s="616"/>
      <c r="P2008" s="615"/>
      <c r="Q2008" s="616"/>
      <c r="R2008" s="663"/>
      <c r="S2008" s="459"/>
      <c r="T2008" s="459"/>
      <c r="U2008" s="459"/>
      <c r="V2008" s="459"/>
      <c r="W2008" s="459"/>
      <c r="X2008" s="459"/>
      <c r="Y2008" s="666"/>
      <c r="Z2008" s="664"/>
      <c r="AA2008" s="665"/>
      <c r="AB2008" s="665"/>
      <c r="AC2008" s="665"/>
      <c r="AD2008" s="665"/>
      <c r="AE2008" s="665"/>
      <c r="AF2008" s="649"/>
      <c r="AG2008" s="650"/>
      <c r="AH2008" s="650"/>
      <c r="AI2008" s="667"/>
    </row>
    <row r="2009" spans="12:35" ht="45" customHeight="1" thickBot="1" x14ac:dyDescent="0.25">
      <c r="L2009" s="645"/>
      <c r="M2009" s="616"/>
      <c r="N2009" s="616"/>
      <c r="O2009" s="616"/>
      <c r="P2009" s="615"/>
      <c r="Q2009" s="616"/>
      <c r="R2009" s="663"/>
      <c r="S2009" s="459"/>
      <c r="T2009" s="459"/>
      <c r="U2009" s="459"/>
      <c r="V2009" s="459"/>
      <c r="W2009" s="459"/>
      <c r="X2009" s="459"/>
      <c r="Y2009" s="666"/>
      <c r="Z2009" s="664"/>
      <c r="AA2009" s="665"/>
      <c r="AB2009" s="665"/>
      <c r="AC2009" s="665"/>
      <c r="AD2009" s="665"/>
      <c r="AE2009" s="665"/>
      <c r="AF2009" s="649"/>
      <c r="AG2009" s="650"/>
      <c r="AH2009" s="650"/>
      <c r="AI2009" s="667"/>
    </row>
    <row r="2010" spans="12:35" ht="45" customHeight="1" thickBot="1" x14ac:dyDescent="0.25">
      <c r="L2010" s="645"/>
      <c r="M2010" s="616"/>
      <c r="N2010" s="616"/>
      <c r="O2010" s="616"/>
      <c r="P2010" s="615"/>
      <c r="Q2010" s="616"/>
      <c r="R2010" s="663"/>
      <c r="S2010" s="459"/>
      <c r="T2010" s="459"/>
      <c r="U2010" s="459"/>
      <c r="V2010" s="459"/>
      <c r="W2010" s="459"/>
      <c r="X2010" s="459"/>
      <c r="Y2010" s="666"/>
      <c r="Z2010" s="664"/>
      <c r="AA2010" s="665"/>
      <c r="AB2010" s="665"/>
      <c r="AC2010" s="665"/>
      <c r="AD2010" s="665"/>
      <c r="AE2010" s="665"/>
      <c r="AF2010" s="649"/>
      <c r="AG2010" s="650"/>
      <c r="AH2010" s="650"/>
      <c r="AI2010" s="667"/>
    </row>
    <row r="2011" spans="12:35" ht="45" customHeight="1" thickBot="1" x14ac:dyDescent="0.25">
      <c r="L2011" s="645"/>
      <c r="M2011" s="616"/>
      <c r="N2011" s="616"/>
      <c r="O2011" s="616"/>
      <c r="P2011" s="615"/>
      <c r="Q2011" s="616"/>
      <c r="R2011" s="663"/>
      <c r="S2011" s="459"/>
      <c r="T2011" s="459"/>
      <c r="U2011" s="459"/>
      <c r="V2011" s="459"/>
      <c r="W2011" s="459"/>
      <c r="X2011" s="459"/>
      <c r="Y2011" s="666"/>
      <c r="Z2011" s="664"/>
      <c r="AA2011" s="665"/>
      <c r="AB2011" s="665"/>
      <c r="AC2011" s="665"/>
      <c r="AD2011" s="665"/>
      <c r="AE2011" s="665"/>
      <c r="AF2011" s="649"/>
      <c r="AG2011" s="650"/>
      <c r="AH2011" s="650"/>
      <c r="AI2011" s="667"/>
    </row>
    <row r="2012" spans="12:35" ht="45" customHeight="1" thickBot="1" x14ac:dyDescent="0.25">
      <c r="L2012" s="645"/>
      <c r="M2012" s="616"/>
      <c r="N2012" s="616"/>
      <c r="O2012" s="616"/>
      <c r="P2012" s="615"/>
      <c r="Q2012" s="616"/>
      <c r="R2012" s="663"/>
      <c r="S2012" s="459"/>
      <c r="T2012" s="459"/>
      <c r="U2012" s="459"/>
      <c r="V2012" s="459"/>
      <c r="W2012" s="459"/>
      <c r="X2012" s="459"/>
      <c r="Y2012" s="666"/>
      <c r="Z2012" s="664"/>
      <c r="AA2012" s="665"/>
      <c r="AB2012" s="665"/>
      <c r="AC2012" s="665"/>
      <c r="AD2012" s="665"/>
      <c r="AE2012" s="665"/>
      <c r="AF2012" s="649"/>
      <c r="AG2012" s="650"/>
      <c r="AH2012" s="650"/>
      <c r="AI2012" s="667"/>
    </row>
    <row r="2013" spans="12:35" ht="45" customHeight="1" thickBot="1" x14ac:dyDescent="0.25">
      <c r="L2013" s="645"/>
      <c r="M2013" s="616"/>
      <c r="N2013" s="616"/>
      <c r="O2013" s="616"/>
      <c r="P2013" s="615"/>
      <c r="Q2013" s="616"/>
      <c r="R2013" s="663"/>
      <c r="S2013" s="459"/>
      <c r="T2013" s="459"/>
      <c r="U2013" s="459"/>
      <c r="V2013" s="459"/>
      <c r="W2013" s="459"/>
      <c r="X2013" s="459"/>
      <c r="Y2013" s="666"/>
      <c r="Z2013" s="664"/>
      <c r="AA2013" s="665"/>
      <c r="AB2013" s="665"/>
      <c r="AC2013" s="665"/>
      <c r="AD2013" s="665"/>
      <c r="AE2013" s="665"/>
      <c r="AF2013" s="649"/>
      <c r="AG2013" s="650"/>
      <c r="AH2013" s="650"/>
      <c r="AI2013" s="667"/>
    </row>
    <row r="2014" spans="12:35" ht="45" customHeight="1" thickBot="1" x14ac:dyDescent="0.25">
      <c r="L2014" s="645"/>
      <c r="M2014" s="616"/>
      <c r="N2014" s="616"/>
      <c r="O2014" s="616"/>
      <c r="P2014" s="615"/>
      <c r="Q2014" s="616"/>
      <c r="R2014" s="663"/>
      <c r="S2014" s="459"/>
      <c r="T2014" s="459"/>
      <c r="U2014" s="459"/>
      <c r="V2014" s="459"/>
      <c r="W2014" s="459"/>
      <c r="X2014" s="459"/>
      <c r="Y2014" s="666"/>
      <c r="Z2014" s="664"/>
      <c r="AA2014" s="665"/>
      <c r="AB2014" s="665"/>
      <c r="AC2014" s="665"/>
      <c r="AD2014" s="665"/>
      <c r="AE2014" s="665"/>
      <c r="AF2014" s="649"/>
      <c r="AG2014" s="650"/>
      <c r="AH2014" s="650"/>
      <c r="AI2014" s="667"/>
    </row>
    <row r="2015" spans="12:35" ht="45" customHeight="1" thickBot="1" x14ac:dyDescent="0.25">
      <c r="L2015" s="645"/>
      <c r="M2015" s="616"/>
      <c r="N2015" s="616"/>
      <c r="O2015" s="616"/>
      <c r="P2015" s="615"/>
      <c r="Q2015" s="616"/>
      <c r="R2015" s="663"/>
      <c r="S2015" s="459"/>
      <c r="T2015" s="459"/>
      <c r="U2015" s="459"/>
      <c r="V2015" s="459"/>
      <c r="W2015" s="459"/>
      <c r="X2015" s="459"/>
      <c r="Y2015" s="666"/>
      <c r="Z2015" s="664"/>
      <c r="AA2015" s="665"/>
      <c r="AB2015" s="665"/>
      <c r="AC2015" s="665"/>
      <c r="AD2015" s="665"/>
      <c r="AE2015" s="665"/>
      <c r="AF2015" s="649"/>
      <c r="AG2015" s="650"/>
      <c r="AH2015" s="650"/>
      <c r="AI2015" s="667"/>
    </row>
    <row r="2016" spans="12:35" ht="45" customHeight="1" thickBot="1" x14ac:dyDescent="0.25">
      <c r="L2016" s="645"/>
      <c r="M2016" s="616"/>
      <c r="N2016" s="616"/>
      <c r="O2016" s="616"/>
      <c r="P2016" s="615"/>
      <c r="Q2016" s="616"/>
      <c r="R2016" s="663"/>
      <c r="S2016" s="459"/>
      <c r="T2016" s="459"/>
      <c r="U2016" s="459"/>
      <c r="V2016" s="459"/>
      <c r="W2016" s="459"/>
      <c r="X2016" s="459"/>
      <c r="Y2016" s="666"/>
      <c r="Z2016" s="664"/>
      <c r="AA2016" s="665"/>
      <c r="AB2016" s="665"/>
      <c r="AC2016" s="665"/>
      <c r="AD2016" s="665"/>
      <c r="AE2016" s="665"/>
      <c r="AF2016" s="649"/>
      <c r="AG2016" s="650"/>
      <c r="AH2016" s="650"/>
      <c r="AI2016" s="667"/>
    </row>
    <row r="2017" spans="12:35" ht="45" customHeight="1" thickBot="1" x14ac:dyDescent="0.25">
      <c r="L2017" s="645"/>
      <c r="M2017" s="616"/>
      <c r="N2017" s="616"/>
      <c r="O2017" s="616"/>
      <c r="P2017" s="615"/>
      <c r="Q2017" s="616"/>
      <c r="R2017" s="663"/>
      <c r="S2017" s="459"/>
      <c r="T2017" s="459"/>
      <c r="U2017" s="459"/>
      <c r="V2017" s="459"/>
      <c r="W2017" s="459"/>
      <c r="X2017" s="459"/>
      <c r="Y2017" s="666"/>
      <c r="Z2017" s="664"/>
      <c r="AA2017" s="665"/>
      <c r="AB2017" s="665"/>
      <c r="AC2017" s="665"/>
      <c r="AD2017" s="665"/>
      <c r="AE2017" s="665"/>
      <c r="AF2017" s="649"/>
      <c r="AG2017" s="650"/>
      <c r="AH2017" s="650"/>
      <c r="AI2017" s="667"/>
    </row>
    <row r="2018" spans="12:35" ht="45" customHeight="1" thickBot="1" x14ac:dyDescent="0.25">
      <c r="L2018" s="645"/>
      <c r="M2018" s="616"/>
      <c r="N2018" s="616"/>
      <c r="O2018" s="616"/>
      <c r="P2018" s="615"/>
      <c r="Q2018" s="616"/>
      <c r="R2018" s="663"/>
      <c r="S2018" s="459"/>
      <c r="T2018" s="459"/>
      <c r="U2018" s="459"/>
      <c r="V2018" s="459"/>
      <c r="W2018" s="459"/>
      <c r="X2018" s="459"/>
      <c r="Y2018" s="666"/>
      <c r="Z2018" s="664"/>
      <c r="AA2018" s="665"/>
      <c r="AB2018" s="665"/>
      <c r="AC2018" s="665"/>
      <c r="AD2018" s="665"/>
      <c r="AE2018" s="665"/>
      <c r="AF2018" s="649"/>
      <c r="AG2018" s="650"/>
      <c r="AH2018" s="650"/>
      <c r="AI2018" s="667"/>
    </row>
    <row r="2019" spans="12:35" ht="45" customHeight="1" thickBot="1" x14ac:dyDescent="0.25">
      <c r="L2019" s="645"/>
      <c r="M2019" s="616"/>
      <c r="N2019" s="616"/>
      <c r="O2019" s="616"/>
      <c r="P2019" s="615"/>
      <c r="Q2019" s="616"/>
      <c r="R2019" s="663"/>
      <c r="S2019" s="459"/>
      <c r="T2019" s="459"/>
      <c r="U2019" s="459"/>
      <c r="V2019" s="459"/>
      <c r="W2019" s="459"/>
      <c r="X2019" s="459"/>
      <c r="Y2019" s="666"/>
      <c r="Z2019" s="664"/>
      <c r="AA2019" s="665"/>
      <c r="AB2019" s="665"/>
      <c r="AC2019" s="665"/>
      <c r="AD2019" s="665"/>
      <c r="AE2019" s="665"/>
      <c r="AF2019" s="649"/>
      <c r="AG2019" s="650"/>
      <c r="AH2019" s="650"/>
      <c r="AI2019" s="667"/>
    </row>
    <row r="2020" spans="12:35" ht="45" customHeight="1" thickBot="1" x14ac:dyDescent="0.25">
      <c r="L2020" s="645"/>
      <c r="M2020" s="616"/>
      <c r="N2020" s="616"/>
      <c r="O2020" s="616"/>
      <c r="P2020" s="615"/>
      <c r="Q2020" s="616"/>
      <c r="R2020" s="663"/>
      <c r="S2020" s="459"/>
      <c r="T2020" s="459"/>
      <c r="U2020" s="459"/>
      <c r="V2020" s="459"/>
      <c r="W2020" s="459"/>
      <c r="X2020" s="459"/>
      <c r="Y2020" s="666"/>
      <c r="Z2020" s="664"/>
      <c r="AA2020" s="665"/>
      <c r="AB2020" s="665"/>
      <c r="AC2020" s="665"/>
      <c r="AD2020" s="665"/>
      <c r="AE2020" s="665"/>
      <c r="AF2020" s="649"/>
      <c r="AG2020" s="650"/>
      <c r="AH2020" s="650"/>
      <c r="AI2020" s="667"/>
    </row>
    <row r="2021" spans="12:35" ht="45" customHeight="1" thickBot="1" x14ac:dyDescent="0.25">
      <c r="L2021" s="645"/>
      <c r="M2021" s="616"/>
      <c r="N2021" s="616"/>
      <c r="O2021" s="616"/>
      <c r="P2021" s="615"/>
      <c r="Q2021" s="616"/>
      <c r="R2021" s="663"/>
      <c r="S2021" s="459"/>
      <c r="T2021" s="459"/>
      <c r="U2021" s="459"/>
      <c r="V2021" s="459"/>
      <c r="W2021" s="459"/>
      <c r="X2021" s="459"/>
      <c r="Y2021" s="666"/>
      <c r="Z2021" s="664"/>
      <c r="AA2021" s="665"/>
      <c r="AB2021" s="665"/>
      <c r="AC2021" s="665"/>
      <c r="AD2021" s="665"/>
      <c r="AE2021" s="665"/>
      <c r="AF2021" s="649"/>
      <c r="AG2021" s="650"/>
      <c r="AH2021" s="650"/>
      <c r="AI2021" s="667"/>
    </row>
    <row r="2022" spans="12:35" ht="45" customHeight="1" thickBot="1" x14ac:dyDescent="0.25">
      <c r="L2022" s="645"/>
      <c r="M2022" s="616"/>
      <c r="N2022" s="616"/>
      <c r="O2022" s="616"/>
      <c r="P2022" s="615"/>
      <c r="Q2022" s="616"/>
      <c r="R2022" s="663"/>
      <c r="S2022" s="459"/>
      <c r="T2022" s="459"/>
      <c r="U2022" s="459"/>
      <c r="V2022" s="459"/>
      <c r="W2022" s="459"/>
      <c r="X2022" s="459"/>
      <c r="Y2022" s="666"/>
      <c r="Z2022" s="664"/>
      <c r="AA2022" s="665"/>
      <c r="AB2022" s="665"/>
      <c r="AC2022" s="665"/>
      <c r="AD2022" s="665"/>
      <c r="AE2022" s="665"/>
      <c r="AF2022" s="649"/>
      <c r="AG2022" s="650"/>
      <c r="AH2022" s="650"/>
      <c r="AI2022" s="667"/>
    </row>
    <row r="2023" spans="12:35" ht="45" customHeight="1" thickBot="1" x14ac:dyDescent="0.25">
      <c r="L2023" s="645"/>
      <c r="M2023" s="616"/>
      <c r="N2023" s="616"/>
      <c r="O2023" s="616"/>
      <c r="P2023" s="615"/>
      <c r="Q2023" s="616"/>
      <c r="R2023" s="663"/>
      <c r="S2023" s="459"/>
      <c r="T2023" s="459"/>
      <c r="U2023" s="459"/>
      <c r="V2023" s="459"/>
      <c r="W2023" s="459"/>
      <c r="X2023" s="459"/>
      <c r="Y2023" s="666"/>
      <c r="Z2023" s="664"/>
      <c r="AA2023" s="665"/>
      <c r="AB2023" s="665"/>
      <c r="AC2023" s="665"/>
      <c r="AD2023" s="665"/>
      <c r="AE2023" s="665"/>
      <c r="AF2023" s="649"/>
      <c r="AG2023" s="650"/>
      <c r="AH2023" s="650"/>
      <c r="AI2023" s="667"/>
    </row>
    <row r="2024" spans="12:35" ht="45" customHeight="1" thickBot="1" x14ac:dyDescent="0.25">
      <c r="L2024" s="645"/>
      <c r="M2024" s="616"/>
      <c r="N2024" s="616"/>
      <c r="O2024" s="616"/>
      <c r="P2024" s="615"/>
      <c r="Q2024" s="616"/>
      <c r="R2024" s="663"/>
      <c r="S2024" s="459"/>
      <c r="T2024" s="459"/>
      <c r="U2024" s="459"/>
      <c r="V2024" s="459"/>
      <c r="W2024" s="459"/>
      <c r="X2024" s="459"/>
      <c r="Y2024" s="666"/>
      <c r="Z2024" s="664"/>
      <c r="AA2024" s="665"/>
      <c r="AB2024" s="665"/>
      <c r="AC2024" s="665"/>
      <c r="AD2024" s="665"/>
      <c r="AE2024" s="665"/>
      <c r="AF2024" s="649"/>
      <c r="AG2024" s="650"/>
      <c r="AH2024" s="650"/>
      <c r="AI2024" s="667"/>
    </row>
    <row r="2025" spans="12:35" ht="45" customHeight="1" thickBot="1" x14ac:dyDescent="0.25">
      <c r="L2025" s="645"/>
      <c r="M2025" s="616"/>
      <c r="N2025" s="616"/>
      <c r="O2025" s="616"/>
      <c r="P2025" s="615"/>
      <c r="Q2025" s="616"/>
      <c r="R2025" s="663"/>
      <c r="S2025" s="459"/>
      <c r="T2025" s="459"/>
      <c r="U2025" s="459"/>
      <c r="V2025" s="459"/>
      <c r="W2025" s="459"/>
      <c r="X2025" s="459"/>
      <c r="Y2025" s="666"/>
      <c r="Z2025" s="664"/>
      <c r="AA2025" s="665"/>
      <c r="AB2025" s="665"/>
      <c r="AC2025" s="665"/>
      <c r="AD2025" s="665"/>
      <c r="AE2025" s="665"/>
      <c r="AF2025" s="649"/>
      <c r="AG2025" s="650"/>
      <c r="AH2025" s="650"/>
      <c r="AI2025" s="667"/>
    </row>
    <row r="2026" spans="12:35" ht="45" customHeight="1" thickBot="1" x14ac:dyDescent="0.25">
      <c r="L2026" s="645"/>
      <c r="M2026" s="616"/>
      <c r="N2026" s="616"/>
      <c r="O2026" s="616"/>
      <c r="P2026" s="615"/>
      <c r="Q2026" s="616"/>
      <c r="R2026" s="663"/>
      <c r="S2026" s="459"/>
      <c r="T2026" s="459"/>
      <c r="U2026" s="459"/>
      <c r="V2026" s="459"/>
      <c r="W2026" s="459"/>
      <c r="X2026" s="459"/>
      <c r="Y2026" s="666"/>
      <c r="Z2026" s="664"/>
      <c r="AA2026" s="665"/>
      <c r="AB2026" s="665"/>
      <c r="AC2026" s="665"/>
      <c r="AD2026" s="665"/>
      <c r="AE2026" s="665"/>
      <c r="AF2026" s="649"/>
      <c r="AG2026" s="650"/>
      <c r="AH2026" s="650"/>
      <c r="AI2026" s="667"/>
    </row>
    <row r="2027" spans="12:35" ht="45" customHeight="1" thickBot="1" x14ac:dyDescent="0.25">
      <c r="L2027" s="645"/>
      <c r="M2027" s="616"/>
      <c r="N2027" s="616"/>
      <c r="O2027" s="616"/>
      <c r="P2027" s="615"/>
      <c r="Q2027" s="616"/>
      <c r="R2027" s="663"/>
      <c r="S2027" s="459"/>
      <c r="T2027" s="459"/>
      <c r="U2027" s="459"/>
      <c r="V2027" s="459"/>
      <c r="W2027" s="459"/>
      <c r="X2027" s="459"/>
      <c r="Y2027" s="666"/>
      <c r="Z2027" s="664"/>
      <c r="AA2027" s="665"/>
      <c r="AB2027" s="665"/>
      <c r="AC2027" s="665"/>
      <c r="AD2027" s="665"/>
      <c r="AE2027" s="665"/>
      <c r="AF2027" s="649"/>
      <c r="AG2027" s="650"/>
      <c r="AH2027" s="650"/>
      <c r="AI2027" s="667"/>
    </row>
    <row r="2028" spans="12:35" ht="45" customHeight="1" thickBot="1" x14ac:dyDescent="0.25">
      <c r="L2028" s="645"/>
      <c r="M2028" s="616"/>
      <c r="N2028" s="616"/>
      <c r="O2028" s="616"/>
      <c r="P2028" s="615"/>
      <c r="Q2028" s="616"/>
      <c r="R2028" s="663"/>
      <c r="S2028" s="459"/>
      <c r="T2028" s="459"/>
      <c r="U2028" s="459"/>
      <c r="V2028" s="459"/>
      <c r="W2028" s="459"/>
      <c r="X2028" s="459"/>
      <c r="Y2028" s="666"/>
      <c r="Z2028" s="664"/>
      <c r="AA2028" s="665"/>
      <c r="AB2028" s="665"/>
      <c r="AC2028" s="665"/>
      <c r="AD2028" s="665"/>
      <c r="AE2028" s="665"/>
      <c r="AF2028" s="649"/>
      <c r="AG2028" s="650"/>
      <c r="AH2028" s="650"/>
      <c r="AI2028" s="667"/>
    </row>
    <row r="2029" spans="12:35" ht="45" customHeight="1" thickBot="1" x14ac:dyDescent="0.25">
      <c r="L2029" s="645"/>
      <c r="M2029" s="616"/>
      <c r="N2029" s="616"/>
      <c r="O2029" s="616"/>
      <c r="P2029" s="615"/>
      <c r="Q2029" s="616"/>
      <c r="R2029" s="663"/>
      <c r="S2029" s="459"/>
      <c r="T2029" s="459"/>
      <c r="U2029" s="459"/>
      <c r="V2029" s="459"/>
      <c r="W2029" s="459"/>
      <c r="X2029" s="459"/>
      <c r="Y2029" s="666"/>
      <c r="Z2029" s="664"/>
      <c r="AA2029" s="665"/>
      <c r="AB2029" s="665"/>
      <c r="AC2029" s="665"/>
      <c r="AD2029" s="665"/>
      <c r="AE2029" s="665"/>
      <c r="AF2029" s="649"/>
      <c r="AG2029" s="650"/>
      <c r="AH2029" s="650"/>
      <c r="AI2029" s="667"/>
    </row>
    <row r="2030" spans="12:35" ht="45" customHeight="1" thickBot="1" x14ac:dyDescent="0.25">
      <c r="L2030" s="645"/>
      <c r="M2030" s="616"/>
      <c r="N2030" s="616"/>
      <c r="O2030" s="616"/>
      <c r="P2030" s="615"/>
      <c r="Q2030" s="616"/>
      <c r="R2030" s="663"/>
      <c r="S2030" s="459"/>
      <c r="T2030" s="459"/>
      <c r="U2030" s="459"/>
      <c r="V2030" s="459"/>
      <c r="W2030" s="459"/>
      <c r="X2030" s="459"/>
      <c r="Y2030" s="666"/>
      <c r="Z2030" s="664"/>
      <c r="AA2030" s="665"/>
      <c r="AB2030" s="665"/>
      <c r="AC2030" s="665"/>
      <c r="AD2030" s="665"/>
      <c r="AE2030" s="665"/>
      <c r="AF2030" s="649"/>
      <c r="AG2030" s="650"/>
      <c r="AH2030" s="650"/>
      <c r="AI2030" s="667"/>
    </row>
    <row r="2031" spans="12:35" ht="45" customHeight="1" thickBot="1" x14ac:dyDescent="0.25">
      <c r="L2031" s="645"/>
      <c r="M2031" s="616"/>
      <c r="N2031" s="616"/>
      <c r="O2031" s="616"/>
      <c r="P2031" s="615"/>
      <c r="Q2031" s="616"/>
      <c r="R2031" s="663"/>
      <c r="S2031" s="459"/>
      <c r="T2031" s="459"/>
      <c r="U2031" s="459"/>
      <c r="V2031" s="459"/>
      <c r="W2031" s="459"/>
      <c r="X2031" s="459"/>
      <c r="Y2031" s="666"/>
      <c r="Z2031" s="664"/>
      <c r="AA2031" s="665"/>
      <c r="AB2031" s="665"/>
      <c r="AC2031" s="665"/>
      <c r="AD2031" s="665"/>
      <c r="AE2031" s="665"/>
      <c r="AF2031" s="649"/>
      <c r="AG2031" s="650"/>
      <c r="AH2031" s="650"/>
      <c r="AI2031" s="667"/>
    </row>
    <row r="2032" spans="12:35" ht="45" customHeight="1" thickBot="1" x14ac:dyDescent="0.25">
      <c r="L2032" s="645"/>
      <c r="M2032" s="616"/>
      <c r="N2032" s="616"/>
      <c r="O2032" s="616"/>
      <c r="P2032" s="615"/>
      <c r="Q2032" s="616"/>
      <c r="R2032" s="663"/>
      <c r="S2032" s="459"/>
      <c r="T2032" s="459"/>
      <c r="U2032" s="459"/>
      <c r="V2032" s="459"/>
      <c r="W2032" s="459"/>
      <c r="X2032" s="459"/>
      <c r="Y2032" s="666"/>
      <c r="Z2032" s="664"/>
      <c r="AA2032" s="665"/>
      <c r="AB2032" s="665"/>
      <c r="AC2032" s="665"/>
      <c r="AD2032" s="665"/>
      <c r="AE2032" s="665"/>
      <c r="AF2032" s="649"/>
      <c r="AG2032" s="650"/>
      <c r="AH2032" s="650"/>
      <c r="AI2032" s="667"/>
    </row>
    <row r="2033" spans="12:35" ht="45" customHeight="1" thickBot="1" x14ac:dyDescent="0.25">
      <c r="L2033" s="645"/>
      <c r="M2033" s="616"/>
      <c r="N2033" s="616"/>
      <c r="O2033" s="616"/>
      <c r="P2033" s="615"/>
      <c r="Q2033" s="616"/>
      <c r="R2033" s="663"/>
      <c r="S2033" s="459"/>
      <c r="T2033" s="459"/>
      <c r="U2033" s="459"/>
      <c r="V2033" s="459"/>
      <c r="W2033" s="459"/>
      <c r="X2033" s="459"/>
      <c r="Y2033" s="666"/>
      <c r="Z2033" s="664"/>
      <c r="AA2033" s="665"/>
      <c r="AB2033" s="665"/>
      <c r="AC2033" s="665"/>
      <c r="AD2033" s="665"/>
      <c r="AE2033" s="665"/>
      <c r="AF2033" s="649"/>
      <c r="AG2033" s="650"/>
      <c r="AH2033" s="650"/>
      <c r="AI2033" s="667"/>
    </row>
    <row r="2034" spans="12:35" ht="45" customHeight="1" thickBot="1" x14ac:dyDescent="0.25">
      <c r="L2034" s="645"/>
      <c r="M2034" s="616"/>
      <c r="N2034" s="616"/>
      <c r="O2034" s="616"/>
      <c r="P2034" s="615"/>
      <c r="Q2034" s="616"/>
      <c r="R2034" s="663"/>
      <c r="S2034" s="459"/>
      <c r="T2034" s="459"/>
      <c r="U2034" s="459"/>
      <c r="V2034" s="459"/>
      <c r="W2034" s="459"/>
      <c r="X2034" s="459"/>
      <c r="Y2034" s="666"/>
      <c r="Z2034" s="664"/>
      <c r="AA2034" s="665"/>
      <c r="AB2034" s="665"/>
      <c r="AC2034" s="665"/>
      <c r="AD2034" s="665"/>
      <c r="AE2034" s="665"/>
      <c r="AF2034" s="649"/>
      <c r="AG2034" s="650"/>
      <c r="AH2034" s="650"/>
      <c r="AI2034" s="667"/>
    </row>
    <row r="2035" spans="12:35" ht="45" customHeight="1" thickBot="1" x14ac:dyDescent="0.25">
      <c r="L2035" s="645"/>
      <c r="M2035" s="616"/>
      <c r="N2035" s="616"/>
      <c r="O2035" s="616"/>
      <c r="P2035" s="615"/>
      <c r="Q2035" s="616"/>
      <c r="R2035" s="663"/>
      <c r="S2035" s="459"/>
      <c r="T2035" s="459"/>
      <c r="U2035" s="459"/>
      <c r="V2035" s="459"/>
      <c r="W2035" s="459"/>
      <c r="X2035" s="459"/>
      <c r="Y2035" s="666"/>
      <c r="Z2035" s="664"/>
      <c r="AA2035" s="665"/>
      <c r="AB2035" s="665"/>
      <c r="AC2035" s="665"/>
      <c r="AD2035" s="665"/>
      <c r="AE2035" s="665"/>
      <c r="AF2035" s="649"/>
      <c r="AG2035" s="650"/>
      <c r="AH2035" s="650"/>
      <c r="AI2035" s="667"/>
    </row>
    <row r="2036" spans="12:35" ht="45" customHeight="1" thickBot="1" x14ac:dyDescent="0.25">
      <c r="L2036" s="645"/>
      <c r="M2036" s="616"/>
      <c r="N2036" s="616"/>
      <c r="O2036" s="616"/>
      <c r="P2036" s="615"/>
      <c r="Q2036" s="616"/>
      <c r="R2036" s="663"/>
      <c r="S2036" s="459"/>
      <c r="T2036" s="459"/>
      <c r="U2036" s="459"/>
      <c r="V2036" s="459"/>
      <c r="W2036" s="459"/>
      <c r="X2036" s="459"/>
      <c r="Y2036" s="666"/>
      <c r="Z2036" s="664"/>
      <c r="AA2036" s="665"/>
      <c r="AB2036" s="665"/>
      <c r="AC2036" s="665"/>
      <c r="AD2036" s="665"/>
      <c r="AE2036" s="665"/>
      <c r="AF2036" s="649"/>
      <c r="AG2036" s="650"/>
      <c r="AH2036" s="650"/>
      <c r="AI2036" s="667"/>
    </row>
    <row r="2037" spans="12:35" ht="45" customHeight="1" thickBot="1" x14ac:dyDescent="0.25">
      <c r="L2037" s="645"/>
      <c r="M2037" s="616"/>
      <c r="N2037" s="616"/>
      <c r="O2037" s="616"/>
      <c r="P2037" s="615"/>
      <c r="Q2037" s="616"/>
      <c r="R2037" s="663"/>
      <c r="S2037" s="459"/>
      <c r="T2037" s="459"/>
      <c r="U2037" s="459"/>
      <c r="V2037" s="459"/>
      <c r="W2037" s="459"/>
      <c r="X2037" s="459"/>
      <c r="Y2037" s="666"/>
      <c r="Z2037" s="664"/>
      <c r="AA2037" s="665"/>
      <c r="AB2037" s="665"/>
      <c r="AC2037" s="665"/>
      <c r="AD2037" s="665"/>
      <c r="AE2037" s="665"/>
      <c r="AF2037" s="649"/>
      <c r="AG2037" s="650"/>
      <c r="AH2037" s="650"/>
      <c r="AI2037" s="667"/>
    </row>
    <row r="2038" spans="12:35" ht="45" customHeight="1" thickBot="1" x14ac:dyDescent="0.25">
      <c r="L2038" s="645"/>
      <c r="M2038" s="616"/>
      <c r="N2038" s="616"/>
      <c r="O2038" s="616"/>
      <c r="P2038" s="615"/>
      <c r="Q2038" s="616"/>
      <c r="R2038" s="663"/>
      <c r="S2038" s="459"/>
      <c r="T2038" s="459"/>
      <c r="U2038" s="459"/>
      <c r="V2038" s="459"/>
      <c r="W2038" s="459"/>
      <c r="X2038" s="459"/>
      <c r="Y2038" s="666"/>
      <c r="Z2038" s="664"/>
      <c r="AA2038" s="665"/>
      <c r="AB2038" s="665"/>
      <c r="AC2038" s="665"/>
      <c r="AD2038" s="665"/>
      <c r="AE2038" s="665"/>
      <c r="AF2038" s="649"/>
      <c r="AG2038" s="650"/>
      <c r="AH2038" s="650"/>
      <c r="AI2038" s="667"/>
    </row>
    <row r="2039" spans="12:35" ht="45" customHeight="1" thickBot="1" x14ac:dyDescent="0.25">
      <c r="L2039" s="645"/>
      <c r="M2039" s="616"/>
      <c r="N2039" s="616"/>
      <c r="O2039" s="616"/>
      <c r="P2039" s="615"/>
      <c r="Q2039" s="616"/>
      <c r="R2039" s="663"/>
      <c r="S2039" s="459"/>
      <c r="T2039" s="459"/>
      <c r="U2039" s="459"/>
      <c r="V2039" s="459"/>
      <c r="W2039" s="459"/>
      <c r="X2039" s="459"/>
      <c r="Y2039" s="666"/>
      <c r="Z2039" s="664"/>
      <c r="AA2039" s="665"/>
      <c r="AB2039" s="665"/>
      <c r="AC2039" s="665"/>
      <c r="AD2039" s="665"/>
      <c r="AE2039" s="665"/>
      <c r="AF2039" s="649"/>
      <c r="AG2039" s="650"/>
      <c r="AH2039" s="650"/>
      <c r="AI2039" s="667"/>
    </row>
    <row r="2040" spans="12:35" ht="45" customHeight="1" thickBot="1" x14ac:dyDescent="0.25">
      <c r="L2040" s="645"/>
      <c r="M2040" s="616"/>
      <c r="N2040" s="616"/>
      <c r="O2040" s="616"/>
      <c r="P2040" s="615"/>
      <c r="Q2040" s="616"/>
      <c r="R2040" s="663"/>
      <c r="S2040" s="459"/>
      <c r="T2040" s="459"/>
      <c r="U2040" s="459"/>
      <c r="V2040" s="459"/>
      <c r="W2040" s="459"/>
      <c r="X2040" s="459"/>
      <c r="Y2040" s="666"/>
      <c r="Z2040" s="664"/>
      <c r="AA2040" s="665"/>
      <c r="AB2040" s="665"/>
      <c r="AC2040" s="665"/>
      <c r="AD2040" s="665"/>
      <c r="AE2040" s="665"/>
      <c r="AF2040" s="649"/>
      <c r="AG2040" s="650"/>
      <c r="AH2040" s="650"/>
      <c r="AI2040" s="667"/>
    </row>
    <row r="2041" spans="12:35" ht="45" customHeight="1" thickBot="1" x14ac:dyDescent="0.25">
      <c r="L2041" s="645"/>
      <c r="M2041" s="616"/>
      <c r="N2041" s="616"/>
      <c r="O2041" s="616"/>
      <c r="P2041" s="615"/>
      <c r="Q2041" s="616"/>
      <c r="R2041" s="663"/>
      <c r="S2041" s="459"/>
      <c r="T2041" s="459"/>
      <c r="U2041" s="459"/>
      <c r="V2041" s="459"/>
      <c r="W2041" s="459"/>
      <c r="X2041" s="459"/>
      <c r="Y2041" s="666"/>
      <c r="Z2041" s="664"/>
      <c r="AA2041" s="665"/>
      <c r="AB2041" s="665"/>
      <c r="AC2041" s="665"/>
      <c r="AD2041" s="665"/>
      <c r="AE2041" s="665"/>
      <c r="AF2041" s="649"/>
      <c r="AG2041" s="650"/>
      <c r="AH2041" s="650"/>
      <c r="AI2041" s="667"/>
    </row>
    <row r="2042" spans="12:35" ht="45" customHeight="1" thickBot="1" x14ac:dyDescent="0.25">
      <c r="L2042" s="645"/>
      <c r="M2042" s="616"/>
      <c r="N2042" s="616"/>
      <c r="O2042" s="616"/>
      <c r="P2042" s="615"/>
      <c r="Q2042" s="616"/>
      <c r="R2042" s="663"/>
      <c r="S2042" s="459"/>
      <c r="T2042" s="459"/>
      <c r="U2042" s="459"/>
      <c r="V2042" s="459"/>
      <c r="W2042" s="459"/>
      <c r="X2042" s="459"/>
      <c r="Y2042" s="666"/>
      <c r="Z2042" s="664"/>
      <c r="AA2042" s="665"/>
      <c r="AB2042" s="665"/>
      <c r="AC2042" s="665"/>
      <c r="AD2042" s="665"/>
      <c r="AE2042" s="665"/>
      <c r="AF2042" s="649"/>
      <c r="AG2042" s="650"/>
      <c r="AH2042" s="650"/>
      <c r="AI2042" s="667"/>
    </row>
    <row r="2043" spans="12:35" ht="45" customHeight="1" thickBot="1" x14ac:dyDescent="0.25">
      <c r="L2043" s="645"/>
      <c r="M2043" s="616"/>
      <c r="N2043" s="616"/>
      <c r="O2043" s="616"/>
      <c r="P2043" s="615"/>
      <c r="Q2043" s="616"/>
      <c r="R2043" s="663"/>
      <c r="S2043" s="459"/>
      <c r="T2043" s="459"/>
      <c r="U2043" s="459"/>
      <c r="V2043" s="459"/>
      <c r="W2043" s="459"/>
      <c r="X2043" s="459"/>
      <c r="Y2043" s="666"/>
      <c r="Z2043" s="664"/>
      <c r="AA2043" s="665"/>
      <c r="AB2043" s="665"/>
      <c r="AC2043" s="665"/>
      <c r="AD2043" s="665"/>
      <c r="AE2043" s="665"/>
      <c r="AF2043" s="649"/>
      <c r="AG2043" s="650"/>
      <c r="AH2043" s="650"/>
      <c r="AI2043" s="667"/>
    </row>
    <row r="2044" spans="12:35" ht="45" customHeight="1" thickBot="1" x14ac:dyDescent="0.25">
      <c r="L2044" s="645"/>
      <c r="M2044" s="616"/>
      <c r="N2044" s="616"/>
      <c r="O2044" s="616"/>
      <c r="P2044" s="615"/>
      <c r="Q2044" s="616"/>
      <c r="R2044" s="663"/>
      <c r="S2044" s="459"/>
      <c r="T2044" s="459"/>
      <c r="U2044" s="459"/>
      <c r="V2044" s="459"/>
      <c r="W2044" s="459"/>
      <c r="X2044" s="459"/>
      <c r="Y2044" s="666"/>
      <c r="Z2044" s="664"/>
      <c r="AA2044" s="665"/>
      <c r="AB2044" s="665"/>
      <c r="AC2044" s="665"/>
      <c r="AD2044" s="665"/>
      <c r="AE2044" s="665"/>
      <c r="AF2044" s="649"/>
      <c r="AG2044" s="650"/>
      <c r="AH2044" s="650"/>
      <c r="AI2044" s="667"/>
    </row>
    <row r="2045" spans="12:35" ht="45" customHeight="1" thickBot="1" x14ac:dyDescent="0.25">
      <c r="L2045" s="645"/>
      <c r="M2045" s="616"/>
      <c r="N2045" s="616"/>
      <c r="O2045" s="616"/>
      <c r="P2045" s="615"/>
      <c r="Q2045" s="616"/>
      <c r="R2045" s="663"/>
      <c r="S2045" s="459"/>
      <c r="T2045" s="459"/>
      <c r="U2045" s="459"/>
      <c r="V2045" s="459"/>
      <c r="W2045" s="459"/>
      <c r="X2045" s="459"/>
      <c r="Y2045" s="666"/>
      <c r="Z2045" s="664"/>
      <c r="AA2045" s="665"/>
      <c r="AB2045" s="665"/>
      <c r="AC2045" s="665"/>
      <c r="AD2045" s="665"/>
      <c r="AE2045" s="665"/>
      <c r="AF2045" s="649"/>
      <c r="AG2045" s="650"/>
      <c r="AH2045" s="650"/>
      <c r="AI2045" s="667"/>
    </row>
    <row r="2046" spans="12:35" ht="45" customHeight="1" thickBot="1" x14ac:dyDescent="0.25">
      <c r="L2046" s="645"/>
      <c r="M2046" s="616"/>
      <c r="N2046" s="616"/>
      <c r="O2046" s="616"/>
      <c r="P2046" s="615"/>
      <c r="Q2046" s="616"/>
      <c r="R2046" s="663"/>
      <c r="S2046" s="459"/>
      <c r="T2046" s="459"/>
      <c r="U2046" s="459"/>
      <c r="V2046" s="459"/>
      <c r="W2046" s="459"/>
      <c r="X2046" s="459"/>
      <c r="Y2046" s="666"/>
      <c r="Z2046" s="664"/>
      <c r="AA2046" s="665"/>
      <c r="AB2046" s="665"/>
      <c r="AC2046" s="665"/>
      <c r="AD2046" s="665"/>
      <c r="AE2046" s="665"/>
      <c r="AF2046" s="649"/>
      <c r="AG2046" s="650"/>
      <c r="AH2046" s="650"/>
      <c r="AI2046" s="667"/>
    </row>
    <row r="2047" spans="12:35" ht="45" customHeight="1" thickBot="1" x14ac:dyDescent="0.25">
      <c r="L2047" s="645"/>
      <c r="M2047" s="616"/>
      <c r="N2047" s="616"/>
      <c r="O2047" s="616"/>
      <c r="P2047" s="615"/>
      <c r="Q2047" s="616"/>
      <c r="R2047" s="663"/>
      <c r="S2047" s="459"/>
      <c r="T2047" s="459"/>
      <c r="U2047" s="459"/>
      <c r="V2047" s="459"/>
      <c r="W2047" s="459"/>
      <c r="X2047" s="459"/>
      <c r="Y2047" s="666"/>
      <c r="Z2047" s="664"/>
      <c r="AA2047" s="665"/>
      <c r="AB2047" s="665"/>
      <c r="AC2047" s="665"/>
      <c r="AD2047" s="665"/>
      <c r="AE2047" s="665"/>
      <c r="AF2047" s="649"/>
      <c r="AG2047" s="650"/>
      <c r="AH2047" s="650"/>
      <c r="AI2047" s="667"/>
    </row>
    <row r="2048" spans="12:35" ht="45" customHeight="1" thickBot="1" x14ac:dyDescent="0.25">
      <c r="L2048" s="645"/>
      <c r="M2048" s="616"/>
      <c r="N2048" s="616"/>
      <c r="O2048" s="616"/>
      <c r="P2048" s="615"/>
      <c r="Q2048" s="616"/>
      <c r="R2048" s="663"/>
      <c r="S2048" s="459"/>
      <c r="T2048" s="459"/>
      <c r="U2048" s="459"/>
      <c r="V2048" s="459"/>
      <c r="W2048" s="459"/>
      <c r="X2048" s="459"/>
      <c r="Y2048" s="666"/>
      <c r="Z2048" s="664"/>
      <c r="AA2048" s="665"/>
      <c r="AB2048" s="665"/>
      <c r="AC2048" s="665"/>
      <c r="AD2048" s="665"/>
      <c r="AE2048" s="665"/>
      <c r="AF2048" s="649"/>
      <c r="AG2048" s="650"/>
      <c r="AH2048" s="650"/>
      <c r="AI2048" s="667"/>
    </row>
    <row r="2049" spans="12:35" ht="45" customHeight="1" thickBot="1" x14ac:dyDescent="0.25">
      <c r="L2049" s="645"/>
      <c r="M2049" s="616"/>
      <c r="N2049" s="616"/>
      <c r="O2049" s="616"/>
      <c r="P2049" s="615"/>
      <c r="Q2049" s="616"/>
      <c r="R2049" s="663"/>
      <c r="S2049" s="459"/>
      <c r="T2049" s="459"/>
      <c r="U2049" s="459"/>
      <c r="V2049" s="459"/>
      <c r="W2049" s="459"/>
      <c r="X2049" s="459"/>
      <c r="Y2049" s="666"/>
      <c r="Z2049" s="664"/>
      <c r="AA2049" s="665"/>
      <c r="AB2049" s="665"/>
      <c r="AC2049" s="665"/>
      <c r="AD2049" s="665"/>
      <c r="AE2049" s="665"/>
      <c r="AF2049" s="649"/>
      <c r="AG2049" s="650"/>
      <c r="AH2049" s="650"/>
      <c r="AI2049" s="667"/>
    </row>
    <row r="2050" spans="12:35" ht="45" customHeight="1" thickBot="1" x14ac:dyDescent="0.25">
      <c r="L2050" s="645"/>
      <c r="M2050" s="616"/>
      <c r="N2050" s="616"/>
      <c r="O2050" s="616"/>
      <c r="P2050" s="615"/>
      <c r="Q2050" s="616"/>
      <c r="R2050" s="663"/>
      <c r="S2050" s="459"/>
      <c r="T2050" s="459"/>
      <c r="U2050" s="459"/>
      <c r="V2050" s="459"/>
      <c r="W2050" s="459"/>
      <c r="X2050" s="459"/>
      <c r="Y2050" s="666"/>
      <c r="Z2050" s="664"/>
      <c r="AA2050" s="665"/>
      <c r="AB2050" s="665"/>
      <c r="AC2050" s="665"/>
      <c r="AD2050" s="665"/>
      <c r="AE2050" s="665"/>
      <c r="AF2050" s="649"/>
      <c r="AG2050" s="650"/>
      <c r="AH2050" s="650"/>
      <c r="AI2050" s="667"/>
    </row>
    <row r="2051" spans="12:35" ht="45" customHeight="1" thickBot="1" x14ac:dyDescent="0.25">
      <c r="L2051" s="645"/>
      <c r="M2051" s="616"/>
      <c r="N2051" s="616"/>
      <c r="O2051" s="616"/>
      <c r="P2051" s="615"/>
      <c r="Q2051" s="616"/>
      <c r="R2051" s="663"/>
      <c r="S2051" s="459"/>
      <c r="T2051" s="459"/>
      <c r="U2051" s="459"/>
      <c r="V2051" s="459"/>
      <c r="W2051" s="459"/>
      <c r="X2051" s="459"/>
      <c r="Y2051" s="666"/>
      <c r="Z2051" s="664"/>
      <c r="AA2051" s="665"/>
      <c r="AB2051" s="665"/>
      <c r="AC2051" s="665"/>
      <c r="AD2051" s="665"/>
      <c r="AE2051" s="665"/>
      <c r="AF2051" s="649"/>
      <c r="AG2051" s="650"/>
      <c r="AH2051" s="650"/>
      <c r="AI2051" s="667"/>
    </row>
    <row r="2052" spans="12:35" ht="45" customHeight="1" thickBot="1" x14ac:dyDescent="0.25">
      <c r="L2052" s="645"/>
      <c r="M2052" s="616"/>
      <c r="N2052" s="616"/>
      <c r="O2052" s="616"/>
      <c r="P2052" s="615"/>
      <c r="Q2052" s="616"/>
      <c r="R2052" s="663"/>
      <c r="S2052" s="459"/>
      <c r="T2052" s="459"/>
      <c r="U2052" s="459"/>
      <c r="V2052" s="459"/>
      <c r="W2052" s="459"/>
      <c r="X2052" s="459"/>
      <c r="Y2052" s="666"/>
      <c r="Z2052" s="664"/>
      <c r="AA2052" s="665"/>
      <c r="AB2052" s="665"/>
      <c r="AC2052" s="665"/>
      <c r="AD2052" s="665"/>
      <c r="AE2052" s="665"/>
      <c r="AF2052" s="649"/>
      <c r="AG2052" s="650"/>
      <c r="AH2052" s="650"/>
      <c r="AI2052" s="667"/>
    </row>
    <row r="2053" spans="12:35" ht="45" customHeight="1" thickBot="1" x14ac:dyDescent="0.25">
      <c r="L2053" s="645"/>
      <c r="M2053" s="616"/>
      <c r="N2053" s="616"/>
      <c r="O2053" s="616"/>
      <c r="P2053" s="615"/>
      <c r="Q2053" s="616"/>
      <c r="R2053" s="663"/>
      <c r="S2053" s="459"/>
      <c r="T2053" s="459"/>
      <c r="U2053" s="459"/>
      <c r="V2053" s="459"/>
      <c r="W2053" s="459"/>
      <c r="X2053" s="459"/>
      <c r="Y2053" s="666"/>
      <c r="Z2053" s="664"/>
      <c r="AA2053" s="665"/>
      <c r="AB2053" s="665"/>
      <c r="AC2053" s="665"/>
      <c r="AD2053" s="665"/>
      <c r="AE2053" s="665"/>
      <c r="AF2053" s="649"/>
      <c r="AG2053" s="650"/>
      <c r="AH2053" s="650"/>
      <c r="AI2053" s="667"/>
    </row>
    <row r="2054" spans="12:35" ht="45" customHeight="1" thickBot="1" x14ac:dyDescent="0.25">
      <c r="L2054" s="645"/>
      <c r="M2054" s="616"/>
      <c r="N2054" s="616"/>
      <c r="O2054" s="616"/>
      <c r="P2054" s="615"/>
      <c r="Q2054" s="616"/>
      <c r="R2054" s="663"/>
      <c r="S2054" s="459"/>
      <c r="T2054" s="459"/>
      <c r="U2054" s="459"/>
      <c r="V2054" s="459"/>
      <c r="W2054" s="459"/>
      <c r="X2054" s="459"/>
      <c r="Y2054" s="666"/>
      <c r="Z2054" s="664"/>
      <c r="AA2054" s="665"/>
      <c r="AB2054" s="665"/>
      <c r="AC2054" s="665"/>
      <c r="AD2054" s="665"/>
      <c r="AE2054" s="665"/>
      <c r="AF2054" s="649"/>
      <c r="AG2054" s="650"/>
      <c r="AH2054" s="650"/>
      <c r="AI2054" s="667"/>
    </row>
    <row r="2055" spans="12:35" ht="45" customHeight="1" thickBot="1" x14ac:dyDescent="0.25">
      <c r="L2055" s="645"/>
      <c r="M2055" s="616"/>
      <c r="N2055" s="616"/>
      <c r="O2055" s="616"/>
      <c r="P2055" s="615"/>
      <c r="Q2055" s="616"/>
      <c r="R2055" s="663"/>
      <c r="S2055" s="459"/>
      <c r="T2055" s="459"/>
      <c r="U2055" s="459"/>
      <c r="V2055" s="459"/>
      <c r="W2055" s="459"/>
      <c r="X2055" s="459"/>
      <c r="Y2055" s="666"/>
      <c r="Z2055" s="664"/>
      <c r="AA2055" s="665"/>
      <c r="AB2055" s="665"/>
      <c r="AC2055" s="665"/>
      <c r="AD2055" s="665"/>
      <c r="AE2055" s="665"/>
      <c r="AF2055" s="649"/>
      <c r="AG2055" s="650"/>
      <c r="AH2055" s="650"/>
      <c r="AI2055" s="667"/>
    </row>
    <row r="2056" spans="12:35" ht="45" customHeight="1" thickBot="1" x14ac:dyDescent="0.25">
      <c r="L2056" s="645"/>
      <c r="M2056" s="616"/>
      <c r="N2056" s="616"/>
      <c r="O2056" s="616"/>
      <c r="P2056" s="615"/>
      <c r="Q2056" s="616"/>
      <c r="R2056" s="663"/>
      <c r="S2056" s="459"/>
      <c r="T2056" s="459"/>
      <c r="U2056" s="459"/>
      <c r="V2056" s="459"/>
      <c r="W2056" s="459"/>
      <c r="X2056" s="459"/>
      <c r="Y2056" s="666"/>
      <c r="Z2056" s="664"/>
      <c r="AA2056" s="665"/>
      <c r="AB2056" s="665"/>
      <c r="AC2056" s="665"/>
      <c r="AD2056" s="665"/>
      <c r="AE2056" s="665"/>
      <c r="AF2056" s="649"/>
      <c r="AG2056" s="650"/>
      <c r="AH2056" s="650"/>
      <c r="AI2056" s="667"/>
    </row>
    <row r="2057" spans="12:35" ht="45" customHeight="1" thickBot="1" x14ac:dyDescent="0.25">
      <c r="L2057" s="645"/>
      <c r="M2057" s="616"/>
      <c r="N2057" s="616"/>
      <c r="O2057" s="616"/>
      <c r="P2057" s="615"/>
      <c r="Q2057" s="616"/>
      <c r="R2057" s="663"/>
      <c r="S2057" s="459"/>
      <c r="T2057" s="459"/>
      <c r="U2057" s="459"/>
      <c r="V2057" s="459"/>
      <c r="W2057" s="459"/>
      <c r="X2057" s="459"/>
      <c r="Y2057" s="666"/>
      <c r="Z2057" s="664"/>
      <c r="AA2057" s="665"/>
      <c r="AB2057" s="665"/>
      <c r="AC2057" s="665"/>
      <c r="AD2057" s="665"/>
      <c r="AE2057" s="665"/>
      <c r="AF2057" s="649"/>
      <c r="AG2057" s="650"/>
      <c r="AH2057" s="650"/>
      <c r="AI2057" s="667"/>
    </row>
    <row r="2058" spans="12:35" ht="45" customHeight="1" thickBot="1" x14ac:dyDescent="0.25">
      <c r="L2058" s="645"/>
      <c r="M2058" s="616"/>
      <c r="N2058" s="616"/>
      <c r="O2058" s="616"/>
      <c r="P2058" s="615"/>
      <c r="Q2058" s="616"/>
      <c r="R2058" s="663"/>
      <c r="S2058" s="459"/>
      <c r="T2058" s="459"/>
      <c r="U2058" s="459"/>
      <c r="V2058" s="459"/>
      <c r="W2058" s="459"/>
      <c r="X2058" s="459"/>
      <c r="Y2058" s="666"/>
      <c r="Z2058" s="664"/>
      <c r="AA2058" s="665"/>
      <c r="AB2058" s="665"/>
      <c r="AC2058" s="665"/>
      <c r="AD2058" s="665"/>
      <c r="AE2058" s="665"/>
      <c r="AF2058" s="649"/>
      <c r="AG2058" s="650"/>
      <c r="AH2058" s="650"/>
      <c r="AI2058" s="667"/>
    </row>
    <row r="2059" spans="12:35" ht="45" customHeight="1" thickBot="1" x14ac:dyDescent="0.25">
      <c r="L2059" s="645"/>
      <c r="M2059" s="616"/>
      <c r="N2059" s="616"/>
      <c r="O2059" s="616"/>
      <c r="P2059" s="615"/>
      <c r="Q2059" s="616"/>
      <c r="R2059" s="663"/>
      <c r="S2059" s="459"/>
      <c r="T2059" s="459"/>
      <c r="U2059" s="459"/>
      <c r="V2059" s="459"/>
      <c r="W2059" s="459"/>
      <c r="X2059" s="459"/>
      <c r="Y2059" s="666"/>
      <c r="Z2059" s="664"/>
      <c r="AA2059" s="665"/>
      <c r="AB2059" s="665"/>
      <c r="AC2059" s="665"/>
      <c r="AD2059" s="665"/>
      <c r="AE2059" s="665"/>
      <c r="AF2059" s="649"/>
      <c r="AG2059" s="650"/>
      <c r="AH2059" s="650"/>
      <c r="AI2059" s="667"/>
    </row>
    <row r="2060" spans="12:35" ht="45" customHeight="1" thickBot="1" x14ac:dyDescent="0.25">
      <c r="L2060" s="645"/>
      <c r="M2060" s="616"/>
      <c r="N2060" s="616"/>
      <c r="O2060" s="616"/>
      <c r="P2060" s="615"/>
      <c r="Q2060" s="616"/>
      <c r="R2060" s="663"/>
      <c r="S2060" s="459"/>
      <c r="T2060" s="459"/>
      <c r="U2060" s="459"/>
      <c r="V2060" s="459"/>
      <c r="W2060" s="459"/>
      <c r="X2060" s="459"/>
      <c r="Y2060" s="666"/>
      <c r="Z2060" s="664"/>
      <c r="AA2060" s="665"/>
      <c r="AB2060" s="665"/>
      <c r="AC2060" s="665"/>
      <c r="AD2060" s="665"/>
      <c r="AE2060" s="665"/>
      <c r="AF2060" s="649"/>
      <c r="AG2060" s="650"/>
      <c r="AH2060" s="650"/>
      <c r="AI2060" s="667"/>
    </row>
    <row r="2061" spans="12:35" ht="45" customHeight="1" thickBot="1" x14ac:dyDescent="0.25">
      <c r="L2061" s="645"/>
      <c r="M2061" s="616"/>
      <c r="N2061" s="616"/>
      <c r="O2061" s="616"/>
      <c r="P2061" s="615"/>
      <c r="Q2061" s="616"/>
      <c r="R2061" s="663"/>
      <c r="S2061" s="459"/>
      <c r="T2061" s="459"/>
      <c r="U2061" s="459"/>
      <c r="V2061" s="459"/>
      <c r="W2061" s="459"/>
      <c r="X2061" s="459"/>
      <c r="Y2061" s="666"/>
      <c r="Z2061" s="664"/>
      <c r="AA2061" s="665"/>
      <c r="AB2061" s="665"/>
      <c r="AC2061" s="665"/>
      <c r="AD2061" s="665"/>
      <c r="AE2061" s="665"/>
      <c r="AF2061" s="649"/>
      <c r="AG2061" s="650"/>
      <c r="AH2061" s="650"/>
      <c r="AI2061" s="667"/>
    </row>
    <row r="2062" spans="12:35" ht="45" customHeight="1" thickBot="1" x14ac:dyDescent="0.25">
      <c r="L2062" s="645"/>
      <c r="M2062" s="616"/>
      <c r="N2062" s="616"/>
      <c r="O2062" s="616"/>
      <c r="P2062" s="615"/>
      <c r="Q2062" s="616"/>
      <c r="R2062" s="663"/>
      <c r="S2062" s="459"/>
      <c r="T2062" s="459"/>
      <c r="U2062" s="459"/>
      <c r="V2062" s="459"/>
      <c r="W2062" s="459"/>
      <c r="X2062" s="459"/>
      <c r="Y2062" s="666"/>
      <c r="Z2062" s="664"/>
      <c r="AA2062" s="665"/>
      <c r="AB2062" s="665"/>
      <c r="AC2062" s="665"/>
      <c r="AD2062" s="665"/>
      <c r="AE2062" s="665"/>
      <c r="AF2062" s="649"/>
      <c r="AG2062" s="650"/>
      <c r="AH2062" s="650"/>
      <c r="AI2062" s="667"/>
    </row>
    <row r="2063" spans="12:35" ht="45" customHeight="1" thickBot="1" x14ac:dyDescent="0.25">
      <c r="L2063" s="645"/>
      <c r="M2063" s="616"/>
      <c r="N2063" s="616"/>
      <c r="O2063" s="616"/>
      <c r="P2063" s="615"/>
      <c r="Q2063" s="616"/>
      <c r="R2063" s="663"/>
      <c r="S2063" s="459"/>
      <c r="T2063" s="459"/>
      <c r="U2063" s="459"/>
      <c r="V2063" s="459"/>
      <c r="W2063" s="459"/>
      <c r="X2063" s="459"/>
      <c r="Y2063" s="666"/>
      <c r="Z2063" s="664"/>
      <c r="AA2063" s="665"/>
      <c r="AB2063" s="665"/>
      <c r="AC2063" s="665"/>
      <c r="AD2063" s="665"/>
      <c r="AE2063" s="665"/>
      <c r="AF2063" s="649"/>
      <c r="AG2063" s="650"/>
      <c r="AH2063" s="650"/>
      <c r="AI2063" s="667"/>
    </row>
    <row r="2064" spans="12:35" ht="45" customHeight="1" thickBot="1" x14ac:dyDescent="0.25">
      <c r="L2064" s="645"/>
      <c r="M2064" s="616"/>
      <c r="N2064" s="616"/>
      <c r="O2064" s="616"/>
      <c r="P2064" s="615"/>
      <c r="Q2064" s="616"/>
      <c r="R2064" s="663"/>
      <c r="S2064" s="459"/>
      <c r="T2064" s="459"/>
      <c r="U2064" s="459"/>
      <c r="V2064" s="459"/>
      <c r="W2064" s="459"/>
      <c r="X2064" s="459"/>
      <c r="Y2064" s="666"/>
      <c r="Z2064" s="664"/>
      <c r="AA2064" s="665"/>
      <c r="AB2064" s="665"/>
      <c r="AC2064" s="665"/>
      <c r="AD2064" s="665"/>
      <c r="AE2064" s="665"/>
      <c r="AF2064" s="649"/>
      <c r="AG2064" s="650"/>
      <c r="AH2064" s="650"/>
      <c r="AI2064" s="667"/>
    </row>
    <row r="2065" spans="12:35" ht="45" customHeight="1" thickBot="1" x14ac:dyDescent="0.25">
      <c r="L2065" s="645"/>
      <c r="M2065" s="616"/>
      <c r="N2065" s="616"/>
      <c r="O2065" s="616"/>
      <c r="P2065" s="615"/>
      <c r="Q2065" s="616"/>
      <c r="R2065" s="663"/>
      <c r="S2065" s="459"/>
      <c r="T2065" s="459"/>
      <c r="U2065" s="459"/>
      <c r="V2065" s="459"/>
      <c r="W2065" s="459"/>
      <c r="X2065" s="459"/>
      <c r="Y2065" s="666"/>
      <c r="Z2065" s="664"/>
      <c r="AA2065" s="665"/>
      <c r="AB2065" s="665"/>
      <c r="AC2065" s="665"/>
      <c r="AD2065" s="665"/>
      <c r="AE2065" s="665"/>
      <c r="AF2065" s="649"/>
      <c r="AG2065" s="650"/>
      <c r="AH2065" s="650"/>
      <c r="AI2065" s="667"/>
    </row>
    <row r="2066" spans="12:35" ht="45" customHeight="1" thickBot="1" x14ac:dyDescent="0.25">
      <c r="L2066" s="645"/>
      <c r="M2066" s="616"/>
      <c r="N2066" s="616"/>
      <c r="O2066" s="616"/>
      <c r="P2066" s="615"/>
      <c r="Q2066" s="616"/>
      <c r="R2066" s="663"/>
      <c r="S2066" s="459"/>
      <c r="T2066" s="459"/>
      <c r="U2066" s="459"/>
      <c r="V2066" s="459"/>
      <c r="W2066" s="459"/>
      <c r="X2066" s="459"/>
      <c r="Y2066" s="666"/>
      <c r="Z2066" s="664"/>
      <c r="AA2066" s="665"/>
      <c r="AB2066" s="665"/>
      <c r="AC2066" s="665"/>
      <c r="AD2066" s="665"/>
      <c r="AE2066" s="665"/>
      <c r="AF2066" s="649"/>
      <c r="AG2066" s="650"/>
      <c r="AH2066" s="650"/>
      <c r="AI2066" s="667"/>
    </row>
    <row r="2067" spans="12:35" ht="45" customHeight="1" thickBot="1" x14ac:dyDescent="0.25">
      <c r="L2067" s="645"/>
      <c r="M2067" s="616"/>
      <c r="N2067" s="616"/>
      <c r="O2067" s="616"/>
      <c r="P2067" s="615"/>
      <c r="Q2067" s="616"/>
      <c r="R2067" s="663"/>
      <c r="S2067" s="459"/>
      <c r="T2067" s="459"/>
      <c r="U2067" s="459"/>
      <c r="V2067" s="459"/>
      <c r="W2067" s="459"/>
      <c r="X2067" s="459"/>
      <c r="Y2067" s="666"/>
      <c r="Z2067" s="664"/>
      <c r="AA2067" s="665"/>
      <c r="AB2067" s="665"/>
      <c r="AC2067" s="665"/>
      <c r="AD2067" s="665"/>
      <c r="AE2067" s="665"/>
      <c r="AF2067" s="649"/>
      <c r="AG2067" s="650"/>
      <c r="AH2067" s="650"/>
      <c r="AI2067" s="667"/>
    </row>
    <row r="2068" spans="12:35" ht="45" customHeight="1" thickBot="1" x14ac:dyDescent="0.25">
      <c r="L2068" s="645"/>
      <c r="M2068" s="616"/>
      <c r="N2068" s="616"/>
      <c r="O2068" s="616"/>
      <c r="P2068" s="615"/>
      <c r="Q2068" s="616"/>
      <c r="R2068" s="663"/>
      <c r="S2068" s="459"/>
      <c r="T2068" s="459"/>
      <c r="U2068" s="459"/>
      <c r="V2068" s="459"/>
      <c r="W2068" s="459"/>
      <c r="X2068" s="459"/>
      <c r="Y2068" s="666"/>
      <c r="Z2068" s="664"/>
      <c r="AA2068" s="665"/>
      <c r="AB2068" s="665"/>
      <c r="AC2068" s="665"/>
      <c r="AD2068" s="665"/>
      <c r="AE2068" s="665"/>
      <c r="AF2068" s="649"/>
      <c r="AG2068" s="650"/>
      <c r="AH2068" s="650"/>
      <c r="AI2068" s="667"/>
    </row>
    <row r="2069" spans="12:35" ht="45" customHeight="1" thickBot="1" x14ac:dyDescent="0.25">
      <c r="L2069" s="645"/>
      <c r="M2069" s="616"/>
      <c r="N2069" s="616"/>
      <c r="O2069" s="616"/>
      <c r="P2069" s="615"/>
      <c r="Q2069" s="616"/>
      <c r="R2069" s="663"/>
      <c r="S2069" s="459"/>
      <c r="T2069" s="459"/>
      <c r="U2069" s="459"/>
      <c r="V2069" s="459"/>
      <c r="W2069" s="459"/>
      <c r="X2069" s="459"/>
      <c r="Y2069" s="666"/>
      <c r="Z2069" s="664"/>
      <c r="AA2069" s="665"/>
      <c r="AB2069" s="665"/>
      <c r="AC2069" s="665"/>
      <c r="AD2069" s="665"/>
      <c r="AE2069" s="665"/>
      <c r="AF2069" s="649"/>
      <c r="AG2069" s="650"/>
      <c r="AH2069" s="650"/>
      <c r="AI2069" s="667"/>
    </row>
    <row r="2070" spans="12:35" ht="45" customHeight="1" thickBot="1" x14ac:dyDescent="0.25">
      <c r="L2070" s="645"/>
      <c r="M2070" s="616"/>
      <c r="N2070" s="616"/>
      <c r="O2070" s="616"/>
      <c r="P2070" s="615"/>
      <c r="Q2070" s="616"/>
      <c r="R2070" s="663"/>
      <c r="S2070" s="459"/>
      <c r="T2070" s="459"/>
      <c r="U2070" s="459"/>
      <c r="V2070" s="459"/>
      <c r="W2070" s="459"/>
      <c r="X2070" s="459"/>
      <c r="Y2070" s="666"/>
      <c r="Z2070" s="664"/>
      <c r="AA2070" s="665"/>
      <c r="AB2070" s="665"/>
      <c r="AC2070" s="665"/>
      <c r="AD2070" s="665"/>
      <c r="AE2070" s="665"/>
      <c r="AF2070" s="649"/>
      <c r="AG2070" s="650"/>
      <c r="AH2070" s="650"/>
      <c r="AI2070" s="667"/>
    </row>
    <row r="2071" spans="12:35" ht="45" customHeight="1" thickBot="1" x14ac:dyDescent="0.25">
      <c r="L2071" s="645"/>
      <c r="M2071" s="616"/>
      <c r="N2071" s="616"/>
      <c r="O2071" s="616"/>
      <c r="P2071" s="615"/>
      <c r="Q2071" s="616"/>
      <c r="R2071" s="663"/>
      <c r="S2071" s="459"/>
      <c r="T2071" s="459"/>
      <c r="U2071" s="459"/>
      <c r="V2071" s="459"/>
      <c r="W2071" s="459"/>
      <c r="X2071" s="459"/>
      <c r="Y2071" s="666"/>
      <c r="Z2071" s="664"/>
      <c r="AA2071" s="665"/>
      <c r="AB2071" s="665"/>
      <c r="AC2071" s="665"/>
      <c r="AD2071" s="665"/>
      <c r="AE2071" s="665"/>
      <c r="AF2071" s="649"/>
      <c r="AG2071" s="650"/>
      <c r="AH2071" s="650"/>
      <c r="AI2071" s="667"/>
    </row>
    <row r="2072" spans="12:35" ht="45" customHeight="1" thickBot="1" x14ac:dyDescent="0.25">
      <c r="L2072" s="645"/>
      <c r="M2072" s="616"/>
      <c r="N2072" s="616"/>
      <c r="O2072" s="616"/>
      <c r="P2072" s="615"/>
      <c r="Q2072" s="616"/>
      <c r="R2072" s="663"/>
      <c r="S2072" s="459"/>
      <c r="T2072" s="459"/>
      <c r="U2072" s="459"/>
      <c r="V2072" s="459"/>
      <c r="W2072" s="459"/>
      <c r="X2072" s="459"/>
      <c r="Y2072" s="666"/>
      <c r="Z2072" s="664"/>
      <c r="AA2072" s="665"/>
      <c r="AB2072" s="665"/>
      <c r="AC2072" s="665"/>
      <c r="AD2072" s="665"/>
      <c r="AE2072" s="665"/>
      <c r="AF2072" s="649"/>
      <c r="AG2072" s="650"/>
      <c r="AH2072" s="650"/>
      <c r="AI2072" s="667"/>
    </row>
    <row r="2073" spans="12:35" ht="45" customHeight="1" thickBot="1" x14ac:dyDescent="0.25">
      <c r="L2073" s="645"/>
      <c r="M2073" s="616"/>
      <c r="N2073" s="616"/>
      <c r="O2073" s="616"/>
      <c r="P2073" s="615"/>
      <c r="Q2073" s="616"/>
      <c r="R2073" s="663"/>
      <c r="S2073" s="459"/>
      <c r="T2073" s="459"/>
      <c r="U2073" s="459"/>
      <c r="V2073" s="459"/>
      <c r="W2073" s="459"/>
      <c r="X2073" s="459"/>
      <c r="Y2073" s="666"/>
      <c r="Z2073" s="664"/>
      <c r="AA2073" s="665"/>
      <c r="AB2073" s="665"/>
      <c r="AC2073" s="665"/>
      <c r="AD2073" s="665"/>
      <c r="AE2073" s="665"/>
      <c r="AF2073" s="649"/>
      <c r="AG2073" s="650"/>
      <c r="AH2073" s="650"/>
      <c r="AI2073" s="667"/>
    </row>
    <row r="2074" spans="12:35" ht="45" customHeight="1" thickBot="1" x14ac:dyDescent="0.25">
      <c r="L2074" s="645"/>
      <c r="M2074" s="616"/>
      <c r="N2074" s="616"/>
      <c r="O2074" s="616"/>
      <c r="P2074" s="615"/>
      <c r="Q2074" s="616"/>
      <c r="R2074" s="663"/>
      <c r="S2074" s="459"/>
      <c r="T2074" s="459"/>
      <c r="U2074" s="459"/>
      <c r="V2074" s="459"/>
      <c r="W2074" s="459"/>
      <c r="X2074" s="459"/>
      <c r="Y2074" s="666"/>
      <c r="Z2074" s="664"/>
      <c r="AA2074" s="665"/>
      <c r="AB2074" s="665"/>
      <c r="AC2074" s="665"/>
      <c r="AD2074" s="665"/>
      <c r="AE2074" s="665"/>
      <c r="AF2074" s="649"/>
      <c r="AG2074" s="650"/>
      <c r="AH2074" s="650"/>
      <c r="AI2074" s="667"/>
    </row>
    <row r="2075" spans="12:35" ht="45" customHeight="1" thickBot="1" x14ac:dyDescent="0.25">
      <c r="L2075" s="645"/>
      <c r="M2075" s="616"/>
      <c r="N2075" s="616"/>
      <c r="O2075" s="616"/>
      <c r="P2075" s="615"/>
      <c r="Q2075" s="616"/>
      <c r="R2075" s="663"/>
      <c r="S2075" s="459"/>
      <c r="T2075" s="459"/>
      <c r="U2075" s="459"/>
      <c r="V2075" s="459"/>
      <c r="W2075" s="459"/>
      <c r="X2075" s="459"/>
      <c r="Y2075" s="666"/>
      <c r="Z2075" s="664"/>
      <c r="AA2075" s="665"/>
      <c r="AB2075" s="665"/>
      <c r="AC2075" s="665"/>
      <c r="AD2075" s="665"/>
      <c r="AE2075" s="665"/>
      <c r="AF2075" s="649"/>
      <c r="AG2075" s="650"/>
      <c r="AH2075" s="650"/>
      <c r="AI2075" s="667"/>
    </row>
    <row r="2076" spans="12:35" ht="45" customHeight="1" thickBot="1" x14ac:dyDescent="0.25">
      <c r="L2076" s="645"/>
      <c r="M2076" s="616"/>
      <c r="N2076" s="616"/>
      <c r="O2076" s="616"/>
      <c r="P2076" s="615"/>
      <c r="Q2076" s="616"/>
      <c r="R2076" s="663"/>
      <c r="S2076" s="459"/>
      <c r="T2076" s="459"/>
      <c r="U2076" s="459"/>
      <c r="V2076" s="459"/>
      <c r="W2076" s="459"/>
      <c r="X2076" s="459"/>
      <c r="Y2076" s="666"/>
      <c r="Z2076" s="664"/>
      <c r="AA2076" s="665"/>
      <c r="AB2076" s="665"/>
      <c r="AC2076" s="665"/>
      <c r="AD2076" s="665"/>
      <c r="AE2076" s="665"/>
      <c r="AF2076" s="649"/>
      <c r="AG2076" s="650"/>
      <c r="AH2076" s="650"/>
      <c r="AI2076" s="667"/>
    </row>
    <row r="2077" spans="12:35" ht="45" customHeight="1" thickBot="1" x14ac:dyDescent="0.25">
      <c r="L2077" s="645"/>
      <c r="M2077" s="616"/>
      <c r="N2077" s="616"/>
      <c r="O2077" s="616"/>
      <c r="P2077" s="615"/>
      <c r="Q2077" s="616"/>
      <c r="R2077" s="663"/>
      <c r="S2077" s="459"/>
      <c r="T2077" s="459"/>
      <c r="U2077" s="459"/>
      <c r="V2077" s="459"/>
      <c r="W2077" s="459"/>
      <c r="X2077" s="459"/>
      <c r="Y2077" s="666"/>
      <c r="Z2077" s="664"/>
      <c r="AA2077" s="665"/>
      <c r="AB2077" s="665"/>
      <c r="AC2077" s="665"/>
      <c r="AD2077" s="665"/>
      <c r="AE2077" s="665"/>
      <c r="AF2077" s="649"/>
      <c r="AG2077" s="650"/>
      <c r="AH2077" s="650"/>
      <c r="AI2077" s="667"/>
    </row>
    <row r="2078" spans="12:35" ht="45" customHeight="1" thickBot="1" x14ac:dyDescent="0.25">
      <c r="L2078" s="645"/>
      <c r="M2078" s="616"/>
      <c r="N2078" s="616"/>
      <c r="O2078" s="616"/>
      <c r="P2078" s="615"/>
      <c r="Q2078" s="616"/>
      <c r="R2078" s="663"/>
      <c r="S2078" s="459"/>
      <c r="T2078" s="459"/>
      <c r="U2078" s="459"/>
      <c r="V2078" s="459"/>
      <c r="W2078" s="459"/>
      <c r="X2078" s="459"/>
      <c r="Y2078" s="666"/>
      <c r="Z2078" s="664"/>
      <c r="AA2078" s="665"/>
      <c r="AB2078" s="665"/>
      <c r="AC2078" s="665"/>
      <c r="AD2078" s="665"/>
      <c r="AE2078" s="665"/>
      <c r="AF2078" s="649"/>
      <c r="AG2078" s="650"/>
      <c r="AH2078" s="650"/>
      <c r="AI2078" s="667"/>
    </row>
    <row r="2079" spans="12:35" ht="45" customHeight="1" thickBot="1" x14ac:dyDescent="0.25">
      <c r="L2079" s="645"/>
      <c r="M2079" s="616"/>
      <c r="N2079" s="616"/>
      <c r="O2079" s="616"/>
      <c r="P2079" s="615"/>
      <c r="Q2079" s="616"/>
      <c r="R2079" s="663"/>
      <c r="S2079" s="459"/>
      <c r="T2079" s="459"/>
      <c r="U2079" s="459"/>
      <c r="V2079" s="459"/>
      <c r="W2079" s="459"/>
      <c r="X2079" s="459"/>
      <c r="Y2079" s="666"/>
      <c r="Z2079" s="664"/>
      <c r="AA2079" s="665"/>
      <c r="AB2079" s="665"/>
      <c r="AC2079" s="665"/>
      <c r="AD2079" s="665"/>
      <c r="AE2079" s="665"/>
      <c r="AF2079" s="649"/>
      <c r="AG2079" s="650"/>
      <c r="AH2079" s="650"/>
      <c r="AI2079" s="667"/>
    </row>
    <row r="2080" spans="12:35" ht="45" customHeight="1" thickBot="1" x14ac:dyDescent="0.25">
      <c r="L2080" s="645"/>
      <c r="M2080" s="616"/>
      <c r="N2080" s="616"/>
      <c r="O2080" s="616"/>
      <c r="P2080" s="615"/>
      <c r="Q2080" s="616"/>
      <c r="R2080" s="663"/>
      <c r="S2080" s="459"/>
      <c r="T2080" s="459"/>
      <c r="U2080" s="459"/>
      <c r="V2080" s="459"/>
      <c r="W2080" s="459"/>
      <c r="X2080" s="459"/>
      <c r="Y2080" s="666"/>
      <c r="Z2080" s="664"/>
      <c r="AA2080" s="665"/>
      <c r="AB2080" s="665"/>
      <c r="AC2080" s="665"/>
      <c r="AD2080" s="665"/>
      <c r="AE2080" s="665"/>
      <c r="AF2080" s="649"/>
      <c r="AG2080" s="650"/>
      <c r="AH2080" s="650"/>
      <c r="AI2080" s="667"/>
    </row>
    <row r="2081" spans="12:35" ht="45" customHeight="1" thickBot="1" x14ac:dyDescent="0.25">
      <c r="L2081" s="645"/>
      <c r="M2081" s="616"/>
      <c r="N2081" s="616"/>
      <c r="O2081" s="616"/>
      <c r="P2081" s="615"/>
      <c r="Q2081" s="616"/>
      <c r="R2081" s="663"/>
      <c r="S2081" s="459"/>
      <c r="T2081" s="459"/>
      <c r="U2081" s="459"/>
      <c r="V2081" s="459"/>
      <c r="W2081" s="459"/>
      <c r="X2081" s="459"/>
      <c r="Y2081" s="666"/>
      <c r="Z2081" s="664"/>
      <c r="AA2081" s="665"/>
      <c r="AB2081" s="665"/>
      <c r="AC2081" s="665"/>
      <c r="AD2081" s="665"/>
      <c r="AE2081" s="665"/>
      <c r="AF2081" s="649"/>
      <c r="AG2081" s="650"/>
      <c r="AH2081" s="650"/>
      <c r="AI2081" s="667"/>
    </row>
    <row r="2082" spans="12:35" ht="45" customHeight="1" thickBot="1" x14ac:dyDescent="0.25">
      <c r="L2082" s="645"/>
      <c r="M2082" s="616"/>
      <c r="N2082" s="616"/>
      <c r="O2082" s="616"/>
      <c r="P2082" s="615"/>
      <c r="Q2082" s="616"/>
      <c r="R2082" s="663"/>
      <c r="S2082" s="459"/>
      <c r="T2082" s="459"/>
      <c r="U2082" s="459"/>
      <c r="V2082" s="459"/>
      <c r="W2082" s="459"/>
      <c r="X2082" s="459"/>
      <c r="Y2082" s="666"/>
      <c r="Z2082" s="664"/>
      <c r="AA2082" s="665"/>
      <c r="AB2082" s="665"/>
      <c r="AC2082" s="665"/>
      <c r="AD2082" s="665"/>
      <c r="AE2082" s="665"/>
      <c r="AF2082" s="649"/>
      <c r="AG2082" s="650"/>
      <c r="AH2082" s="650"/>
      <c r="AI2082" s="667"/>
    </row>
    <row r="2083" spans="12:35" ht="45" customHeight="1" thickBot="1" x14ac:dyDescent="0.25">
      <c r="L2083" s="645"/>
      <c r="M2083" s="616"/>
      <c r="N2083" s="616"/>
      <c r="O2083" s="616"/>
      <c r="P2083" s="615"/>
      <c r="Q2083" s="616"/>
      <c r="R2083" s="663"/>
      <c r="S2083" s="459"/>
      <c r="T2083" s="459"/>
      <c r="U2083" s="459"/>
      <c r="V2083" s="459"/>
      <c r="W2083" s="459"/>
      <c r="X2083" s="459"/>
      <c r="Y2083" s="666"/>
      <c r="Z2083" s="664"/>
      <c r="AA2083" s="665"/>
      <c r="AB2083" s="665"/>
      <c r="AC2083" s="665"/>
      <c r="AD2083" s="665"/>
      <c r="AE2083" s="665"/>
      <c r="AF2083" s="649"/>
      <c r="AG2083" s="650"/>
      <c r="AH2083" s="650"/>
      <c r="AI2083" s="667"/>
    </row>
    <row r="2084" spans="12:35" ht="45" customHeight="1" thickBot="1" x14ac:dyDescent="0.25">
      <c r="L2084" s="645"/>
      <c r="M2084" s="616"/>
      <c r="N2084" s="616"/>
      <c r="O2084" s="616"/>
      <c r="P2084" s="615"/>
      <c r="Q2084" s="616"/>
      <c r="R2084" s="663"/>
      <c r="S2084" s="459"/>
      <c r="T2084" s="459"/>
      <c r="U2084" s="459"/>
      <c r="V2084" s="459"/>
      <c r="W2084" s="459"/>
      <c r="X2084" s="459"/>
      <c r="Y2084" s="666"/>
      <c r="Z2084" s="664"/>
      <c r="AA2084" s="665"/>
      <c r="AB2084" s="665"/>
      <c r="AC2084" s="665"/>
      <c r="AD2084" s="665"/>
      <c r="AE2084" s="665"/>
      <c r="AF2084" s="649"/>
      <c r="AG2084" s="650"/>
      <c r="AH2084" s="650"/>
      <c r="AI2084" s="667"/>
    </row>
    <row r="2085" spans="12:35" ht="45" customHeight="1" thickBot="1" x14ac:dyDescent="0.25">
      <c r="L2085" s="645"/>
      <c r="M2085" s="616"/>
      <c r="N2085" s="616"/>
      <c r="O2085" s="616"/>
      <c r="P2085" s="615"/>
      <c r="Q2085" s="616"/>
      <c r="R2085" s="663"/>
      <c r="S2085" s="459"/>
      <c r="T2085" s="459"/>
      <c r="U2085" s="459"/>
      <c r="V2085" s="459"/>
      <c r="W2085" s="459"/>
      <c r="X2085" s="459"/>
      <c r="Y2085" s="666"/>
      <c r="Z2085" s="664"/>
      <c r="AA2085" s="665"/>
      <c r="AB2085" s="665"/>
      <c r="AC2085" s="665"/>
      <c r="AD2085" s="665"/>
      <c r="AE2085" s="665"/>
      <c r="AF2085" s="649"/>
      <c r="AG2085" s="650"/>
      <c r="AH2085" s="650"/>
      <c r="AI2085" s="667"/>
    </row>
    <row r="2086" spans="12:35" ht="45" customHeight="1" thickBot="1" x14ac:dyDescent="0.25">
      <c r="L2086" s="645"/>
      <c r="M2086" s="616"/>
      <c r="N2086" s="616"/>
      <c r="O2086" s="616"/>
      <c r="P2086" s="615"/>
      <c r="Q2086" s="616"/>
      <c r="R2086" s="663"/>
      <c r="S2086" s="459"/>
      <c r="T2086" s="459"/>
      <c r="U2086" s="459"/>
      <c r="V2086" s="459"/>
      <c r="W2086" s="459"/>
      <c r="X2086" s="459"/>
      <c r="Y2086" s="666"/>
      <c r="Z2086" s="664"/>
      <c r="AA2086" s="665"/>
      <c r="AB2086" s="665"/>
      <c r="AC2086" s="665"/>
      <c r="AD2086" s="665"/>
      <c r="AE2086" s="665"/>
      <c r="AF2086" s="649"/>
      <c r="AG2086" s="650"/>
      <c r="AH2086" s="650"/>
      <c r="AI2086" s="667"/>
    </row>
    <row r="2087" spans="12:35" ht="45" customHeight="1" thickBot="1" x14ac:dyDescent="0.25">
      <c r="L2087" s="645"/>
      <c r="M2087" s="616"/>
      <c r="N2087" s="616"/>
      <c r="O2087" s="616"/>
      <c r="P2087" s="615"/>
      <c r="Q2087" s="616"/>
      <c r="R2087" s="663"/>
      <c r="S2087" s="459"/>
      <c r="T2087" s="459"/>
      <c r="U2087" s="459"/>
      <c r="V2087" s="459"/>
      <c r="W2087" s="459"/>
      <c r="X2087" s="459"/>
      <c r="Y2087" s="666"/>
      <c r="Z2087" s="664"/>
      <c r="AA2087" s="665"/>
      <c r="AB2087" s="665"/>
      <c r="AC2087" s="665"/>
      <c r="AD2087" s="665"/>
      <c r="AE2087" s="665"/>
      <c r="AF2087" s="649"/>
      <c r="AG2087" s="650"/>
      <c r="AH2087" s="650"/>
      <c r="AI2087" s="667"/>
    </row>
    <row r="2088" spans="12:35" ht="45" customHeight="1" thickBot="1" x14ac:dyDescent="0.25">
      <c r="L2088" s="645"/>
      <c r="M2088" s="616"/>
      <c r="N2088" s="616"/>
      <c r="O2088" s="616"/>
      <c r="P2088" s="615"/>
      <c r="Q2088" s="616"/>
      <c r="R2088" s="663"/>
      <c r="S2088" s="459"/>
      <c r="T2088" s="459"/>
      <c r="U2088" s="459"/>
      <c r="V2088" s="459"/>
      <c r="W2088" s="459"/>
      <c r="X2088" s="459"/>
      <c r="Y2088" s="666"/>
      <c r="Z2088" s="664"/>
      <c r="AA2088" s="665"/>
      <c r="AB2088" s="665"/>
      <c r="AC2088" s="665"/>
      <c r="AD2088" s="665"/>
      <c r="AE2088" s="665"/>
      <c r="AF2088" s="649"/>
      <c r="AG2088" s="650"/>
      <c r="AH2088" s="650"/>
      <c r="AI2088" s="667"/>
    </row>
    <row r="2089" spans="12:35" ht="45" customHeight="1" thickBot="1" x14ac:dyDescent="0.25">
      <c r="L2089" s="645"/>
      <c r="M2089" s="616"/>
      <c r="N2089" s="616"/>
      <c r="O2089" s="616"/>
      <c r="P2089" s="615"/>
      <c r="Q2089" s="616"/>
      <c r="R2089" s="663"/>
      <c r="S2089" s="459"/>
      <c r="T2089" s="459"/>
      <c r="U2089" s="459"/>
      <c r="V2089" s="459"/>
      <c r="W2089" s="459"/>
      <c r="X2089" s="459"/>
      <c r="Y2089" s="666"/>
      <c r="Z2089" s="664"/>
      <c r="AA2089" s="665"/>
      <c r="AB2089" s="665"/>
      <c r="AC2089" s="665"/>
      <c r="AD2089" s="665"/>
      <c r="AE2089" s="665"/>
      <c r="AF2089" s="649"/>
      <c r="AG2089" s="650"/>
      <c r="AH2089" s="650"/>
      <c r="AI2089" s="667"/>
    </row>
    <row r="2090" spans="12:35" ht="45" customHeight="1" thickBot="1" x14ac:dyDescent="0.25">
      <c r="L2090" s="645"/>
      <c r="M2090" s="616"/>
      <c r="N2090" s="616"/>
      <c r="O2090" s="616"/>
      <c r="P2090" s="615"/>
      <c r="Q2090" s="616"/>
      <c r="R2090" s="663"/>
      <c r="S2090" s="459"/>
      <c r="T2090" s="459"/>
      <c r="U2090" s="459"/>
      <c r="V2090" s="459"/>
      <c r="W2090" s="459"/>
      <c r="X2090" s="459"/>
      <c r="Y2090" s="666"/>
      <c r="Z2090" s="664"/>
      <c r="AA2090" s="665"/>
      <c r="AB2090" s="665"/>
      <c r="AC2090" s="665"/>
      <c r="AD2090" s="665"/>
      <c r="AE2090" s="665"/>
      <c r="AF2090" s="649"/>
      <c r="AG2090" s="650"/>
      <c r="AH2090" s="650"/>
      <c r="AI2090" s="667"/>
    </row>
    <row r="2091" spans="12:35" ht="45" customHeight="1" thickBot="1" x14ac:dyDescent="0.25">
      <c r="L2091" s="645"/>
      <c r="M2091" s="616"/>
      <c r="N2091" s="616"/>
      <c r="O2091" s="616"/>
      <c r="P2091" s="615"/>
      <c r="Q2091" s="616"/>
      <c r="R2091" s="663"/>
      <c r="S2091" s="459"/>
      <c r="T2091" s="459"/>
      <c r="U2091" s="459"/>
      <c r="V2091" s="459"/>
      <c r="W2091" s="459"/>
      <c r="X2091" s="459"/>
      <c r="Y2091" s="666"/>
      <c r="Z2091" s="664"/>
      <c r="AA2091" s="665"/>
      <c r="AB2091" s="665"/>
      <c r="AC2091" s="665"/>
      <c r="AD2091" s="665"/>
      <c r="AE2091" s="665"/>
      <c r="AF2091" s="649"/>
      <c r="AG2091" s="650"/>
      <c r="AH2091" s="650"/>
      <c r="AI2091" s="667"/>
    </row>
    <row r="2092" spans="12:35" ht="45" customHeight="1" thickBot="1" x14ac:dyDescent="0.25">
      <c r="L2092" s="645"/>
      <c r="M2092" s="616"/>
      <c r="N2092" s="616"/>
      <c r="O2092" s="616"/>
      <c r="P2092" s="615"/>
      <c r="Q2092" s="616"/>
      <c r="R2092" s="663"/>
      <c r="S2092" s="459"/>
      <c r="T2092" s="459"/>
      <c r="U2092" s="459"/>
      <c r="V2092" s="459"/>
      <c r="W2092" s="459"/>
      <c r="X2092" s="459"/>
      <c r="Y2092" s="666"/>
      <c r="Z2092" s="664"/>
      <c r="AA2092" s="665"/>
      <c r="AB2092" s="665"/>
      <c r="AC2092" s="665"/>
      <c r="AD2092" s="665"/>
      <c r="AE2092" s="665"/>
      <c r="AF2092" s="649"/>
      <c r="AG2092" s="650"/>
      <c r="AH2092" s="650"/>
      <c r="AI2092" s="667"/>
    </row>
    <row r="2093" spans="12:35" ht="45" customHeight="1" thickBot="1" x14ac:dyDescent="0.25">
      <c r="L2093" s="645"/>
      <c r="M2093" s="616"/>
      <c r="N2093" s="616"/>
      <c r="O2093" s="616"/>
      <c r="P2093" s="615"/>
      <c r="Q2093" s="616"/>
      <c r="R2093" s="663"/>
      <c r="S2093" s="459"/>
      <c r="T2093" s="459"/>
      <c r="U2093" s="459"/>
      <c r="V2093" s="459"/>
      <c r="W2093" s="459"/>
      <c r="X2093" s="459"/>
      <c r="Y2093" s="666"/>
      <c r="Z2093" s="664"/>
      <c r="AA2093" s="665"/>
      <c r="AB2093" s="665"/>
      <c r="AC2093" s="665"/>
      <c r="AD2093" s="665"/>
      <c r="AE2093" s="665"/>
      <c r="AF2093" s="649"/>
      <c r="AG2093" s="650"/>
      <c r="AH2093" s="650"/>
      <c r="AI2093" s="667"/>
    </row>
    <row r="2094" spans="12:35" ht="45" customHeight="1" thickBot="1" x14ac:dyDescent="0.25">
      <c r="L2094" s="645"/>
      <c r="M2094" s="616"/>
      <c r="N2094" s="616"/>
      <c r="O2094" s="616"/>
      <c r="P2094" s="615"/>
      <c r="Q2094" s="616"/>
      <c r="R2094" s="663"/>
      <c r="S2094" s="459"/>
      <c r="T2094" s="459"/>
      <c r="U2094" s="459"/>
      <c r="V2094" s="459"/>
      <c r="W2094" s="459"/>
      <c r="X2094" s="459"/>
      <c r="Y2094" s="666"/>
      <c r="Z2094" s="664"/>
      <c r="AA2094" s="665"/>
      <c r="AB2094" s="665"/>
      <c r="AC2094" s="665"/>
      <c r="AD2094" s="665"/>
      <c r="AE2094" s="665"/>
      <c r="AF2094" s="649"/>
      <c r="AG2094" s="650"/>
      <c r="AH2094" s="650"/>
      <c r="AI2094" s="667"/>
    </row>
    <row r="2095" spans="12:35" ht="45" customHeight="1" thickBot="1" x14ac:dyDescent="0.25">
      <c r="L2095" s="645"/>
      <c r="M2095" s="616"/>
      <c r="N2095" s="616"/>
      <c r="O2095" s="616"/>
      <c r="P2095" s="615"/>
      <c r="Q2095" s="616"/>
      <c r="R2095" s="663"/>
      <c r="S2095" s="459"/>
      <c r="T2095" s="459"/>
      <c r="U2095" s="459"/>
      <c r="V2095" s="459"/>
      <c r="W2095" s="459"/>
      <c r="X2095" s="459"/>
      <c r="Y2095" s="666"/>
      <c r="Z2095" s="664"/>
      <c r="AA2095" s="665"/>
      <c r="AB2095" s="665"/>
      <c r="AC2095" s="665"/>
      <c r="AD2095" s="665"/>
      <c r="AE2095" s="665"/>
      <c r="AF2095" s="649"/>
      <c r="AG2095" s="650"/>
      <c r="AH2095" s="650"/>
      <c r="AI2095" s="667"/>
    </row>
    <row r="2096" spans="12:35" ht="45" customHeight="1" thickBot="1" x14ac:dyDescent="0.25">
      <c r="L2096" s="645"/>
      <c r="M2096" s="616"/>
      <c r="N2096" s="616"/>
      <c r="O2096" s="616"/>
      <c r="P2096" s="615"/>
      <c r="Q2096" s="616"/>
      <c r="R2096" s="663"/>
      <c r="S2096" s="459"/>
      <c r="T2096" s="459"/>
      <c r="U2096" s="459"/>
      <c r="V2096" s="459"/>
      <c r="W2096" s="459"/>
      <c r="X2096" s="459"/>
      <c r="Y2096" s="666"/>
      <c r="Z2096" s="664"/>
      <c r="AA2096" s="665"/>
      <c r="AB2096" s="665"/>
      <c r="AC2096" s="665"/>
      <c r="AD2096" s="665"/>
      <c r="AE2096" s="665"/>
      <c r="AF2096" s="649"/>
      <c r="AG2096" s="650"/>
      <c r="AH2096" s="650"/>
      <c r="AI2096" s="667"/>
    </row>
    <row r="2097" spans="12:35" ht="45" customHeight="1" thickBot="1" x14ac:dyDescent="0.25">
      <c r="L2097" s="645"/>
      <c r="M2097" s="616"/>
      <c r="N2097" s="616"/>
      <c r="O2097" s="616"/>
      <c r="P2097" s="615"/>
      <c r="Q2097" s="616"/>
      <c r="R2097" s="663"/>
      <c r="S2097" s="459"/>
      <c r="T2097" s="459"/>
      <c r="U2097" s="459"/>
      <c r="V2097" s="459"/>
      <c r="W2097" s="459"/>
      <c r="X2097" s="459"/>
      <c r="Y2097" s="666"/>
      <c r="Z2097" s="664"/>
      <c r="AA2097" s="665"/>
      <c r="AB2097" s="665"/>
      <c r="AC2097" s="665"/>
      <c r="AD2097" s="665"/>
      <c r="AE2097" s="665"/>
      <c r="AF2097" s="649"/>
      <c r="AG2097" s="650"/>
      <c r="AH2097" s="650"/>
      <c r="AI2097" s="667"/>
    </row>
    <row r="2098" spans="12:35" ht="45" customHeight="1" thickBot="1" x14ac:dyDescent="0.25">
      <c r="L2098" s="645"/>
      <c r="M2098" s="616"/>
      <c r="N2098" s="616"/>
      <c r="O2098" s="616"/>
      <c r="P2098" s="615"/>
      <c r="Q2098" s="616"/>
      <c r="R2098" s="663"/>
      <c r="S2098" s="459"/>
      <c r="T2098" s="459"/>
      <c r="U2098" s="459"/>
      <c r="V2098" s="459"/>
      <c r="W2098" s="459"/>
      <c r="X2098" s="459"/>
      <c r="Y2098" s="666"/>
      <c r="Z2098" s="664"/>
      <c r="AA2098" s="665"/>
      <c r="AB2098" s="665"/>
      <c r="AC2098" s="665"/>
      <c r="AD2098" s="665"/>
      <c r="AE2098" s="665"/>
      <c r="AF2098" s="649"/>
      <c r="AG2098" s="650"/>
      <c r="AH2098" s="650"/>
      <c r="AI2098" s="667"/>
    </row>
    <row r="2099" spans="12:35" ht="45" customHeight="1" thickBot="1" x14ac:dyDescent="0.25">
      <c r="L2099" s="645"/>
      <c r="M2099" s="616"/>
      <c r="N2099" s="616"/>
      <c r="O2099" s="616"/>
      <c r="P2099" s="615"/>
      <c r="Q2099" s="616"/>
      <c r="R2099" s="663"/>
      <c r="S2099" s="459"/>
      <c r="T2099" s="459"/>
      <c r="U2099" s="459"/>
      <c r="V2099" s="459"/>
      <c r="W2099" s="459"/>
      <c r="X2099" s="459"/>
      <c r="Y2099" s="666"/>
      <c r="Z2099" s="664"/>
      <c r="AA2099" s="665"/>
      <c r="AB2099" s="665"/>
      <c r="AC2099" s="665"/>
      <c r="AD2099" s="665"/>
      <c r="AE2099" s="665"/>
      <c r="AF2099" s="649"/>
      <c r="AG2099" s="650"/>
      <c r="AH2099" s="650"/>
      <c r="AI2099" s="667"/>
    </row>
    <row r="2100" spans="12:35" ht="45" customHeight="1" thickBot="1" x14ac:dyDescent="0.25">
      <c r="L2100" s="645"/>
      <c r="M2100" s="616"/>
      <c r="N2100" s="616"/>
      <c r="O2100" s="616"/>
      <c r="P2100" s="615"/>
      <c r="Q2100" s="616"/>
      <c r="R2100" s="663"/>
      <c r="S2100" s="459"/>
      <c r="T2100" s="459"/>
      <c r="U2100" s="459"/>
      <c r="V2100" s="459"/>
      <c r="W2100" s="459"/>
      <c r="X2100" s="459"/>
      <c r="Y2100" s="666"/>
      <c r="Z2100" s="664"/>
      <c r="AA2100" s="665"/>
      <c r="AB2100" s="665"/>
      <c r="AC2100" s="665"/>
      <c r="AD2100" s="665"/>
      <c r="AE2100" s="665"/>
      <c r="AF2100" s="649"/>
      <c r="AG2100" s="650"/>
      <c r="AH2100" s="650"/>
      <c r="AI2100" s="667"/>
    </row>
    <row r="2101" spans="12:35" ht="45" customHeight="1" thickBot="1" x14ac:dyDescent="0.25">
      <c r="L2101" s="645"/>
      <c r="M2101" s="616"/>
      <c r="N2101" s="616"/>
      <c r="O2101" s="616"/>
      <c r="P2101" s="615"/>
      <c r="Q2101" s="616"/>
      <c r="R2101" s="663"/>
      <c r="S2101" s="459"/>
      <c r="T2101" s="459"/>
      <c r="U2101" s="459"/>
      <c r="V2101" s="459"/>
      <c r="W2101" s="459"/>
      <c r="X2101" s="459"/>
      <c r="Y2101" s="666"/>
      <c r="Z2101" s="664"/>
      <c r="AA2101" s="665"/>
      <c r="AB2101" s="665"/>
      <c r="AC2101" s="665"/>
      <c r="AD2101" s="665"/>
      <c r="AE2101" s="665"/>
      <c r="AF2101" s="649"/>
      <c r="AG2101" s="650"/>
      <c r="AH2101" s="650"/>
      <c r="AI2101" s="667"/>
    </row>
    <row r="2102" spans="12:35" ht="45" customHeight="1" thickBot="1" x14ac:dyDescent="0.25">
      <c r="L2102" s="645"/>
      <c r="M2102" s="616"/>
      <c r="N2102" s="616"/>
      <c r="O2102" s="616"/>
      <c r="P2102" s="615"/>
      <c r="Q2102" s="616"/>
      <c r="R2102" s="663"/>
      <c r="S2102" s="459"/>
      <c r="T2102" s="459"/>
      <c r="U2102" s="459"/>
      <c r="V2102" s="459"/>
      <c r="W2102" s="459"/>
      <c r="X2102" s="459"/>
      <c r="Y2102" s="666"/>
      <c r="Z2102" s="664"/>
      <c r="AA2102" s="665"/>
      <c r="AB2102" s="665"/>
      <c r="AC2102" s="665"/>
      <c r="AD2102" s="665"/>
      <c r="AE2102" s="665"/>
      <c r="AF2102" s="649"/>
      <c r="AG2102" s="650"/>
      <c r="AH2102" s="650"/>
      <c r="AI2102" s="667"/>
    </row>
    <row r="2103" spans="12:35" ht="45" customHeight="1" thickBot="1" x14ac:dyDescent="0.25">
      <c r="L2103" s="645"/>
      <c r="M2103" s="616"/>
      <c r="N2103" s="616"/>
      <c r="O2103" s="616"/>
      <c r="P2103" s="615"/>
      <c r="Q2103" s="616"/>
      <c r="R2103" s="663"/>
      <c r="S2103" s="459"/>
      <c r="T2103" s="459"/>
      <c r="U2103" s="459"/>
      <c r="V2103" s="459"/>
      <c r="W2103" s="459"/>
      <c r="X2103" s="459"/>
      <c r="Y2103" s="666"/>
      <c r="Z2103" s="664"/>
      <c r="AA2103" s="665"/>
      <c r="AB2103" s="665"/>
      <c r="AC2103" s="665"/>
      <c r="AD2103" s="665"/>
      <c r="AE2103" s="665"/>
      <c r="AF2103" s="649"/>
      <c r="AG2103" s="650"/>
      <c r="AH2103" s="650"/>
      <c r="AI2103" s="667"/>
    </row>
    <row r="2104" spans="12:35" ht="45" customHeight="1" thickBot="1" x14ac:dyDescent="0.25">
      <c r="L2104" s="645"/>
      <c r="M2104" s="616"/>
      <c r="N2104" s="616"/>
      <c r="O2104" s="616"/>
      <c r="P2104" s="615"/>
      <c r="Q2104" s="616"/>
      <c r="R2104" s="663"/>
      <c r="S2104" s="459"/>
      <c r="T2104" s="459"/>
      <c r="U2104" s="459"/>
      <c r="V2104" s="459"/>
      <c r="W2104" s="459"/>
      <c r="X2104" s="459"/>
      <c r="Y2104" s="666"/>
      <c r="Z2104" s="664"/>
      <c r="AA2104" s="665"/>
      <c r="AB2104" s="665"/>
      <c r="AC2104" s="665"/>
      <c r="AD2104" s="665"/>
      <c r="AE2104" s="665"/>
      <c r="AF2104" s="649"/>
      <c r="AG2104" s="650"/>
      <c r="AH2104" s="650"/>
      <c r="AI2104" s="667"/>
    </row>
    <row r="2105" spans="12:35" ht="45" customHeight="1" thickBot="1" x14ac:dyDescent="0.25">
      <c r="L2105" s="645"/>
      <c r="M2105" s="616"/>
      <c r="N2105" s="616"/>
      <c r="O2105" s="616"/>
      <c r="P2105" s="615"/>
      <c r="Q2105" s="616"/>
      <c r="R2105" s="663"/>
      <c r="S2105" s="459"/>
      <c r="T2105" s="459"/>
      <c r="U2105" s="459"/>
      <c r="V2105" s="459"/>
      <c r="W2105" s="459"/>
      <c r="X2105" s="459"/>
      <c r="Y2105" s="666"/>
      <c r="Z2105" s="664"/>
      <c r="AA2105" s="665"/>
      <c r="AB2105" s="665"/>
      <c r="AC2105" s="665"/>
      <c r="AD2105" s="665"/>
      <c r="AE2105" s="665"/>
      <c r="AF2105" s="649"/>
      <c r="AG2105" s="650"/>
      <c r="AH2105" s="650"/>
      <c r="AI2105" s="667"/>
    </row>
    <row r="2106" spans="12:35" ht="45" customHeight="1" thickBot="1" x14ac:dyDescent="0.25">
      <c r="L2106" s="645"/>
      <c r="M2106" s="616"/>
      <c r="N2106" s="616"/>
      <c r="O2106" s="616"/>
      <c r="P2106" s="615"/>
      <c r="Q2106" s="616"/>
      <c r="R2106" s="663"/>
      <c r="S2106" s="459"/>
      <c r="T2106" s="459"/>
      <c r="U2106" s="459"/>
      <c r="V2106" s="459"/>
      <c r="W2106" s="459"/>
      <c r="X2106" s="459"/>
      <c r="Y2106" s="666"/>
      <c r="Z2106" s="664"/>
      <c r="AA2106" s="665"/>
      <c r="AB2106" s="665"/>
      <c r="AC2106" s="665"/>
      <c r="AD2106" s="665"/>
      <c r="AE2106" s="665"/>
      <c r="AF2106" s="649"/>
      <c r="AG2106" s="650"/>
      <c r="AH2106" s="650"/>
      <c r="AI2106" s="667"/>
    </row>
    <row r="2107" spans="12:35" ht="45" customHeight="1" thickBot="1" x14ac:dyDescent="0.25">
      <c r="L2107" s="645"/>
      <c r="M2107" s="616"/>
      <c r="N2107" s="616"/>
      <c r="O2107" s="616"/>
      <c r="P2107" s="615"/>
      <c r="Q2107" s="616"/>
      <c r="R2107" s="663"/>
      <c r="S2107" s="459"/>
      <c r="T2107" s="459"/>
      <c r="U2107" s="459"/>
      <c r="V2107" s="459"/>
      <c r="W2107" s="459"/>
      <c r="X2107" s="459"/>
      <c r="Y2107" s="666"/>
      <c r="Z2107" s="664"/>
      <c r="AA2107" s="665"/>
      <c r="AB2107" s="665"/>
      <c r="AC2107" s="665"/>
      <c r="AD2107" s="665"/>
      <c r="AE2107" s="665"/>
      <c r="AF2107" s="649"/>
      <c r="AG2107" s="650"/>
      <c r="AH2107" s="650"/>
      <c r="AI2107" s="667"/>
    </row>
    <row r="2108" spans="12:35" ht="45" customHeight="1" thickBot="1" x14ac:dyDescent="0.25">
      <c r="L2108" s="645"/>
      <c r="M2108" s="616"/>
      <c r="N2108" s="616"/>
      <c r="O2108" s="616"/>
      <c r="P2108" s="615"/>
      <c r="Q2108" s="616"/>
      <c r="R2108" s="663"/>
      <c r="S2108" s="459"/>
      <c r="T2108" s="459"/>
      <c r="U2108" s="459"/>
      <c r="V2108" s="459"/>
      <c r="W2108" s="459"/>
      <c r="X2108" s="459"/>
      <c r="Y2108" s="666"/>
      <c r="Z2108" s="664"/>
      <c r="AA2108" s="665"/>
      <c r="AB2108" s="665"/>
      <c r="AC2108" s="665"/>
      <c r="AD2108" s="665"/>
      <c r="AE2108" s="665"/>
      <c r="AF2108" s="649"/>
      <c r="AG2108" s="650"/>
      <c r="AH2108" s="650"/>
      <c r="AI2108" s="667"/>
    </row>
    <row r="2109" spans="12:35" ht="45" customHeight="1" thickBot="1" x14ac:dyDescent="0.25">
      <c r="L2109" s="645"/>
      <c r="M2109" s="616"/>
      <c r="N2109" s="616"/>
      <c r="O2109" s="616"/>
      <c r="P2109" s="615"/>
      <c r="Q2109" s="616"/>
      <c r="R2109" s="663"/>
      <c r="S2109" s="459"/>
      <c r="T2109" s="459"/>
      <c r="U2109" s="459"/>
      <c r="V2109" s="459"/>
      <c r="W2109" s="459"/>
      <c r="X2109" s="459"/>
      <c r="Y2109" s="666"/>
      <c r="Z2109" s="664"/>
      <c r="AA2109" s="665"/>
      <c r="AB2109" s="665"/>
      <c r="AC2109" s="665"/>
      <c r="AD2109" s="665"/>
      <c r="AE2109" s="665"/>
      <c r="AF2109" s="649"/>
      <c r="AG2109" s="650"/>
      <c r="AH2109" s="650"/>
      <c r="AI2109" s="667"/>
    </row>
    <row r="2110" spans="12:35" ht="45" customHeight="1" thickBot="1" x14ac:dyDescent="0.25">
      <c r="L2110" s="645"/>
      <c r="M2110" s="616"/>
      <c r="N2110" s="616"/>
      <c r="O2110" s="616"/>
      <c r="P2110" s="615"/>
      <c r="Q2110" s="616"/>
      <c r="R2110" s="663"/>
      <c r="S2110" s="459"/>
      <c r="T2110" s="459"/>
      <c r="U2110" s="459"/>
      <c r="V2110" s="459"/>
      <c r="W2110" s="459"/>
      <c r="X2110" s="459"/>
      <c r="Y2110" s="666"/>
      <c r="Z2110" s="664"/>
      <c r="AA2110" s="665"/>
      <c r="AB2110" s="665"/>
      <c r="AC2110" s="665"/>
      <c r="AD2110" s="665"/>
      <c r="AE2110" s="665"/>
      <c r="AF2110" s="649"/>
      <c r="AG2110" s="650"/>
      <c r="AH2110" s="650"/>
      <c r="AI2110" s="667"/>
    </row>
    <row r="2111" spans="12:35" ht="45" customHeight="1" thickBot="1" x14ac:dyDescent="0.25">
      <c r="L2111" s="645"/>
      <c r="M2111" s="616"/>
      <c r="N2111" s="616"/>
      <c r="O2111" s="616"/>
      <c r="P2111" s="615"/>
      <c r="Q2111" s="616"/>
      <c r="R2111" s="663"/>
      <c r="S2111" s="459"/>
      <c r="T2111" s="459"/>
      <c r="U2111" s="459"/>
      <c r="V2111" s="459"/>
      <c r="W2111" s="459"/>
      <c r="X2111" s="459"/>
      <c r="Y2111" s="666"/>
      <c r="Z2111" s="664"/>
      <c r="AA2111" s="665"/>
      <c r="AB2111" s="665"/>
      <c r="AC2111" s="665"/>
      <c r="AD2111" s="665"/>
      <c r="AE2111" s="665"/>
      <c r="AF2111" s="649"/>
      <c r="AG2111" s="650"/>
      <c r="AH2111" s="650"/>
      <c r="AI2111" s="667"/>
    </row>
    <row r="2112" spans="12:35" ht="45" customHeight="1" thickBot="1" x14ac:dyDescent="0.25">
      <c r="L2112" s="645"/>
      <c r="M2112" s="616"/>
      <c r="N2112" s="616"/>
      <c r="O2112" s="616"/>
      <c r="P2112" s="615"/>
      <c r="Q2112" s="616"/>
      <c r="R2112" s="663"/>
      <c r="S2112" s="459"/>
      <c r="T2112" s="459"/>
      <c r="U2112" s="459"/>
      <c r="V2112" s="459"/>
      <c r="W2112" s="459"/>
      <c r="X2112" s="459"/>
      <c r="Y2112" s="666"/>
      <c r="Z2112" s="664"/>
      <c r="AA2112" s="665"/>
      <c r="AB2112" s="665"/>
      <c r="AC2112" s="665"/>
      <c r="AD2112" s="665"/>
      <c r="AE2112" s="665"/>
      <c r="AF2112" s="649"/>
      <c r="AG2112" s="650"/>
      <c r="AH2112" s="650"/>
      <c r="AI2112" s="667"/>
    </row>
    <row r="2113" spans="12:35" ht="45" customHeight="1" thickBot="1" x14ac:dyDescent="0.25">
      <c r="L2113" s="645"/>
      <c r="M2113" s="616"/>
      <c r="N2113" s="616"/>
      <c r="O2113" s="616"/>
      <c r="P2113" s="615"/>
      <c r="Q2113" s="616"/>
      <c r="R2113" s="663"/>
      <c r="S2113" s="459"/>
      <c r="T2113" s="459"/>
      <c r="U2113" s="459"/>
      <c r="V2113" s="459"/>
      <c r="W2113" s="459"/>
      <c r="X2113" s="459"/>
      <c r="Y2113" s="666"/>
      <c r="Z2113" s="664"/>
      <c r="AA2113" s="665"/>
      <c r="AB2113" s="665"/>
      <c r="AC2113" s="665"/>
      <c r="AD2113" s="665"/>
      <c r="AE2113" s="665"/>
      <c r="AF2113" s="649"/>
      <c r="AG2113" s="650"/>
      <c r="AH2113" s="650"/>
      <c r="AI2113" s="667"/>
    </row>
    <row r="2114" spans="12:35" ht="45" customHeight="1" thickBot="1" x14ac:dyDescent="0.25">
      <c r="L2114" s="645"/>
      <c r="M2114" s="616"/>
      <c r="N2114" s="616"/>
      <c r="O2114" s="616"/>
      <c r="P2114" s="615"/>
      <c r="Q2114" s="616"/>
      <c r="R2114" s="663"/>
      <c r="S2114" s="459"/>
      <c r="T2114" s="459"/>
      <c r="U2114" s="459"/>
      <c r="V2114" s="459"/>
      <c r="W2114" s="459"/>
      <c r="X2114" s="459"/>
      <c r="Y2114" s="666"/>
      <c r="Z2114" s="664"/>
      <c r="AA2114" s="665"/>
      <c r="AB2114" s="665"/>
      <c r="AC2114" s="665"/>
      <c r="AD2114" s="665"/>
      <c r="AE2114" s="665"/>
      <c r="AF2114" s="649"/>
      <c r="AG2114" s="650"/>
      <c r="AH2114" s="650"/>
      <c r="AI2114" s="667"/>
    </row>
    <row r="2115" spans="12:35" ht="45" customHeight="1" thickBot="1" x14ac:dyDescent="0.25">
      <c r="L2115" s="645"/>
      <c r="M2115" s="616"/>
      <c r="N2115" s="616"/>
      <c r="O2115" s="616"/>
      <c r="P2115" s="615"/>
      <c r="Q2115" s="616"/>
      <c r="R2115" s="663"/>
      <c r="S2115" s="459"/>
      <c r="T2115" s="459"/>
      <c r="U2115" s="459"/>
      <c r="V2115" s="459"/>
      <c r="W2115" s="459"/>
      <c r="X2115" s="459"/>
      <c r="Y2115" s="666"/>
      <c r="Z2115" s="664"/>
      <c r="AA2115" s="665"/>
      <c r="AB2115" s="665"/>
      <c r="AC2115" s="665"/>
      <c r="AD2115" s="665"/>
      <c r="AE2115" s="665"/>
      <c r="AF2115" s="649"/>
      <c r="AG2115" s="650"/>
      <c r="AH2115" s="650"/>
      <c r="AI2115" s="667"/>
    </row>
    <row r="2116" spans="12:35" ht="45" customHeight="1" thickBot="1" x14ac:dyDescent="0.25">
      <c r="L2116" s="645"/>
      <c r="M2116" s="616"/>
      <c r="N2116" s="616"/>
      <c r="O2116" s="616"/>
      <c r="P2116" s="615"/>
      <c r="Q2116" s="616"/>
      <c r="R2116" s="663"/>
      <c r="S2116" s="459"/>
      <c r="T2116" s="459"/>
      <c r="U2116" s="459"/>
      <c r="V2116" s="459"/>
      <c r="W2116" s="459"/>
      <c r="X2116" s="459"/>
      <c r="Y2116" s="666"/>
      <c r="Z2116" s="664"/>
      <c r="AA2116" s="665"/>
      <c r="AB2116" s="665"/>
      <c r="AC2116" s="665"/>
      <c r="AD2116" s="665"/>
      <c r="AE2116" s="665"/>
      <c r="AF2116" s="649"/>
      <c r="AG2116" s="650"/>
      <c r="AH2116" s="650"/>
      <c r="AI2116" s="667"/>
    </row>
    <row r="2117" spans="12:35" ht="45" customHeight="1" thickBot="1" x14ac:dyDescent="0.25">
      <c r="L2117" s="645"/>
      <c r="M2117" s="616"/>
      <c r="N2117" s="616"/>
      <c r="O2117" s="616"/>
      <c r="P2117" s="615"/>
      <c r="Q2117" s="616"/>
      <c r="R2117" s="663"/>
      <c r="S2117" s="459"/>
      <c r="T2117" s="459"/>
      <c r="U2117" s="459"/>
      <c r="V2117" s="459"/>
      <c r="W2117" s="459"/>
      <c r="X2117" s="459"/>
      <c r="Y2117" s="666"/>
      <c r="Z2117" s="664"/>
      <c r="AA2117" s="665"/>
      <c r="AB2117" s="665"/>
      <c r="AC2117" s="665"/>
      <c r="AD2117" s="665"/>
      <c r="AE2117" s="665"/>
      <c r="AF2117" s="649"/>
      <c r="AG2117" s="650"/>
      <c r="AH2117" s="650"/>
      <c r="AI2117" s="667"/>
    </row>
    <row r="2118" spans="12:35" ht="45" customHeight="1" thickBot="1" x14ac:dyDescent="0.25">
      <c r="L2118" s="645"/>
      <c r="M2118" s="616"/>
      <c r="N2118" s="616"/>
      <c r="O2118" s="616"/>
      <c r="P2118" s="615"/>
      <c r="Q2118" s="616"/>
      <c r="R2118" s="663"/>
      <c r="S2118" s="459"/>
      <c r="T2118" s="459"/>
      <c r="U2118" s="459"/>
      <c r="V2118" s="459"/>
      <c r="W2118" s="459"/>
      <c r="X2118" s="459"/>
      <c r="Y2118" s="666"/>
      <c r="Z2118" s="664"/>
      <c r="AA2118" s="665"/>
      <c r="AB2118" s="665"/>
      <c r="AC2118" s="665"/>
      <c r="AD2118" s="665"/>
      <c r="AE2118" s="665"/>
      <c r="AF2118" s="649"/>
      <c r="AG2118" s="650"/>
      <c r="AH2118" s="650"/>
      <c r="AI2118" s="667"/>
    </row>
    <row r="2119" spans="12:35" ht="45" customHeight="1" thickBot="1" x14ac:dyDescent="0.25">
      <c r="L2119" s="645"/>
      <c r="M2119" s="616"/>
      <c r="N2119" s="616"/>
      <c r="O2119" s="616"/>
      <c r="P2119" s="615"/>
      <c r="Q2119" s="616"/>
      <c r="R2119" s="663"/>
      <c r="S2119" s="459"/>
      <c r="T2119" s="459"/>
      <c r="U2119" s="459"/>
      <c r="V2119" s="459"/>
      <c r="W2119" s="459"/>
      <c r="X2119" s="459"/>
      <c r="Y2119" s="666"/>
      <c r="Z2119" s="664"/>
      <c r="AA2119" s="665"/>
      <c r="AB2119" s="665"/>
      <c r="AC2119" s="665"/>
      <c r="AD2119" s="665"/>
      <c r="AE2119" s="665"/>
      <c r="AF2119" s="649"/>
      <c r="AG2119" s="650"/>
      <c r="AH2119" s="650"/>
      <c r="AI2119" s="667"/>
    </row>
    <row r="2120" spans="12:35" ht="45" customHeight="1" thickBot="1" x14ac:dyDescent="0.25">
      <c r="L2120" s="645"/>
      <c r="M2120" s="616"/>
      <c r="N2120" s="616"/>
      <c r="O2120" s="616"/>
      <c r="P2120" s="615"/>
      <c r="Q2120" s="616"/>
      <c r="R2120" s="663"/>
      <c r="S2120" s="459"/>
      <c r="T2120" s="459"/>
      <c r="U2120" s="459"/>
      <c r="V2120" s="459"/>
      <c r="W2120" s="459"/>
      <c r="X2120" s="459"/>
      <c r="Y2120" s="666"/>
      <c r="Z2120" s="664"/>
      <c r="AA2120" s="665"/>
      <c r="AB2120" s="665"/>
      <c r="AC2120" s="665"/>
      <c r="AD2120" s="665"/>
      <c r="AE2120" s="665"/>
      <c r="AF2120" s="649"/>
      <c r="AG2120" s="650"/>
      <c r="AH2120" s="650"/>
      <c r="AI2120" s="667"/>
    </row>
    <row r="2121" spans="12:35" ht="45" customHeight="1" thickBot="1" x14ac:dyDescent="0.25">
      <c r="L2121" s="645"/>
      <c r="M2121" s="616"/>
      <c r="N2121" s="616"/>
      <c r="O2121" s="616"/>
      <c r="P2121" s="615"/>
      <c r="Q2121" s="616"/>
      <c r="R2121" s="663"/>
      <c r="S2121" s="459"/>
      <c r="T2121" s="459"/>
      <c r="U2121" s="459"/>
      <c r="V2121" s="459"/>
      <c r="W2121" s="459"/>
      <c r="X2121" s="459"/>
      <c r="Y2121" s="666"/>
      <c r="Z2121" s="664"/>
      <c r="AA2121" s="665"/>
      <c r="AB2121" s="665"/>
      <c r="AC2121" s="665"/>
      <c r="AD2121" s="665"/>
      <c r="AE2121" s="665"/>
      <c r="AF2121" s="649"/>
      <c r="AG2121" s="650"/>
      <c r="AH2121" s="650"/>
      <c r="AI2121" s="667"/>
    </row>
    <row r="2122" spans="12:35" ht="45" customHeight="1" thickBot="1" x14ac:dyDescent="0.25">
      <c r="L2122" s="645"/>
      <c r="M2122" s="616"/>
      <c r="N2122" s="616"/>
      <c r="O2122" s="616"/>
      <c r="P2122" s="615"/>
      <c r="Q2122" s="616"/>
      <c r="R2122" s="663"/>
      <c r="S2122" s="459"/>
      <c r="T2122" s="459"/>
      <c r="U2122" s="459"/>
      <c r="V2122" s="459"/>
      <c r="W2122" s="459"/>
      <c r="X2122" s="459"/>
      <c r="Y2122" s="666"/>
      <c r="Z2122" s="664"/>
      <c r="AA2122" s="665"/>
      <c r="AB2122" s="665"/>
      <c r="AC2122" s="665"/>
      <c r="AD2122" s="665"/>
      <c r="AE2122" s="665"/>
      <c r="AF2122" s="649"/>
      <c r="AG2122" s="650"/>
      <c r="AH2122" s="650"/>
      <c r="AI2122" s="667"/>
    </row>
    <row r="2123" spans="12:35" ht="45" customHeight="1" thickBot="1" x14ac:dyDescent="0.25">
      <c r="L2123" s="645"/>
      <c r="M2123" s="616"/>
      <c r="N2123" s="616"/>
      <c r="O2123" s="616"/>
      <c r="P2123" s="615"/>
      <c r="Q2123" s="616"/>
      <c r="R2123" s="663"/>
      <c r="S2123" s="459"/>
      <c r="T2123" s="459"/>
      <c r="U2123" s="459"/>
      <c r="V2123" s="459"/>
      <c r="W2123" s="459"/>
      <c r="X2123" s="459"/>
      <c r="Y2123" s="666"/>
      <c r="Z2123" s="664"/>
      <c r="AA2123" s="665"/>
      <c r="AB2123" s="665"/>
      <c r="AC2123" s="665"/>
      <c r="AD2123" s="665"/>
      <c r="AE2123" s="665"/>
      <c r="AF2123" s="649"/>
      <c r="AG2123" s="650"/>
      <c r="AH2123" s="650"/>
      <c r="AI2123" s="667"/>
    </row>
    <row r="2124" spans="12:35" ht="45" customHeight="1" thickBot="1" x14ac:dyDescent="0.25">
      <c r="L2124" s="645"/>
      <c r="M2124" s="616"/>
      <c r="N2124" s="616"/>
      <c r="O2124" s="616"/>
      <c r="P2124" s="615"/>
      <c r="Q2124" s="616"/>
      <c r="R2124" s="663"/>
      <c r="S2124" s="459"/>
      <c r="T2124" s="459"/>
      <c r="U2124" s="459"/>
      <c r="V2124" s="459"/>
      <c r="W2124" s="459"/>
      <c r="X2124" s="459"/>
      <c r="Y2124" s="666"/>
      <c r="Z2124" s="664"/>
      <c r="AA2124" s="665"/>
      <c r="AB2124" s="665"/>
      <c r="AC2124" s="665"/>
      <c r="AD2124" s="665"/>
      <c r="AE2124" s="665"/>
      <c r="AF2124" s="649"/>
      <c r="AG2124" s="650"/>
      <c r="AH2124" s="650"/>
      <c r="AI2124" s="667"/>
    </row>
    <row r="2125" spans="12:35" ht="45" customHeight="1" thickBot="1" x14ac:dyDescent="0.25">
      <c r="L2125" s="645"/>
      <c r="M2125" s="616"/>
      <c r="N2125" s="616"/>
      <c r="O2125" s="616"/>
      <c r="P2125" s="615"/>
      <c r="Q2125" s="616"/>
      <c r="R2125" s="663"/>
      <c r="S2125" s="459"/>
      <c r="T2125" s="459"/>
      <c r="U2125" s="459"/>
      <c r="V2125" s="459"/>
      <c r="W2125" s="459"/>
      <c r="X2125" s="459"/>
      <c r="Y2125" s="666"/>
      <c r="Z2125" s="664"/>
      <c r="AA2125" s="665"/>
      <c r="AB2125" s="665"/>
      <c r="AC2125" s="665"/>
      <c r="AD2125" s="665"/>
      <c r="AE2125" s="665"/>
      <c r="AF2125" s="649"/>
      <c r="AG2125" s="650"/>
      <c r="AH2125" s="650"/>
      <c r="AI2125" s="667"/>
    </row>
    <row r="2126" spans="12:35" ht="45" customHeight="1" thickBot="1" x14ac:dyDescent="0.25">
      <c r="L2126" s="645"/>
      <c r="M2126" s="616"/>
      <c r="N2126" s="616"/>
      <c r="O2126" s="616"/>
      <c r="P2126" s="615"/>
      <c r="Q2126" s="616"/>
      <c r="R2126" s="663"/>
      <c r="S2126" s="459"/>
      <c r="T2126" s="459"/>
      <c r="U2126" s="459"/>
      <c r="V2126" s="459"/>
      <c r="W2126" s="459"/>
      <c r="X2126" s="459"/>
      <c r="Y2126" s="666"/>
      <c r="Z2126" s="664"/>
      <c r="AA2126" s="665"/>
      <c r="AB2126" s="665"/>
      <c r="AC2126" s="665"/>
      <c r="AD2126" s="665"/>
      <c r="AE2126" s="665"/>
      <c r="AF2126" s="649"/>
      <c r="AG2126" s="650"/>
      <c r="AH2126" s="650"/>
      <c r="AI2126" s="667"/>
    </row>
    <row r="2127" spans="12:35" ht="45" customHeight="1" thickBot="1" x14ac:dyDescent="0.25">
      <c r="L2127" s="645"/>
      <c r="M2127" s="616"/>
      <c r="N2127" s="616"/>
      <c r="O2127" s="616"/>
      <c r="P2127" s="615"/>
      <c r="Q2127" s="616"/>
      <c r="R2127" s="663"/>
      <c r="S2127" s="459"/>
      <c r="T2127" s="459"/>
      <c r="U2127" s="459"/>
      <c r="V2127" s="459"/>
      <c r="W2127" s="459"/>
      <c r="X2127" s="459"/>
      <c r="Y2127" s="666"/>
      <c r="Z2127" s="664"/>
      <c r="AA2127" s="665"/>
      <c r="AB2127" s="665"/>
      <c r="AC2127" s="665"/>
      <c r="AD2127" s="665"/>
      <c r="AE2127" s="665"/>
      <c r="AF2127" s="649"/>
      <c r="AG2127" s="650"/>
      <c r="AH2127" s="650"/>
      <c r="AI2127" s="667"/>
    </row>
    <row r="2128" spans="12:35" ht="45" customHeight="1" thickBot="1" x14ac:dyDescent="0.25">
      <c r="L2128" s="645"/>
      <c r="M2128" s="616"/>
      <c r="N2128" s="616"/>
      <c r="O2128" s="616"/>
      <c r="P2128" s="615"/>
      <c r="Q2128" s="616"/>
      <c r="R2128" s="663"/>
      <c r="S2128" s="459"/>
      <c r="T2128" s="459"/>
      <c r="U2128" s="459"/>
      <c r="V2128" s="459"/>
      <c r="W2128" s="459"/>
      <c r="X2128" s="459"/>
      <c r="Y2128" s="666"/>
      <c r="Z2128" s="664"/>
      <c r="AA2128" s="665"/>
      <c r="AB2128" s="665"/>
      <c r="AC2128" s="665"/>
      <c r="AD2128" s="665"/>
      <c r="AE2128" s="665"/>
      <c r="AF2128" s="649"/>
      <c r="AG2128" s="650"/>
      <c r="AH2128" s="650"/>
      <c r="AI2128" s="667"/>
    </row>
    <row r="2129" spans="12:35" ht="45" customHeight="1" thickBot="1" x14ac:dyDescent="0.25">
      <c r="L2129" s="645"/>
      <c r="M2129" s="616"/>
      <c r="N2129" s="616"/>
      <c r="O2129" s="616"/>
      <c r="P2129" s="615"/>
      <c r="Q2129" s="616"/>
      <c r="R2129" s="663"/>
      <c r="S2129" s="459"/>
      <c r="T2129" s="459"/>
      <c r="U2129" s="459"/>
      <c r="V2129" s="459"/>
      <c r="W2129" s="459"/>
      <c r="X2129" s="459"/>
      <c r="Y2129" s="666"/>
      <c r="Z2129" s="664"/>
      <c r="AA2129" s="665"/>
      <c r="AB2129" s="665"/>
      <c r="AC2129" s="665"/>
      <c r="AD2129" s="665"/>
      <c r="AE2129" s="665"/>
      <c r="AF2129" s="649"/>
      <c r="AG2129" s="650"/>
      <c r="AH2129" s="650"/>
      <c r="AI2129" s="667"/>
    </row>
    <row r="2130" spans="12:35" ht="45" customHeight="1" thickBot="1" x14ac:dyDescent="0.25">
      <c r="L2130" s="645"/>
      <c r="M2130" s="616"/>
      <c r="N2130" s="616"/>
      <c r="O2130" s="616"/>
      <c r="P2130" s="615"/>
      <c r="Q2130" s="616"/>
      <c r="R2130" s="663"/>
      <c r="S2130" s="459"/>
      <c r="T2130" s="459"/>
      <c r="U2130" s="459"/>
      <c r="V2130" s="459"/>
      <c r="W2130" s="459"/>
      <c r="X2130" s="459"/>
      <c r="Y2130" s="666"/>
      <c r="Z2130" s="664"/>
      <c r="AA2130" s="665"/>
      <c r="AB2130" s="665"/>
      <c r="AC2130" s="665"/>
      <c r="AD2130" s="665"/>
      <c r="AE2130" s="665"/>
      <c r="AF2130" s="649"/>
      <c r="AG2130" s="650"/>
      <c r="AH2130" s="650"/>
      <c r="AI2130" s="667"/>
    </row>
    <row r="2131" spans="12:35" ht="45" customHeight="1" thickBot="1" x14ac:dyDescent="0.25">
      <c r="L2131" s="645"/>
      <c r="M2131" s="616"/>
      <c r="N2131" s="616"/>
      <c r="O2131" s="616"/>
      <c r="P2131" s="615"/>
      <c r="Q2131" s="616"/>
      <c r="R2131" s="663"/>
      <c r="S2131" s="459"/>
      <c r="T2131" s="459"/>
      <c r="U2131" s="459"/>
      <c r="V2131" s="459"/>
      <c r="W2131" s="459"/>
      <c r="X2131" s="459"/>
      <c r="Y2131" s="666"/>
      <c r="Z2131" s="664"/>
      <c r="AA2131" s="665"/>
      <c r="AB2131" s="665"/>
      <c r="AC2131" s="665"/>
      <c r="AD2131" s="665"/>
      <c r="AE2131" s="665"/>
      <c r="AF2131" s="649"/>
      <c r="AG2131" s="650"/>
      <c r="AH2131" s="650"/>
      <c r="AI2131" s="667"/>
    </row>
    <row r="2132" spans="12:35" ht="45" customHeight="1" thickBot="1" x14ac:dyDescent="0.25">
      <c r="L2132" s="645"/>
      <c r="M2132" s="616"/>
      <c r="N2132" s="616"/>
      <c r="O2132" s="616"/>
      <c r="P2132" s="615"/>
      <c r="Q2132" s="616"/>
      <c r="R2132" s="663"/>
      <c r="S2132" s="459"/>
      <c r="T2132" s="459"/>
      <c r="U2132" s="459"/>
      <c r="V2132" s="459"/>
      <c r="W2132" s="459"/>
      <c r="X2132" s="459"/>
      <c r="Y2132" s="666"/>
      <c r="Z2132" s="664"/>
      <c r="AA2132" s="665"/>
      <c r="AB2132" s="665"/>
      <c r="AC2132" s="665"/>
      <c r="AD2132" s="665"/>
      <c r="AE2132" s="665"/>
      <c r="AF2132" s="649"/>
      <c r="AG2132" s="650"/>
      <c r="AH2132" s="650"/>
      <c r="AI2132" s="667"/>
    </row>
    <row r="2133" spans="12:35" ht="45" customHeight="1" thickBot="1" x14ac:dyDescent="0.25">
      <c r="L2133" s="645"/>
      <c r="M2133" s="616"/>
      <c r="N2133" s="616"/>
      <c r="O2133" s="616"/>
      <c r="P2133" s="615"/>
      <c r="Q2133" s="616"/>
      <c r="R2133" s="663"/>
      <c r="S2133" s="459"/>
      <c r="T2133" s="459"/>
      <c r="U2133" s="459"/>
      <c r="V2133" s="459"/>
      <c r="W2133" s="459"/>
      <c r="X2133" s="459"/>
      <c r="Y2133" s="666"/>
      <c r="Z2133" s="664"/>
      <c r="AA2133" s="665"/>
      <c r="AB2133" s="665"/>
      <c r="AC2133" s="665"/>
      <c r="AD2133" s="665"/>
      <c r="AE2133" s="665"/>
      <c r="AF2133" s="649"/>
      <c r="AG2133" s="650"/>
      <c r="AH2133" s="650"/>
      <c r="AI2133" s="667"/>
    </row>
    <row r="2134" spans="12:35" ht="45" customHeight="1" thickBot="1" x14ac:dyDescent="0.25">
      <c r="L2134" s="645"/>
      <c r="M2134" s="616"/>
      <c r="N2134" s="616"/>
      <c r="O2134" s="616"/>
      <c r="P2134" s="615"/>
      <c r="Q2134" s="616"/>
      <c r="R2134" s="663"/>
      <c r="S2134" s="459"/>
      <c r="T2134" s="459"/>
      <c r="U2134" s="459"/>
      <c r="V2134" s="459"/>
      <c r="W2134" s="459"/>
      <c r="X2134" s="459"/>
      <c r="Y2134" s="666"/>
      <c r="Z2134" s="664"/>
      <c r="AA2134" s="665"/>
      <c r="AB2134" s="665"/>
      <c r="AC2134" s="665"/>
      <c r="AD2134" s="665"/>
      <c r="AE2134" s="665"/>
      <c r="AF2134" s="649"/>
      <c r="AG2134" s="650"/>
      <c r="AH2134" s="650"/>
      <c r="AI2134" s="667"/>
    </row>
    <row r="2135" spans="12:35" ht="45" customHeight="1" thickBot="1" x14ac:dyDescent="0.25">
      <c r="L2135" s="645"/>
      <c r="M2135" s="616"/>
      <c r="N2135" s="616"/>
      <c r="O2135" s="616"/>
      <c r="P2135" s="615"/>
      <c r="Q2135" s="616"/>
      <c r="R2135" s="663"/>
      <c r="S2135" s="459"/>
      <c r="T2135" s="459"/>
      <c r="U2135" s="459"/>
      <c r="V2135" s="459"/>
      <c r="W2135" s="459"/>
      <c r="X2135" s="459"/>
      <c r="Y2135" s="666"/>
      <c r="Z2135" s="664"/>
      <c r="AA2135" s="665"/>
      <c r="AB2135" s="665"/>
      <c r="AC2135" s="665"/>
      <c r="AD2135" s="665"/>
      <c r="AE2135" s="665"/>
      <c r="AF2135" s="649"/>
      <c r="AG2135" s="650"/>
      <c r="AH2135" s="650"/>
      <c r="AI2135" s="667"/>
    </row>
    <row r="2136" spans="12:35" ht="45" customHeight="1" thickBot="1" x14ac:dyDescent="0.25">
      <c r="L2136" s="645"/>
      <c r="M2136" s="616"/>
      <c r="N2136" s="616"/>
      <c r="O2136" s="616"/>
      <c r="P2136" s="615"/>
      <c r="Q2136" s="616"/>
      <c r="R2136" s="663"/>
      <c r="S2136" s="459"/>
      <c r="T2136" s="459"/>
      <c r="U2136" s="459"/>
      <c r="V2136" s="459"/>
      <c r="W2136" s="459"/>
      <c r="X2136" s="459"/>
      <c r="Y2136" s="666"/>
      <c r="Z2136" s="664"/>
      <c r="AA2136" s="665"/>
      <c r="AB2136" s="665"/>
      <c r="AC2136" s="665"/>
      <c r="AD2136" s="665"/>
      <c r="AE2136" s="665"/>
      <c r="AF2136" s="649"/>
      <c r="AG2136" s="650"/>
      <c r="AH2136" s="650"/>
      <c r="AI2136" s="667"/>
    </row>
    <row r="2137" spans="12:35" ht="45" customHeight="1" thickBot="1" x14ac:dyDescent="0.25">
      <c r="L2137" s="645"/>
      <c r="M2137" s="616"/>
      <c r="N2137" s="616"/>
      <c r="O2137" s="616"/>
      <c r="P2137" s="615"/>
      <c r="Q2137" s="616"/>
      <c r="R2137" s="663"/>
      <c r="S2137" s="459"/>
      <c r="T2137" s="459"/>
      <c r="U2137" s="459"/>
      <c r="V2137" s="459"/>
      <c r="W2137" s="459"/>
      <c r="X2137" s="459"/>
      <c r="Y2137" s="666"/>
      <c r="Z2137" s="664"/>
      <c r="AA2137" s="665"/>
      <c r="AB2137" s="665"/>
      <c r="AC2137" s="665"/>
      <c r="AD2137" s="665"/>
      <c r="AE2137" s="665"/>
      <c r="AF2137" s="649"/>
      <c r="AG2137" s="650"/>
      <c r="AH2137" s="650"/>
      <c r="AI2137" s="667"/>
    </row>
    <row r="2138" spans="12:35" ht="45" customHeight="1" thickBot="1" x14ac:dyDescent="0.25">
      <c r="L2138" s="645"/>
      <c r="M2138" s="616"/>
      <c r="N2138" s="616"/>
      <c r="O2138" s="616"/>
      <c r="P2138" s="615"/>
      <c r="Q2138" s="616"/>
      <c r="R2138" s="663"/>
      <c r="S2138" s="459"/>
      <c r="T2138" s="459"/>
      <c r="U2138" s="459"/>
      <c r="V2138" s="459"/>
      <c r="W2138" s="459"/>
      <c r="X2138" s="459"/>
      <c r="Y2138" s="666"/>
      <c r="Z2138" s="664"/>
      <c r="AA2138" s="665"/>
      <c r="AB2138" s="665"/>
      <c r="AC2138" s="665"/>
      <c r="AD2138" s="665"/>
      <c r="AE2138" s="665"/>
      <c r="AF2138" s="649"/>
      <c r="AG2138" s="650"/>
      <c r="AH2138" s="650"/>
      <c r="AI2138" s="667"/>
    </row>
    <row r="2139" spans="12:35" ht="45" customHeight="1" thickBot="1" x14ac:dyDescent="0.25">
      <c r="L2139" s="645"/>
      <c r="M2139" s="616"/>
      <c r="N2139" s="616"/>
      <c r="O2139" s="616"/>
      <c r="P2139" s="615"/>
      <c r="Q2139" s="616"/>
      <c r="R2139" s="663"/>
      <c r="S2139" s="459"/>
      <c r="T2139" s="459"/>
      <c r="U2139" s="459"/>
      <c r="V2139" s="459"/>
      <c r="W2139" s="459"/>
      <c r="X2139" s="459"/>
      <c r="Y2139" s="666"/>
      <c r="Z2139" s="664"/>
      <c r="AA2139" s="665"/>
      <c r="AB2139" s="665"/>
      <c r="AC2139" s="665"/>
      <c r="AD2139" s="665"/>
      <c r="AE2139" s="665"/>
      <c r="AF2139" s="649"/>
      <c r="AG2139" s="650"/>
      <c r="AH2139" s="650"/>
      <c r="AI2139" s="667"/>
    </row>
    <row r="2140" spans="12:35" ht="45" customHeight="1" thickBot="1" x14ac:dyDescent="0.25">
      <c r="L2140" s="645"/>
      <c r="M2140" s="616"/>
      <c r="N2140" s="616"/>
      <c r="O2140" s="616"/>
      <c r="P2140" s="615"/>
      <c r="Q2140" s="616"/>
      <c r="R2140" s="663"/>
      <c r="S2140" s="459"/>
      <c r="T2140" s="459"/>
      <c r="U2140" s="459"/>
      <c r="V2140" s="459"/>
      <c r="W2140" s="459"/>
      <c r="X2140" s="459"/>
      <c r="Y2140" s="666"/>
      <c r="Z2140" s="664"/>
      <c r="AA2140" s="665"/>
      <c r="AB2140" s="665"/>
      <c r="AC2140" s="665"/>
      <c r="AD2140" s="665"/>
      <c r="AE2140" s="665"/>
      <c r="AF2140" s="649"/>
      <c r="AG2140" s="650"/>
      <c r="AH2140" s="650"/>
      <c r="AI2140" s="667"/>
    </row>
    <row r="2141" spans="12:35" ht="45" customHeight="1" thickBot="1" x14ac:dyDescent="0.25">
      <c r="L2141" s="645"/>
      <c r="M2141" s="616"/>
      <c r="N2141" s="616"/>
      <c r="O2141" s="616"/>
      <c r="P2141" s="615"/>
      <c r="Q2141" s="616"/>
      <c r="R2141" s="663"/>
      <c r="S2141" s="459"/>
      <c r="T2141" s="459"/>
      <c r="U2141" s="459"/>
      <c r="V2141" s="459"/>
      <c r="W2141" s="459"/>
      <c r="X2141" s="459"/>
      <c r="Y2141" s="666"/>
      <c r="Z2141" s="664"/>
      <c r="AA2141" s="665"/>
      <c r="AB2141" s="665"/>
      <c r="AC2141" s="665"/>
      <c r="AD2141" s="665"/>
      <c r="AE2141" s="665"/>
      <c r="AF2141" s="649"/>
      <c r="AG2141" s="650"/>
      <c r="AH2141" s="650"/>
      <c r="AI2141" s="667"/>
    </row>
    <row r="2142" spans="12:35" ht="45" customHeight="1" thickBot="1" x14ac:dyDescent="0.25">
      <c r="L2142" s="645"/>
      <c r="M2142" s="616"/>
      <c r="N2142" s="616"/>
      <c r="O2142" s="616"/>
      <c r="P2142" s="615"/>
      <c r="Q2142" s="616"/>
      <c r="R2142" s="663"/>
      <c r="S2142" s="459"/>
      <c r="T2142" s="459"/>
      <c r="U2142" s="459"/>
      <c r="V2142" s="459"/>
      <c r="W2142" s="459"/>
      <c r="X2142" s="459"/>
      <c r="Y2142" s="666"/>
      <c r="Z2142" s="664"/>
      <c r="AA2142" s="665"/>
      <c r="AB2142" s="665"/>
      <c r="AC2142" s="665"/>
      <c r="AD2142" s="665"/>
      <c r="AE2142" s="665"/>
      <c r="AF2142" s="649"/>
      <c r="AG2142" s="650"/>
      <c r="AH2142" s="650"/>
      <c r="AI2142" s="667"/>
    </row>
    <row r="2143" spans="12:35" ht="45" customHeight="1" thickBot="1" x14ac:dyDescent="0.25">
      <c r="L2143" s="645"/>
      <c r="M2143" s="616"/>
      <c r="N2143" s="616"/>
      <c r="O2143" s="616"/>
      <c r="P2143" s="615"/>
      <c r="Q2143" s="616"/>
      <c r="R2143" s="663"/>
      <c r="S2143" s="459"/>
      <c r="T2143" s="459"/>
      <c r="U2143" s="459"/>
      <c r="V2143" s="459"/>
      <c r="W2143" s="459"/>
      <c r="X2143" s="459"/>
      <c r="Y2143" s="666"/>
      <c r="Z2143" s="664"/>
      <c r="AA2143" s="665"/>
      <c r="AB2143" s="665"/>
      <c r="AC2143" s="665"/>
      <c r="AD2143" s="665"/>
      <c r="AE2143" s="665"/>
      <c r="AF2143" s="649"/>
      <c r="AG2143" s="650"/>
      <c r="AH2143" s="650"/>
      <c r="AI2143" s="667"/>
    </row>
    <row r="2144" spans="12:35" ht="45" customHeight="1" thickBot="1" x14ac:dyDescent="0.25">
      <c r="L2144" s="645"/>
      <c r="M2144" s="616"/>
      <c r="N2144" s="616"/>
      <c r="O2144" s="616"/>
      <c r="P2144" s="615"/>
      <c r="Q2144" s="616"/>
      <c r="R2144" s="663"/>
      <c r="S2144" s="459"/>
      <c r="T2144" s="459"/>
      <c r="U2144" s="459"/>
      <c r="V2144" s="459"/>
      <c r="W2144" s="459"/>
      <c r="X2144" s="459"/>
      <c r="Y2144" s="666"/>
      <c r="Z2144" s="664"/>
      <c r="AA2144" s="665"/>
      <c r="AB2144" s="665"/>
      <c r="AC2144" s="665"/>
      <c r="AD2144" s="665"/>
      <c r="AE2144" s="665"/>
      <c r="AF2144" s="649"/>
      <c r="AG2144" s="650"/>
      <c r="AH2144" s="650"/>
      <c r="AI2144" s="667"/>
    </row>
    <row r="2145" spans="12:35" ht="45" customHeight="1" thickBot="1" x14ac:dyDescent="0.25">
      <c r="L2145" s="645"/>
      <c r="M2145" s="616"/>
      <c r="N2145" s="616"/>
      <c r="O2145" s="616"/>
      <c r="P2145" s="615"/>
      <c r="Q2145" s="616"/>
      <c r="R2145" s="663"/>
      <c r="S2145" s="459"/>
      <c r="T2145" s="459"/>
      <c r="U2145" s="459"/>
      <c r="V2145" s="459"/>
      <c r="W2145" s="459"/>
      <c r="X2145" s="459"/>
      <c r="Y2145" s="666"/>
      <c r="Z2145" s="664"/>
      <c r="AA2145" s="665"/>
      <c r="AB2145" s="665"/>
      <c r="AC2145" s="665"/>
      <c r="AD2145" s="665"/>
      <c r="AE2145" s="665"/>
      <c r="AF2145" s="649"/>
      <c r="AG2145" s="650"/>
      <c r="AH2145" s="650"/>
      <c r="AI2145" s="667"/>
    </row>
    <row r="2146" spans="12:35" ht="45" customHeight="1" thickBot="1" x14ac:dyDescent="0.25">
      <c r="L2146" s="645"/>
      <c r="M2146" s="616"/>
      <c r="N2146" s="616"/>
      <c r="O2146" s="616"/>
      <c r="P2146" s="615"/>
      <c r="Q2146" s="616"/>
      <c r="R2146" s="663"/>
      <c r="S2146" s="459"/>
      <c r="T2146" s="459"/>
      <c r="U2146" s="459"/>
      <c r="V2146" s="459"/>
      <c r="W2146" s="459"/>
      <c r="X2146" s="459"/>
      <c r="Y2146" s="666"/>
      <c r="Z2146" s="664"/>
      <c r="AA2146" s="665"/>
      <c r="AB2146" s="665"/>
      <c r="AC2146" s="665"/>
      <c r="AD2146" s="665"/>
      <c r="AE2146" s="665"/>
      <c r="AF2146" s="649"/>
      <c r="AG2146" s="650"/>
      <c r="AH2146" s="650"/>
      <c r="AI2146" s="667"/>
    </row>
    <row r="2147" spans="12:35" ht="45" customHeight="1" thickBot="1" x14ac:dyDescent="0.25">
      <c r="L2147" s="645"/>
      <c r="M2147" s="616"/>
      <c r="N2147" s="616"/>
      <c r="O2147" s="616"/>
      <c r="P2147" s="615"/>
      <c r="Q2147" s="616"/>
      <c r="R2147" s="663"/>
      <c r="S2147" s="459"/>
      <c r="T2147" s="459"/>
      <c r="U2147" s="459"/>
      <c r="V2147" s="459"/>
      <c r="W2147" s="459"/>
      <c r="X2147" s="459"/>
      <c r="Y2147" s="666"/>
      <c r="Z2147" s="664"/>
      <c r="AA2147" s="665"/>
      <c r="AB2147" s="665"/>
      <c r="AC2147" s="665"/>
      <c r="AD2147" s="665"/>
      <c r="AE2147" s="665"/>
      <c r="AF2147" s="649"/>
      <c r="AG2147" s="650"/>
      <c r="AH2147" s="650"/>
      <c r="AI2147" s="667"/>
    </row>
    <row r="2148" spans="12:35" ht="45" customHeight="1" thickBot="1" x14ac:dyDescent="0.25">
      <c r="L2148" s="645"/>
      <c r="M2148" s="616"/>
      <c r="N2148" s="616"/>
      <c r="O2148" s="616"/>
      <c r="P2148" s="615"/>
      <c r="Q2148" s="616"/>
      <c r="R2148" s="663"/>
      <c r="S2148" s="459"/>
      <c r="T2148" s="459"/>
      <c r="U2148" s="459"/>
      <c r="V2148" s="459"/>
      <c r="W2148" s="459"/>
      <c r="X2148" s="459"/>
      <c r="Y2148" s="666"/>
      <c r="Z2148" s="664"/>
      <c r="AA2148" s="665"/>
      <c r="AB2148" s="665"/>
      <c r="AC2148" s="665"/>
      <c r="AD2148" s="665"/>
      <c r="AE2148" s="665"/>
      <c r="AF2148" s="649"/>
      <c r="AG2148" s="650"/>
      <c r="AH2148" s="650"/>
      <c r="AI2148" s="667"/>
    </row>
    <row r="2149" spans="12:35" ht="45" customHeight="1" thickBot="1" x14ac:dyDescent="0.25">
      <c r="L2149" s="645"/>
      <c r="M2149" s="616"/>
      <c r="N2149" s="616"/>
      <c r="O2149" s="616"/>
      <c r="P2149" s="615"/>
      <c r="Q2149" s="616"/>
      <c r="R2149" s="663"/>
      <c r="S2149" s="459"/>
      <c r="T2149" s="459"/>
      <c r="U2149" s="459"/>
      <c r="V2149" s="459"/>
      <c r="W2149" s="459"/>
      <c r="X2149" s="459"/>
      <c r="Y2149" s="666"/>
      <c r="Z2149" s="664"/>
      <c r="AA2149" s="665"/>
      <c r="AB2149" s="665"/>
      <c r="AC2149" s="665"/>
      <c r="AD2149" s="665"/>
      <c r="AE2149" s="665"/>
      <c r="AF2149" s="649"/>
      <c r="AG2149" s="650"/>
      <c r="AH2149" s="650"/>
      <c r="AI2149" s="667"/>
    </row>
    <row r="2150" spans="12:35" ht="45" customHeight="1" thickBot="1" x14ac:dyDescent="0.25">
      <c r="L2150" s="645"/>
      <c r="M2150" s="616"/>
      <c r="N2150" s="616"/>
      <c r="O2150" s="616"/>
      <c r="P2150" s="615"/>
      <c r="Q2150" s="616"/>
      <c r="R2150" s="663"/>
      <c r="S2150" s="459"/>
      <c r="T2150" s="459"/>
      <c r="U2150" s="459"/>
      <c r="V2150" s="459"/>
      <c r="W2150" s="459"/>
      <c r="X2150" s="459"/>
      <c r="Y2150" s="666"/>
      <c r="Z2150" s="664"/>
      <c r="AA2150" s="665"/>
      <c r="AB2150" s="665"/>
      <c r="AC2150" s="665"/>
      <c r="AD2150" s="665"/>
      <c r="AE2150" s="665"/>
      <c r="AF2150" s="649"/>
      <c r="AG2150" s="650"/>
      <c r="AH2150" s="650"/>
      <c r="AI2150" s="667"/>
    </row>
    <row r="2151" spans="12:35" ht="45" customHeight="1" thickBot="1" x14ac:dyDescent="0.25">
      <c r="L2151" s="645"/>
      <c r="M2151" s="616"/>
      <c r="N2151" s="616"/>
      <c r="O2151" s="616"/>
      <c r="P2151" s="615"/>
      <c r="Q2151" s="616"/>
      <c r="R2151" s="663"/>
      <c r="S2151" s="459"/>
      <c r="T2151" s="459"/>
      <c r="U2151" s="459"/>
      <c r="V2151" s="459"/>
      <c r="W2151" s="459"/>
      <c r="X2151" s="459"/>
      <c r="Y2151" s="666"/>
      <c r="Z2151" s="664"/>
      <c r="AA2151" s="665"/>
      <c r="AB2151" s="665"/>
      <c r="AC2151" s="665"/>
      <c r="AD2151" s="665"/>
      <c r="AE2151" s="665"/>
      <c r="AF2151" s="649"/>
      <c r="AG2151" s="650"/>
      <c r="AH2151" s="650"/>
      <c r="AI2151" s="667"/>
    </row>
    <row r="2152" spans="12:35" ht="45" customHeight="1" thickBot="1" x14ac:dyDescent="0.25">
      <c r="L2152" s="645"/>
      <c r="M2152" s="616"/>
      <c r="N2152" s="616"/>
      <c r="O2152" s="616"/>
      <c r="P2152" s="615"/>
      <c r="Q2152" s="616"/>
      <c r="R2152" s="663"/>
      <c r="S2152" s="459"/>
      <c r="T2152" s="459"/>
      <c r="U2152" s="459"/>
      <c r="V2152" s="459"/>
      <c r="W2152" s="459"/>
      <c r="X2152" s="459"/>
      <c r="Y2152" s="666"/>
      <c r="Z2152" s="664"/>
      <c r="AA2152" s="665"/>
      <c r="AB2152" s="665"/>
      <c r="AC2152" s="665"/>
      <c r="AD2152" s="665"/>
      <c r="AE2152" s="665"/>
      <c r="AF2152" s="649"/>
      <c r="AG2152" s="650"/>
      <c r="AH2152" s="650"/>
      <c r="AI2152" s="667"/>
    </row>
    <row r="2153" spans="12:35" ht="45" customHeight="1" thickBot="1" x14ac:dyDescent="0.25">
      <c r="L2153" s="645"/>
      <c r="M2153" s="616"/>
      <c r="N2153" s="616"/>
      <c r="O2153" s="616"/>
      <c r="P2153" s="615"/>
      <c r="Q2153" s="616"/>
      <c r="R2153" s="663"/>
      <c r="S2153" s="459"/>
      <c r="T2153" s="459"/>
      <c r="U2153" s="459"/>
      <c r="V2153" s="459"/>
      <c r="W2153" s="459"/>
      <c r="X2153" s="459"/>
      <c r="Y2153" s="666"/>
      <c r="Z2153" s="664"/>
      <c r="AA2153" s="665"/>
      <c r="AB2153" s="665"/>
      <c r="AC2153" s="665"/>
      <c r="AD2153" s="665"/>
      <c r="AE2153" s="665"/>
      <c r="AF2153" s="649"/>
      <c r="AG2153" s="650"/>
      <c r="AH2153" s="650"/>
      <c r="AI2153" s="667"/>
    </row>
    <row r="2154" spans="12:35" ht="45" customHeight="1" thickBot="1" x14ac:dyDescent="0.25">
      <c r="L2154" s="645"/>
      <c r="M2154" s="616"/>
      <c r="N2154" s="616"/>
      <c r="O2154" s="616"/>
      <c r="P2154" s="615"/>
      <c r="Q2154" s="616"/>
      <c r="R2154" s="663"/>
      <c r="S2154" s="459"/>
      <c r="T2154" s="459"/>
      <c r="U2154" s="459"/>
      <c r="V2154" s="459"/>
      <c r="W2154" s="459"/>
      <c r="X2154" s="459"/>
      <c r="Y2154" s="666"/>
      <c r="Z2154" s="664"/>
      <c r="AA2154" s="665"/>
      <c r="AB2154" s="665"/>
      <c r="AC2154" s="665"/>
      <c r="AD2154" s="665"/>
      <c r="AE2154" s="665"/>
      <c r="AF2154" s="649"/>
      <c r="AG2154" s="650"/>
      <c r="AH2154" s="650"/>
      <c r="AI2154" s="667"/>
    </row>
    <row r="2155" spans="12:35" ht="45" customHeight="1" thickBot="1" x14ac:dyDescent="0.25">
      <c r="L2155" s="645"/>
      <c r="M2155" s="616"/>
      <c r="N2155" s="616"/>
      <c r="O2155" s="616"/>
      <c r="P2155" s="615"/>
      <c r="Q2155" s="616"/>
      <c r="R2155" s="663"/>
      <c r="S2155" s="459"/>
      <c r="T2155" s="459"/>
      <c r="U2155" s="459"/>
      <c r="V2155" s="459"/>
      <c r="W2155" s="459"/>
      <c r="X2155" s="459"/>
      <c r="Y2155" s="666"/>
      <c r="Z2155" s="664"/>
      <c r="AA2155" s="665"/>
      <c r="AB2155" s="665"/>
      <c r="AC2155" s="665"/>
      <c r="AD2155" s="665"/>
      <c r="AE2155" s="665"/>
      <c r="AF2155" s="649"/>
      <c r="AG2155" s="650"/>
      <c r="AH2155" s="650"/>
      <c r="AI2155" s="667"/>
    </row>
    <row r="2156" spans="12:35" ht="45" customHeight="1" thickBot="1" x14ac:dyDescent="0.25">
      <c r="L2156" s="645"/>
      <c r="M2156" s="616"/>
      <c r="N2156" s="616"/>
      <c r="O2156" s="616"/>
      <c r="P2156" s="615"/>
      <c r="Q2156" s="616"/>
      <c r="R2156" s="663"/>
      <c r="S2156" s="459"/>
      <c r="T2156" s="459"/>
      <c r="U2156" s="459"/>
      <c r="V2156" s="459"/>
      <c r="W2156" s="459"/>
      <c r="X2156" s="459"/>
      <c r="Y2156" s="666"/>
      <c r="Z2156" s="664"/>
      <c r="AA2156" s="665"/>
      <c r="AB2156" s="665"/>
      <c r="AC2156" s="665"/>
      <c r="AD2156" s="665"/>
      <c r="AE2156" s="665"/>
      <c r="AF2156" s="649"/>
      <c r="AG2156" s="650"/>
      <c r="AH2156" s="650"/>
      <c r="AI2156" s="667"/>
    </row>
    <row r="2157" spans="12:35" ht="45" customHeight="1" thickBot="1" x14ac:dyDescent="0.25">
      <c r="L2157" s="645"/>
      <c r="M2157" s="616"/>
      <c r="N2157" s="616"/>
      <c r="O2157" s="616"/>
      <c r="P2157" s="615"/>
      <c r="Q2157" s="616"/>
      <c r="R2157" s="663"/>
      <c r="S2157" s="459"/>
      <c r="T2157" s="459"/>
      <c r="U2157" s="459"/>
      <c r="V2157" s="459"/>
      <c r="W2157" s="459"/>
      <c r="X2157" s="459"/>
      <c r="Y2157" s="666"/>
      <c r="Z2157" s="664"/>
      <c r="AA2157" s="665"/>
      <c r="AB2157" s="665"/>
      <c r="AC2157" s="665"/>
      <c r="AD2157" s="665"/>
      <c r="AE2157" s="665"/>
      <c r="AF2157" s="649"/>
      <c r="AG2157" s="650"/>
      <c r="AH2157" s="650"/>
      <c r="AI2157" s="667"/>
    </row>
    <row r="2158" spans="12:35" ht="45" customHeight="1" thickBot="1" x14ac:dyDescent="0.25">
      <c r="L2158" s="645"/>
      <c r="M2158" s="616"/>
      <c r="N2158" s="616"/>
      <c r="O2158" s="616"/>
      <c r="P2158" s="615"/>
      <c r="Q2158" s="616"/>
      <c r="R2158" s="663"/>
      <c r="S2158" s="459"/>
      <c r="T2158" s="459"/>
      <c r="U2158" s="459"/>
      <c r="V2158" s="459"/>
      <c r="W2158" s="459"/>
      <c r="X2158" s="459"/>
      <c r="Y2158" s="666"/>
      <c r="Z2158" s="664"/>
      <c r="AA2158" s="665"/>
      <c r="AB2158" s="665"/>
      <c r="AC2158" s="665"/>
      <c r="AD2158" s="665"/>
      <c r="AE2158" s="665"/>
      <c r="AF2158" s="649"/>
      <c r="AG2158" s="650"/>
      <c r="AH2158" s="650"/>
      <c r="AI2158" s="667"/>
    </row>
    <row r="2159" spans="12:35" ht="45" customHeight="1" thickBot="1" x14ac:dyDescent="0.25">
      <c r="L2159" s="645"/>
      <c r="M2159" s="616"/>
      <c r="N2159" s="616"/>
      <c r="O2159" s="616"/>
      <c r="P2159" s="615"/>
      <c r="Q2159" s="616"/>
      <c r="R2159" s="663"/>
      <c r="S2159" s="459"/>
      <c r="T2159" s="459"/>
      <c r="U2159" s="459"/>
      <c r="V2159" s="459"/>
      <c r="W2159" s="459"/>
      <c r="X2159" s="459"/>
      <c r="Y2159" s="666"/>
      <c r="Z2159" s="664"/>
      <c r="AA2159" s="665"/>
      <c r="AB2159" s="665"/>
      <c r="AC2159" s="665"/>
      <c r="AD2159" s="665"/>
      <c r="AE2159" s="665"/>
      <c r="AF2159" s="649"/>
      <c r="AG2159" s="650"/>
      <c r="AH2159" s="650"/>
      <c r="AI2159" s="667"/>
    </row>
    <row r="2160" spans="12:35" ht="45" customHeight="1" thickBot="1" x14ac:dyDescent="0.25">
      <c r="L2160" s="645"/>
      <c r="M2160" s="616"/>
      <c r="N2160" s="616"/>
      <c r="O2160" s="616"/>
      <c r="P2160" s="615"/>
      <c r="Q2160" s="616"/>
      <c r="R2160" s="663"/>
      <c r="S2160" s="459"/>
      <c r="T2160" s="459"/>
      <c r="U2160" s="459"/>
      <c r="V2160" s="459"/>
      <c r="W2160" s="459"/>
      <c r="X2160" s="459"/>
      <c r="Y2160" s="666"/>
      <c r="Z2160" s="664"/>
      <c r="AA2160" s="665"/>
      <c r="AB2160" s="665"/>
      <c r="AC2160" s="665"/>
      <c r="AD2160" s="665"/>
      <c r="AE2160" s="665"/>
      <c r="AF2160" s="649"/>
      <c r="AG2160" s="650"/>
      <c r="AH2160" s="650"/>
      <c r="AI2160" s="667"/>
    </row>
    <row r="2161" spans="12:35" ht="45" customHeight="1" thickBot="1" x14ac:dyDescent="0.25">
      <c r="L2161" s="645"/>
      <c r="M2161" s="616"/>
      <c r="N2161" s="616"/>
      <c r="O2161" s="616"/>
      <c r="P2161" s="615"/>
      <c r="Q2161" s="616"/>
      <c r="R2161" s="663"/>
      <c r="S2161" s="459"/>
      <c r="T2161" s="459"/>
      <c r="U2161" s="459"/>
      <c r="V2161" s="459"/>
      <c r="W2161" s="459"/>
      <c r="X2161" s="459"/>
      <c r="Y2161" s="666"/>
      <c r="Z2161" s="664"/>
      <c r="AA2161" s="665"/>
      <c r="AB2161" s="665"/>
      <c r="AC2161" s="665"/>
      <c r="AD2161" s="665"/>
      <c r="AE2161" s="665"/>
      <c r="AF2161" s="649"/>
      <c r="AG2161" s="650"/>
      <c r="AH2161" s="650"/>
      <c r="AI2161" s="667"/>
    </row>
    <row r="2162" spans="12:35" ht="45" customHeight="1" thickBot="1" x14ac:dyDescent="0.25">
      <c r="L2162" s="645"/>
      <c r="M2162" s="616"/>
      <c r="N2162" s="616"/>
      <c r="O2162" s="616"/>
      <c r="P2162" s="615"/>
      <c r="Q2162" s="616"/>
      <c r="R2162" s="663"/>
      <c r="S2162" s="459"/>
      <c r="T2162" s="459"/>
      <c r="U2162" s="459"/>
      <c r="V2162" s="459"/>
      <c r="W2162" s="459"/>
      <c r="X2162" s="459"/>
      <c r="Y2162" s="666"/>
      <c r="Z2162" s="664"/>
      <c r="AA2162" s="665"/>
      <c r="AB2162" s="665"/>
      <c r="AC2162" s="665"/>
      <c r="AD2162" s="665"/>
      <c r="AE2162" s="665"/>
      <c r="AF2162" s="649"/>
      <c r="AG2162" s="650"/>
      <c r="AH2162" s="650"/>
      <c r="AI2162" s="667"/>
    </row>
    <row r="2163" spans="12:35" ht="45" customHeight="1" thickBot="1" x14ac:dyDescent="0.25">
      <c r="L2163" s="645"/>
      <c r="M2163" s="616"/>
      <c r="N2163" s="616"/>
      <c r="O2163" s="616"/>
      <c r="P2163" s="615"/>
      <c r="Q2163" s="616"/>
      <c r="R2163" s="663"/>
      <c r="S2163" s="459"/>
      <c r="T2163" s="459"/>
      <c r="U2163" s="459"/>
      <c r="V2163" s="459"/>
      <c r="W2163" s="459"/>
      <c r="X2163" s="459"/>
      <c r="Y2163" s="666"/>
      <c r="Z2163" s="664"/>
      <c r="AA2163" s="665"/>
      <c r="AB2163" s="665"/>
      <c r="AC2163" s="665"/>
      <c r="AD2163" s="665"/>
      <c r="AE2163" s="665"/>
      <c r="AF2163" s="649"/>
      <c r="AG2163" s="650"/>
      <c r="AH2163" s="650"/>
      <c r="AI2163" s="667"/>
    </row>
    <row r="2164" spans="12:35" ht="45" customHeight="1" thickBot="1" x14ac:dyDescent="0.25">
      <c r="L2164" s="645"/>
      <c r="M2164" s="616"/>
      <c r="N2164" s="616"/>
      <c r="O2164" s="616"/>
      <c r="P2164" s="615"/>
      <c r="Q2164" s="616"/>
      <c r="R2164" s="663"/>
      <c r="S2164" s="459"/>
      <c r="T2164" s="459"/>
      <c r="U2164" s="459"/>
      <c r="V2164" s="459"/>
      <c r="W2164" s="459"/>
      <c r="X2164" s="459"/>
      <c r="Y2164" s="666"/>
      <c r="Z2164" s="664"/>
      <c r="AA2164" s="665"/>
      <c r="AB2164" s="665"/>
      <c r="AC2164" s="665"/>
      <c r="AD2164" s="665"/>
      <c r="AE2164" s="665"/>
      <c r="AF2164" s="649"/>
      <c r="AG2164" s="650"/>
      <c r="AH2164" s="650"/>
      <c r="AI2164" s="667"/>
    </row>
    <row r="2165" spans="12:35" ht="45" customHeight="1" thickBot="1" x14ac:dyDescent="0.25">
      <c r="L2165" s="645"/>
      <c r="M2165" s="616"/>
      <c r="N2165" s="616"/>
      <c r="O2165" s="616"/>
      <c r="P2165" s="615"/>
      <c r="Q2165" s="616"/>
      <c r="R2165" s="663"/>
      <c r="S2165" s="459"/>
      <c r="T2165" s="459"/>
      <c r="U2165" s="459"/>
      <c r="V2165" s="459"/>
      <c r="W2165" s="459"/>
      <c r="X2165" s="459"/>
      <c r="Y2165" s="666"/>
      <c r="Z2165" s="664"/>
      <c r="AA2165" s="665"/>
      <c r="AB2165" s="665"/>
      <c r="AC2165" s="665"/>
      <c r="AD2165" s="665"/>
      <c r="AE2165" s="665"/>
      <c r="AF2165" s="649"/>
      <c r="AG2165" s="650"/>
      <c r="AH2165" s="650"/>
      <c r="AI2165" s="667"/>
    </row>
    <row r="2166" spans="12:35" ht="45" customHeight="1" thickBot="1" x14ac:dyDescent="0.25">
      <c r="L2166" s="645"/>
      <c r="M2166" s="616"/>
      <c r="N2166" s="616"/>
      <c r="O2166" s="616"/>
      <c r="P2166" s="615"/>
      <c r="Q2166" s="616"/>
      <c r="R2166" s="663"/>
      <c r="S2166" s="459"/>
      <c r="T2166" s="459"/>
      <c r="U2166" s="459"/>
      <c r="V2166" s="459"/>
      <c r="W2166" s="459"/>
      <c r="X2166" s="459"/>
      <c r="Y2166" s="666"/>
      <c r="Z2166" s="664"/>
      <c r="AA2166" s="665"/>
      <c r="AB2166" s="665"/>
      <c r="AC2166" s="665"/>
      <c r="AD2166" s="665"/>
      <c r="AE2166" s="665"/>
      <c r="AF2166" s="649"/>
      <c r="AG2166" s="650"/>
      <c r="AH2166" s="650"/>
      <c r="AI2166" s="667"/>
    </row>
    <row r="2167" spans="12:35" ht="45" customHeight="1" thickBot="1" x14ac:dyDescent="0.25">
      <c r="L2167" s="645"/>
      <c r="M2167" s="616"/>
      <c r="N2167" s="616"/>
      <c r="O2167" s="616"/>
      <c r="P2167" s="615"/>
      <c r="Q2167" s="616"/>
      <c r="R2167" s="663"/>
      <c r="S2167" s="459"/>
      <c r="T2167" s="459"/>
      <c r="U2167" s="459"/>
      <c r="V2167" s="459"/>
      <c r="W2167" s="459"/>
      <c r="X2167" s="459"/>
      <c r="Y2167" s="666"/>
      <c r="Z2167" s="664"/>
      <c r="AA2167" s="665"/>
      <c r="AB2167" s="665"/>
      <c r="AC2167" s="665"/>
      <c r="AD2167" s="665"/>
      <c r="AE2167" s="665"/>
      <c r="AF2167" s="649"/>
      <c r="AG2167" s="650"/>
      <c r="AH2167" s="650"/>
      <c r="AI2167" s="667"/>
    </row>
    <row r="2168" spans="12:35" ht="45" customHeight="1" thickBot="1" x14ac:dyDescent="0.25">
      <c r="L2168" s="645"/>
      <c r="M2168" s="616"/>
      <c r="N2168" s="616"/>
      <c r="O2168" s="616"/>
      <c r="P2168" s="615"/>
      <c r="Q2168" s="616"/>
      <c r="R2168" s="663"/>
      <c r="S2168" s="459"/>
      <c r="T2168" s="459"/>
      <c r="U2168" s="459"/>
      <c r="V2168" s="459"/>
      <c r="W2168" s="459"/>
      <c r="X2168" s="459"/>
      <c r="Y2168" s="666"/>
      <c r="Z2168" s="664"/>
      <c r="AA2168" s="665"/>
      <c r="AB2168" s="665"/>
      <c r="AC2168" s="665"/>
      <c r="AD2168" s="665"/>
      <c r="AE2168" s="665"/>
      <c r="AF2168" s="649"/>
      <c r="AG2168" s="650"/>
      <c r="AH2168" s="650"/>
      <c r="AI2168" s="667"/>
    </row>
    <row r="2169" spans="12:35" ht="45" customHeight="1" thickBot="1" x14ac:dyDescent="0.25">
      <c r="L2169" s="645"/>
      <c r="M2169" s="616"/>
      <c r="N2169" s="616"/>
      <c r="O2169" s="616"/>
      <c r="P2169" s="615"/>
      <c r="Q2169" s="616"/>
      <c r="R2169" s="663"/>
      <c r="S2169" s="459"/>
      <c r="T2169" s="459"/>
      <c r="U2169" s="459"/>
      <c r="V2169" s="459"/>
      <c r="W2169" s="459"/>
      <c r="X2169" s="459"/>
      <c r="Y2169" s="666"/>
      <c r="Z2169" s="664"/>
      <c r="AA2169" s="665"/>
      <c r="AB2169" s="665"/>
      <c r="AC2169" s="665"/>
      <c r="AD2169" s="665"/>
      <c r="AE2169" s="665"/>
      <c r="AF2169" s="649"/>
      <c r="AG2169" s="650"/>
      <c r="AH2169" s="650"/>
      <c r="AI2169" s="667"/>
    </row>
    <row r="2170" spans="12:35" ht="45" customHeight="1" thickBot="1" x14ac:dyDescent="0.25">
      <c r="L2170" s="645"/>
      <c r="M2170" s="616"/>
      <c r="N2170" s="616"/>
      <c r="O2170" s="616"/>
      <c r="P2170" s="615"/>
      <c r="Q2170" s="616"/>
      <c r="R2170" s="663"/>
      <c r="S2170" s="459"/>
      <c r="T2170" s="459"/>
      <c r="U2170" s="459"/>
      <c r="V2170" s="459"/>
      <c r="W2170" s="459"/>
      <c r="X2170" s="459"/>
      <c r="Y2170" s="666"/>
      <c r="Z2170" s="664"/>
      <c r="AA2170" s="665"/>
      <c r="AB2170" s="665"/>
      <c r="AC2170" s="665"/>
      <c r="AD2170" s="665"/>
      <c r="AE2170" s="665"/>
      <c r="AF2170" s="649"/>
      <c r="AG2170" s="650"/>
      <c r="AH2170" s="650"/>
      <c r="AI2170" s="667"/>
    </row>
    <row r="2171" spans="12:35" ht="45" customHeight="1" thickBot="1" x14ac:dyDescent="0.25">
      <c r="L2171" s="645"/>
      <c r="M2171" s="616"/>
      <c r="N2171" s="616"/>
      <c r="O2171" s="616"/>
      <c r="P2171" s="615"/>
      <c r="Q2171" s="616"/>
      <c r="R2171" s="663"/>
      <c r="S2171" s="459"/>
      <c r="T2171" s="459"/>
      <c r="U2171" s="459"/>
      <c r="V2171" s="459"/>
      <c r="W2171" s="459"/>
      <c r="X2171" s="459"/>
      <c r="Y2171" s="666"/>
      <c r="Z2171" s="664"/>
      <c r="AA2171" s="665"/>
      <c r="AB2171" s="665"/>
      <c r="AC2171" s="665"/>
      <c r="AD2171" s="665"/>
      <c r="AE2171" s="665"/>
      <c r="AF2171" s="649"/>
      <c r="AG2171" s="650"/>
      <c r="AH2171" s="650"/>
      <c r="AI2171" s="667"/>
    </row>
    <row r="2172" spans="12:35" ht="45" customHeight="1" thickBot="1" x14ac:dyDescent="0.25">
      <c r="L2172" s="645"/>
      <c r="M2172" s="616"/>
      <c r="N2172" s="616"/>
      <c r="O2172" s="616"/>
      <c r="P2172" s="615"/>
      <c r="Q2172" s="616"/>
      <c r="R2172" s="663"/>
      <c r="S2172" s="459"/>
      <c r="T2172" s="459"/>
      <c r="U2172" s="459"/>
      <c r="V2172" s="459"/>
      <c r="W2172" s="459"/>
      <c r="X2172" s="459"/>
      <c r="Y2172" s="666"/>
      <c r="Z2172" s="664"/>
      <c r="AA2172" s="665"/>
      <c r="AB2172" s="665"/>
      <c r="AC2172" s="665"/>
      <c r="AD2172" s="665"/>
      <c r="AE2172" s="665"/>
      <c r="AF2172" s="649"/>
      <c r="AG2172" s="650"/>
      <c r="AH2172" s="650"/>
      <c r="AI2172" s="667"/>
    </row>
    <row r="2173" spans="12:35" ht="45" customHeight="1" thickBot="1" x14ac:dyDescent="0.25">
      <c r="L2173" s="645"/>
      <c r="M2173" s="616"/>
      <c r="N2173" s="616"/>
      <c r="O2173" s="616"/>
      <c r="P2173" s="615"/>
      <c r="Q2173" s="616"/>
      <c r="R2173" s="663"/>
      <c r="S2173" s="459"/>
      <c r="T2173" s="459"/>
      <c r="U2173" s="459"/>
      <c r="V2173" s="459"/>
      <c r="W2173" s="459"/>
      <c r="X2173" s="459"/>
      <c r="Y2173" s="666"/>
      <c r="Z2173" s="664"/>
      <c r="AA2173" s="665"/>
      <c r="AB2173" s="665"/>
      <c r="AC2173" s="665"/>
      <c r="AD2173" s="665"/>
      <c r="AE2173" s="665"/>
      <c r="AF2173" s="649"/>
      <c r="AG2173" s="650"/>
      <c r="AH2173" s="650"/>
      <c r="AI2173" s="667"/>
    </row>
    <row r="2174" spans="12:35" ht="45" customHeight="1" thickBot="1" x14ac:dyDescent="0.25">
      <c r="L2174" s="645"/>
      <c r="M2174" s="616"/>
      <c r="N2174" s="616"/>
      <c r="O2174" s="616"/>
      <c r="P2174" s="615"/>
      <c r="Q2174" s="616"/>
      <c r="R2174" s="663"/>
      <c r="S2174" s="459"/>
      <c r="T2174" s="459"/>
      <c r="U2174" s="459"/>
      <c r="V2174" s="459"/>
      <c r="W2174" s="459"/>
      <c r="X2174" s="459"/>
      <c r="Y2174" s="666"/>
      <c r="Z2174" s="664"/>
      <c r="AA2174" s="665"/>
      <c r="AB2174" s="665"/>
      <c r="AC2174" s="665"/>
      <c r="AD2174" s="665"/>
      <c r="AE2174" s="665"/>
      <c r="AF2174" s="649"/>
      <c r="AG2174" s="650"/>
      <c r="AH2174" s="650"/>
      <c r="AI2174" s="667"/>
    </row>
    <row r="2175" spans="12:35" ht="45" customHeight="1" thickBot="1" x14ac:dyDescent="0.25">
      <c r="L2175" s="645"/>
      <c r="M2175" s="616"/>
      <c r="N2175" s="616"/>
      <c r="O2175" s="616"/>
      <c r="P2175" s="615"/>
      <c r="Q2175" s="616"/>
      <c r="R2175" s="663"/>
      <c r="S2175" s="459"/>
      <c r="T2175" s="459"/>
      <c r="U2175" s="459"/>
      <c r="V2175" s="459"/>
      <c r="W2175" s="459"/>
      <c r="X2175" s="459"/>
      <c r="Y2175" s="666"/>
      <c r="Z2175" s="664"/>
      <c r="AA2175" s="665"/>
      <c r="AB2175" s="665"/>
      <c r="AC2175" s="665"/>
      <c r="AD2175" s="665"/>
      <c r="AE2175" s="665"/>
      <c r="AF2175" s="649"/>
      <c r="AG2175" s="650"/>
      <c r="AH2175" s="650"/>
      <c r="AI2175" s="667"/>
    </row>
    <row r="2176" spans="12:35" ht="45" customHeight="1" thickBot="1" x14ac:dyDescent="0.25">
      <c r="L2176" s="645"/>
      <c r="M2176" s="616"/>
      <c r="N2176" s="616"/>
      <c r="O2176" s="616"/>
      <c r="P2176" s="615"/>
      <c r="Q2176" s="616"/>
      <c r="R2176" s="663"/>
      <c r="S2176" s="459"/>
      <c r="T2176" s="459"/>
      <c r="U2176" s="459"/>
      <c r="V2176" s="459"/>
      <c r="W2176" s="459"/>
      <c r="X2176" s="459"/>
      <c r="Y2176" s="666"/>
      <c r="Z2176" s="664"/>
      <c r="AA2176" s="665"/>
      <c r="AB2176" s="665"/>
      <c r="AC2176" s="665"/>
      <c r="AD2176" s="665"/>
      <c r="AE2176" s="665"/>
      <c r="AF2176" s="649"/>
      <c r="AG2176" s="650"/>
      <c r="AH2176" s="650"/>
      <c r="AI2176" s="667"/>
    </row>
    <row r="2177" spans="12:35" ht="45" customHeight="1" thickBot="1" x14ac:dyDescent="0.25">
      <c r="L2177" s="645"/>
      <c r="M2177" s="616"/>
      <c r="N2177" s="616"/>
      <c r="O2177" s="616"/>
      <c r="P2177" s="615"/>
      <c r="Q2177" s="616"/>
      <c r="R2177" s="663"/>
      <c r="S2177" s="459"/>
      <c r="T2177" s="459"/>
      <c r="U2177" s="459"/>
      <c r="V2177" s="459"/>
      <c r="W2177" s="459"/>
      <c r="X2177" s="459"/>
      <c r="Y2177" s="666"/>
      <c r="Z2177" s="664"/>
      <c r="AA2177" s="665"/>
      <c r="AB2177" s="665"/>
      <c r="AC2177" s="665"/>
      <c r="AD2177" s="665"/>
      <c r="AE2177" s="665"/>
      <c r="AF2177" s="649"/>
      <c r="AG2177" s="650"/>
      <c r="AH2177" s="650"/>
      <c r="AI2177" s="667"/>
    </row>
    <row r="2178" spans="12:35" ht="45" customHeight="1" thickBot="1" x14ac:dyDescent="0.25">
      <c r="L2178" s="645"/>
      <c r="M2178" s="616"/>
      <c r="N2178" s="616"/>
      <c r="O2178" s="616"/>
      <c r="P2178" s="615"/>
      <c r="Q2178" s="616"/>
      <c r="R2178" s="663"/>
      <c r="S2178" s="459"/>
      <c r="T2178" s="459"/>
      <c r="U2178" s="459"/>
      <c r="V2178" s="459"/>
      <c r="W2178" s="459"/>
      <c r="X2178" s="459"/>
      <c r="Y2178" s="666"/>
      <c r="Z2178" s="664"/>
      <c r="AA2178" s="665"/>
      <c r="AB2178" s="665"/>
      <c r="AC2178" s="665"/>
      <c r="AD2178" s="665"/>
      <c r="AE2178" s="665"/>
      <c r="AF2178" s="649"/>
      <c r="AG2178" s="650"/>
      <c r="AH2178" s="650"/>
      <c r="AI2178" s="667"/>
    </row>
    <row r="2179" spans="12:35" ht="45" customHeight="1" thickBot="1" x14ac:dyDescent="0.25">
      <c r="L2179" s="645"/>
      <c r="M2179" s="616"/>
      <c r="N2179" s="616"/>
      <c r="O2179" s="616"/>
      <c r="P2179" s="615"/>
      <c r="Q2179" s="616"/>
      <c r="R2179" s="663"/>
      <c r="S2179" s="459"/>
      <c r="T2179" s="459"/>
      <c r="U2179" s="459"/>
      <c r="V2179" s="459"/>
      <c r="W2179" s="459"/>
      <c r="X2179" s="459"/>
      <c r="Y2179" s="666"/>
      <c r="Z2179" s="664"/>
      <c r="AA2179" s="665"/>
      <c r="AB2179" s="665"/>
      <c r="AC2179" s="665"/>
      <c r="AD2179" s="665"/>
      <c r="AE2179" s="665"/>
      <c r="AF2179" s="649"/>
      <c r="AG2179" s="650"/>
      <c r="AH2179" s="650"/>
      <c r="AI2179" s="667"/>
    </row>
    <row r="2180" spans="12:35" ht="45" customHeight="1" thickBot="1" x14ac:dyDescent="0.25">
      <c r="L2180" s="645"/>
      <c r="M2180" s="616"/>
      <c r="N2180" s="616"/>
      <c r="O2180" s="616"/>
      <c r="P2180" s="615"/>
      <c r="Q2180" s="616"/>
      <c r="R2180" s="663"/>
      <c r="S2180" s="459"/>
      <c r="T2180" s="459"/>
      <c r="U2180" s="459"/>
      <c r="V2180" s="459"/>
      <c r="W2180" s="459"/>
      <c r="X2180" s="459"/>
      <c r="Y2180" s="666"/>
      <c r="Z2180" s="664"/>
      <c r="AA2180" s="665"/>
      <c r="AB2180" s="665"/>
      <c r="AC2180" s="665"/>
      <c r="AD2180" s="665"/>
      <c r="AE2180" s="665"/>
      <c r="AF2180" s="649"/>
      <c r="AG2180" s="650"/>
      <c r="AH2180" s="650"/>
      <c r="AI2180" s="667"/>
    </row>
    <row r="2181" spans="12:35" ht="45" customHeight="1" thickBot="1" x14ac:dyDescent="0.25">
      <c r="L2181" s="645"/>
      <c r="M2181" s="616"/>
      <c r="N2181" s="616"/>
      <c r="O2181" s="616"/>
      <c r="P2181" s="615"/>
      <c r="Q2181" s="616"/>
      <c r="R2181" s="663"/>
      <c r="S2181" s="459"/>
      <c r="T2181" s="459"/>
      <c r="U2181" s="459"/>
      <c r="V2181" s="459"/>
      <c r="W2181" s="459"/>
      <c r="X2181" s="459"/>
      <c r="Y2181" s="666"/>
      <c r="Z2181" s="664"/>
      <c r="AA2181" s="665"/>
      <c r="AB2181" s="665"/>
      <c r="AC2181" s="665"/>
      <c r="AD2181" s="665"/>
      <c r="AE2181" s="665"/>
      <c r="AF2181" s="649"/>
      <c r="AG2181" s="650"/>
      <c r="AH2181" s="650"/>
      <c r="AI2181" s="667"/>
    </row>
    <row r="2182" spans="12:35" ht="45" customHeight="1" thickBot="1" x14ac:dyDescent="0.25">
      <c r="L2182" s="645"/>
      <c r="M2182" s="616"/>
      <c r="N2182" s="616"/>
      <c r="O2182" s="616"/>
      <c r="P2182" s="615"/>
      <c r="Q2182" s="616"/>
      <c r="R2182" s="663"/>
      <c r="S2182" s="459"/>
      <c r="T2182" s="459"/>
      <c r="U2182" s="459"/>
      <c r="V2182" s="459"/>
      <c r="W2182" s="459"/>
      <c r="X2182" s="459"/>
      <c r="Y2182" s="666"/>
      <c r="Z2182" s="664"/>
      <c r="AA2182" s="665"/>
      <c r="AB2182" s="665"/>
      <c r="AC2182" s="665"/>
      <c r="AD2182" s="665"/>
      <c r="AE2182" s="665"/>
      <c r="AF2182" s="649"/>
      <c r="AG2182" s="650"/>
      <c r="AH2182" s="650"/>
      <c r="AI2182" s="667"/>
    </row>
    <row r="2183" spans="12:35" ht="45" customHeight="1" thickBot="1" x14ac:dyDescent="0.25">
      <c r="L2183" s="645"/>
      <c r="M2183" s="616"/>
      <c r="N2183" s="616"/>
      <c r="O2183" s="616"/>
      <c r="P2183" s="615"/>
      <c r="Q2183" s="616"/>
      <c r="R2183" s="663"/>
      <c r="S2183" s="459"/>
      <c r="T2183" s="459"/>
      <c r="U2183" s="459"/>
      <c r="V2183" s="459"/>
      <c r="W2183" s="459"/>
      <c r="X2183" s="459"/>
      <c r="Y2183" s="666"/>
      <c r="Z2183" s="664"/>
      <c r="AA2183" s="665"/>
      <c r="AB2183" s="665"/>
      <c r="AC2183" s="665"/>
      <c r="AD2183" s="665"/>
      <c r="AE2183" s="665"/>
      <c r="AF2183" s="649"/>
      <c r="AG2183" s="650"/>
      <c r="AH2183" s="650"/>
      <c r="AI2183" s="667"/>
    </row>
    <row r="2184" spans="12:35" ht="45" customHeight="1" thickBot="1" x14ac:dyDescent="0.25">
      <c r="L2184" s="645"/>
      <c r="M2184" s="616"/>
      <c r="N2184" s="616"/>
      <c r="O2184" s="616"/>
      <c r="P2184" s="615"/>
      <c r="Q2184" s="616"/>
      <c r="R2184" s="663"/>
      <c r="S2184" s="459"/>
      <c r="T2184" s="459"/>
      <c r="U2184" s="459"/>
      <c r="V2184" s="459"/>
      <c r="W2184" s="459"/>
      <c r="X2184" s="459"/>
      <c r="Y2184" s="666"/>
      <c r="Z2184" s="664"/>
      <c r="AA2184" s="665"/>
      <c r="AB2184" s="665"/>
      <c r="AC2184" s="665"/>
      <c r="AD2184" s="665"/>
      <c r="AE2184" s="665"/>
      <c r="AF2184" s="649"/>
      <c r="AG2184" s="650"/>
      <c r="AH2184" s="650"/>
      <c r="AI2184" s="667"/>
    </row>
    <row r="2185" spans="12:35" ht="45" customHeight="1" thickBot="1" x14ac:dyDescent="0.25">
      <c r="L2185" s="645"/>
      <c r="M2185" s="616"/>
      <c r="N2185" s="616"/>
      <c r="O2185" s="616"/>
      <c r="P2185" s="615"/>
      <c r="Q2185" s="616"/>
      <c r="R2185" s="663"/>
      <c r="S2185" s="459"/>
      <c r="T2185" s="459"/>
      <c r="U2185" s="459"/>
      <c r="V2185" s="459"/>
      <c r="W2185" s="459"/>
      <c r="X2185" s="459"/>
      <c r="Y2185" s="666"/>
      <c r="Z2185" s="664"/>
      <c r="AA2185" s="665"/>
      <c r="AB2185" s="665"/>
      <c r="AC2185" s="665"/>
      <c r="AD2185" s="665"/>
      <c r="AE2185" s="665"/>
      <c r="AF2185" s="649"/>
      <c r="AG2185" s="650"/>
      <c r="AH2185" s="650"/>
      <c r="AI2185" s="667"/>
    </row>
    <row r="2186" spans="12:35" ht="45" customHeight="1" thickBot="1" x14ac:dyDescent="0.25">
      <c r="L2186" s="645"/>
      <c r="M2186" s="616"/>
      <c r="N2186" s="616"/>
      <c r="O2186" s="616"/>
      <c r="P2186" s="615"/>
      <c r="Q2186" s="616"/>
      <c r="R2186" s="663"/>
      <c r="S2186" s="459"/>
      <c r="T2186" s="459"/>
      <c r="U2186" s="459"/>
      <c r="V2186" s="459"/>
      <c r="W2186" s="459"/>
      <c r="X2186" s="459"/>
      <c r="Y2186" s="666"/>
      <c r="Z2186" s="664"/>
      <c r="AA2186" s="665"/>
      <c r="AB2186" s="665"/>
      <c r="AC2186" s="665"/>
      <c r="AD2186" s="665"/>
      <c r="AE2186" s="665"/>
      <c r="AF2186" s="649"/>
      <c r="AG2186" s="650"/>
      <c r="AH2186" s="650"/>
      <c r="AI2186" s="667"/>
    </row>
    <row r="2187" spans="12:35" ht="45" customHeight="1" thickBot="1" x14ac:dyDescent="0.25">
      <c r="L2187" s="645"/>
      <c r="M2187" s="616"/>
      <c r="N2187" s="616"/>
      <c r="O2187" s="616"/>
      <c r="P2187" s="615"/>
      <c r="Q2187" s="616"/>
      <c r="R2187" s="663"/>
      <c r="S2187" s="459"/>
      <c r="T2187" s="459"/>
      <c r="U2187" s="459"/>
      <c r="V2187" s="459"/>
      <c r="W2187" s="459"/>
      <c r="X2187" s="459"/>
      <c r="Y2187" s="666"/>
      <c r="Z2187" s="664"/>
      <c r="AA2187" s="665"/>
      <c r="AB2187" s="665"/>
      <c r="AC2187" s="665"/>
      <c r="AD2187" s="665"/>
      <c r="AE2187" s="665"/>
      <c r="AF2187" s="649"/>
      <c r="AG2187" s="650"/>
      <c r="AH2187" s="650"/>
      <c r="AI2187" s="667"/>
    </row>
    <row r="2188" spans="12:35" ht="45" customHeight="1" thickBot="1" x14ac:dyDescent="0.25">
      <c r="L2188" s="645"/>
      <c r="M2188" s="616"/>
      <c r="N2188" s="616"/>
      <c r="O2188" s="616"/>
      <c r="P2188" s="615"/>
      <c r="Q2188" s="616"/>
      <c r="R2188" s="663"/>
      <c r="S2188" s="459"/>
      <c r="T2188" s="459"/>
      <c r="U2188" s="459"/>
      <c r="V2188" s="459"/>
      <c r="W2188" s="459"/>
      <c r="X2188" s="459"/>
      <c r="Y2188" s="666"/>
      <c r="Z2188" s="664"/>
      <c r="AA2188" s="665"/>
      <c r="AB2188" s="665"/>
      <c r="AC2188" s="665"/>
      <c r="AD2188" s="665"/>
      <c r="AE2188" s="665"/>
      <c r="AF2188" s="649"/>
      <c r="AG2188" s="650"/>
      <c r="AH2188" s="650"/>
      <c r="AI2188" s="667"/>
    </row>
    <row r="2189" spans="12:35" ht="45" customHeight="1" thickBot="1" x14ac:dyDescent="0.25">
      <c r="L2189" s="645"/>
      <c r="M2189" s="616"/>
      <c r="N2189" s="616"/>
      <c r="O2189" s="616"/>
      <c r="P2189" s="615"/>
      <c r="Q2189" s="616"/>
      <c r="R2189" s="663"/>
      <c r="S2189" s="459"/>
      <c r="T2189" s="459"/>
      <c r="U2189" s="459"/>
      <c r="V2189" s="459"/>
      <c r="W2189" s="459"/>
      <c r="X2189" s="459"/>
      <c r="Y2189" s="666"/>
      <c r="Z2189" s="664"/>
      <c r="AA2189" s="665"/>
      <c r="AB2189" s="665"/>
      <c r="AC2189" s="665"/>
      <c r="AD2189" s="665"/>
      <c r="AE2189" s="665"/>
      <c r="AF2189" s="649"/>
      <c r="AG2189" s="650"/>
      <c r="AH2189" s="650"/>
      <c r="AI2189" s="667"/>
    </row>
    <row r="2190" spans="12:35" ht="45" customHeight="1" thickBot="1" x14ac:dyDescent="0.25">
      <c r="L2190" s="645"/>
      <c r="M2190" s="616"/>
      <c r="N2190" s="616"/>
      <c r="O2190" s="616"/>
      <c r="P2190" s="615"/>
      <c r="Q2190" s="616"/>
      <c r="R2190" s="663"/>
      <c r="S2190" s="459"/>
      <c r="T2190" s="459"/>
      <c r="U2190" s="459"/>
      <c r="V2190" s="459"/>
      <c r="W2190" s="459"/>
      <c r="X2190" s="459"/>
      <c r="Y2190" s="666"/>
      <c r="Z2190" s="664"/>
      <c r="AA2190" s="665"/>
      <c r="AB2190" s="665"/>
      <c r="AC2190" s="665"/>
      <c r="AD2190" s="665"/>
      <c r="AE2190" s="665"/>
      <c r="AF2190" s="649"/>
      <c r="AG2190" s="650"/>
      <c r="AH2190" s="650"/>
      <c r="AI2190" s="667"/>
    </row>
    <row r="2191" spans="12:35" ht="45" customHeight="1" thickBot="1" x14ac:dyDescent="0.25">
      <c r="L2191" s="645"/>
      <c r="M2191" s="616"/>
      <c r="N2191" s="616"/>
      <c r="O2191" s="616"/>
      <c r="P2191" s="615"/>
      <c r="Q2191" s="616"/>
      <c r="R2191" s="663"/>
      <c r="S2191" s="459"/>
      <c r="T2191" s="459"/>
      <c r="U2191" s="459"/>
      <c r="V2191" s="459"/>
      <c r="W2191" s="459"/>
      <c r="X2191" s="459"/>
      <c r="Y2191" s="666"/>
      <c r="Z2191" s="664"/>
      <c r="AA2191" s="665"/>
      <c r="AB2191" s="665"/>
      <c r="AC2191" s="665"/>
      <c r="AD2191" s="665"/>
      <c r="AE2191" s="665"/>
      <c r="AF2191" s="649"/>
      <c r="AG2191" s="650"/>
      <c r="AH2191" s="650"/>
      <c r="AI2191" s="667"/>
    </row>
    <row r="2192" spans="12:35" ht="45" customHeight="1" thickBot="1" x14ac:dyDescent="0.25">
      <c r="L2192" s="645"/>
      <c r="M2192" s="616"/>
      <c r="N2192" s="616"/>
      <c r="O2192" s="616"/>
      <c r="P2192" s="615"/>
      <c r="Q2192" s="616"/>
      <c r="R2192" s="663"/>
      <c r="S2192" s="459"/>
      <c r="T2192" s="459"/>
      <c r="U2192" s="459"/>
      <c r="V2192" s="459"/>
      <c r="W2192" s="459"/>
      <c r="X2192" s="459"/>
      <c r="Y2192" s="666"/>
      <c r="Z2192" s="664"/>
      <c r="AA2192" s="665"/>
      <c r="AB2192" s="665"/>
      <c r="AC2192" s="665"/>
      <c r="AD2192" s="665"/>
      <c r="AE2192" s="665"/>
      <c r="AF2192" s="649"/>
      <c r="AG2192" s="650"/>
      <c r="AH2192" s="650"/>
      <c r="AI2192" s="667"/>
    </row>
    <row r="2193" spans="12:35" ht="45" customHeight="1" thickBot="1" x14ac:dyDescent="0.25">
      <c r="L2193" s="645"/>
      <c r="M2193" s="616"/>
      <c r="N2193" s="616"/>
      <c r="O2193" s="616"/>
      <c r="P2193" s="615"/>
      <c r="Q2193" s="616"/>
      <c r="R2193" s="663"/>
      <c r="S2193" s="459"/>
      <c r="T2193" s="459"/>
      <c r="U2193" s="459"/>
      <c r="V2193" s="459"/>
      <c r="W2193" s="459"/>
      <c r="X2193" s="459"/>
      <c r="Y2193" s="666"/>
      <c r="Z2193" s="664"/>
      <c r="AA2193" s="665"/>
      <c r="AB2193" s="665"/>
      <c r="AC2193" s="665"/>
      <c r="AD2193" s="665"/>
      <c r="AE2193" s="665"/>
      <c r="AF2193" s="649"/>
      <c r="AG2193" s="650"/>
      <c r="AH2193" s="650"/>
      <c r="AI2193" s="667"/>
    </row>
    <row r="2194" spans="12:35" ht="45" customHeight="1" thickBot="1" x14ac:dyDescent="0.25">
      <c r="L2194" s="645"/>
      <c r="M2194" s="616"/>
      <c r="N2194" s="616"/>
      <c r="O2194" s="616"/>
      <c r="P2194" s="615"/>
      <c r="Q2194" s="616"/>
      <c r="R2194" s="663"/>
      <c r="S2194" s="459"/>
      <c r="T2194" s="459"/>
      <c r="U2194" s="459"/>
      <c r="V2194" s="459"/>
      <c r="W2194" s="459"/>
      <c r="X2194" s="459"/>
      <c r="Y2194" s="666"/>
      <c r="Z2194" s="664"/>
      <c r="AA2194" s="665"/>
      <c r="AB2194" s="665"/>
      <c r="AC2194" s="665"/>
      <c r="AD2194" s="665"/>
      <c r="AE2194" s="665"/>
      <c r="AF2194" s="649"/>
      <c r="AG2194" s="650"/>
      <c r="AH2194" s="650"/>
      <c r="AI2194" s="667"/>
    </row>
    <row r="2195" spans="12:35" ht="45" customHeight="1" thickBot="1" x14ac:dyDescent="0.25">
      <c r="L2195" s="645"/>
      <c r="M2195" s="616"/>
      <c r="N2195" s="616"/>
      <c r="O2195" s="616"/>
      <c r="P2195" s="615"/>
      <c r="Q2195" s="616"/>
      <c r="R2195" s="663"/>
      <c r="S2195" s="459"/>
      <c r="T2195" s="459"/>
      <c r="U2195" s="459"/>
      <c r="V2195" s="459"/>
      <c r="W2195" s="459"/>
      <c r="X2195" s="459"/>
      <c r="Y2195" s="666"/>
      <c r="Z2195" s="664"/>
      <c r="AA2195" s="665"/>
      <c r="AB2195" s="665"/>
      <c r="AC2195" s="665"/>
      <c r="AD2195" s="665"/>
      <c r="AE2195" s="665"/>
      <c r="AF2195" s="649"/>
      <c r="AG2195" s="650"/>
      <c r="AH2195" s="650"/>
      <c r="AI2195" s="667"/>
    </row>
    <row r="2196" spans="12:35" ht="45" customHeight="1" thickBot="1" x14ac:dyDescent="0.25">
      <c r="L2196" s="645"/>
      <c r="M2196" s="616"/>
      <c r="N2196" s="616"/>
      <c r="O2196" s="616"/>
      <c r="P2196" s="615"/>
      <c r="Q2196" s="616"/>
      <c r="R2196" s="663"/>
      <c r="S2196" s="459"/>
      <c r="T2196" s="459"/>
      <c r="U2196" s="459"/>
      <c r="V2196" s="459"/>
      <c r="W2196" s="459"/>
      <c r="X2196" s="459"/>
      <c r="Y2196" s="666"/>
      <c r="Z2196" s="664"/>
      <c r="AA2196" s="665"/>
      <c r="AB2196" s="665"/>
      <c r="AC2196" s="665"/>
      <c r="AD2196" s="665"/>
      <c r="AE2196" s="665"/>
      <c r="AF2196" s="649"/>
      <c r="AG2196" s="650"/>
      <c r="AH2196" s="650"/>
      <c r="AI2196" s="667"/>
    </row>
    <row r="2197" spans="12:35" ht="45" customHeight="1" thickBot="1" x14ac:dyDescent="0.25">
      <c r="L2197" s="645"/>
      <c r="M2197" s="616"/>
      <c r="N2197" s="616"/>
      <c r="O2197" s="616"/>
      <c r="P2197" s="615"/>
      <c r="Q2197" s="616"/>
      <c r="R2197" s="663"/>
      <c r="S2197" s="459"/>
      <c r="T2197" s="459"/>
      <c r="U2197" s="459"/>
      <c r="V2197" s="459"/>
      <c r="W2197" s="459"/>
      <c r="X2197" s="459"/>
      <c r="Y2197" s="666"/>
      <c r="Z2197" s="664"/>
      <c r="AA2197" s="665"/>
      <c r="AB2197" s="665"/>
      <c r="AC2197" s="665"/>
      <c r="AD2197" s="665"/>
      <c r="AE2197" s="665"/>
      <c r="AF2197" s="649"/>
      <c r="AG2197" s="650"/>
      <c r="AH2197" s="650"/>
      <c r="AI2197" s="667"/>
    </row>
    <row r="2198" spans="12:35" ht="45" customHeight="1" thickBot="1" x14ac:dyDescent="0.25">
      <c r="L2198" s="645"/>
      <c r="M2198" s="616"/>
      <c r="N2198" s="616"/>
      <c r="O2198" s="616"/>
      <c r="P2198" s="615"/>
      <c r="Q2198" s="616"/>
      <c r="R2198" s="663"/>
      <c r="S2198" s="459"/>
      <c r="T2198" s="459"/>
      <c r="U2198" s="459"/>
      <c r="V2198" s="459"/>
      <c r="W2198" s="459"/>
      <c r="X2198" s="459"/>
      <c r="Y2198" s="666"/>
      <c r="Z2198" s="664"/>
      <c r="AA2198" s="665"/>
      <c r="AB2198" s="665"/>
      <c r="AC2198" s="665"/>
      <c r="AD2198" s="665"/>
      <c r="AE2198" s="665"/>
      <c r="AF2198" s="649"/>
      <c r="AG2198" s="650"/>
      <c r="AH2198" s="650"/>
      <c r="AI2198" s="667"/>
    </row>
    <row r="2199" spans="12:35" ht="45" customHeight="1" thickBot="1" x14ac:dyDescent="0.25">
      <c r="L2199" s="645"/>
      <c r="M2199" s="616"/>
      <c r="N2199" s="616"/>
      <c r="O2199" s="616"/>
      <c r="P2199" s="615"/>
      <c r="Q2199" s="616"/>
      <c r="R2199" s="663"/>
      <c r="S2199" s="459"/>
      <c r="T2199" s="459"/>
      <c r="U2199" s="459"/>
      <c r="V2199" s="459"/>
      <c r="W2199" s="459"/>
      <c r="X2199" s="459"/>
      <c r="Y2199" s="666"/>
      <c r="Z2199" s="664"/>
      <c r="AA2199" s="665"/>
      <c r="AB2199" s="665"/>
      <c r="AC2199" s="665"/>
      <c r="AD2199" s="665"/>
      <c r="AE2199" s="665"/>
      <c r="AF2199" s="649"/>
      <c r="AG2199" s="650"/>
      <c r="AH2199" s="650"/>
      <c r="AI2199" s="667"/>
    </row>
    <row r="2200" spans="12:35" ht="45" customHeight="1" thickBot="1" x14ac:dyDescent="0.25">
      <c r="L2200" s="645"/>
      <c r="M2200" s="616"/>
      <c r="N2200" s="616"/>
      <c r="O2200" s="616"/>
      <c r="P2200" s="615"/>
      <c r="Q2200" s="616"/>
      <c r="R2200" s="663"/>
      <c r="S2200" s="459"/>
      <c r="T2200" s="459"/>
      <c r="U2200" s="459"/>
      <c r="V2200" s="459"/>
      <c r="W2200" s="459"/>
      <c r="X2200" s="459"/>
      <c r="Y2200" s="666"/>
      <c r="Z2200" s="664"/>
      <c r="AA2200" s="665"/>
      <c r="AB2200" s="665"/>
      <c r="AC2200" s="665"/>
      <c r="AD2200" s="665"/>
      <c r="AE2200" s="665"/>
      <c r="AF2200" s="649"/>
      <c r="AG2200" s="650"/>
      <c r="AH2200" s="650"/>
      <c r="AI2200" s="667"/>
    </row>
    <row r="2201" spans="12:35" ht="45" customHeight="1" thickBot="1" x14ac:dyDescent="0.25">
      <c r="L2201" s="645"/>
      <c r="M2201" s="616"/>
      <c r="N2201" s="616"/>
      <c r="O2201" s="616"/>
      <c r="P2201" s="615"/>
      <c r="Q2201" s="616"/>
      <c r="R2201" s="663"/>
      <c r="S2201" s="459"/>
      <c r="T2201" s="459"/>
      <c r="U2201" s="459"/>
      <c r="V2201" s="459"/>
      <c r="W2201" s="459"/>
      <c r="X2201" s="459"/>
      <c r="Y2201" s="666"/>
      <c r="Z2201" s="664"/>
      <c r="AA2201" s="665"/>
      <c r="AB2201" s="665"/>
      <c r="AC2201" s="665"/>
      <c r="AD2201" s="665"/>
      <c r="AE2201" s="665"/>
      <c r="AF2201" s="649"/>
      <c r="AG2201" s="650"/>
      <c r="AH2201" s="650"/>
      <c r="AI2201" s="667"/>
    </row>
    <row r="2202" spans="12:35" ht="45" customHeight="1" thickBot="1" x14ac:dyDescent="0.25">
      <c r="L2202" s="645"/>
      <c r="M2202" s="616"/>
      <c r="N2202" s="616"/>
      <c r="O2202" s="616"/>
      <c r="P2202" s="615"/>
      <c r="Q2202" s="616"/>
      <c r="R2202" s="663"/>
      <c r="S2202" s="459"/>
      <c r="T2202" s="459"/>
      <c r="U2202" s="459"/>
      <c r="V2202" s="459"/>
      <c r="W2202" s="459"/>
      <c r="X2202" s="459"/>
      <c r="Y2202" s="666"/>
      <c r="Z2202" s="664"/>
      <c r="AA2202" s="665"/>
      <c r="AB2202" s="665"/>
      <c r="AC2202" s="665"/>
      <c r="AD2202" s="665"/>
      <c r="AE2202" s="665"/>
      <c r="AF2202" s="649"/>
      <c r="AG2202" s="650"/>
      <c r="AH2202" s="650"/>
      <c r="AI2202" s="667"/>
    </row>
    <row r="2203" spans="12:35" ht="45" customHeight="1" thickBot="1" x14ac:dyDescent="0.25">
      <c r="L2203" s="645"/>
      <c r="M2203" s="616"/>
      <c r="N2203" s="616"/>
      <c r="O2203" s="616"/>
      <c r="P2203" s="615"/>
      <c r="Q2203" s="616"/>
      <c r="R2203" s="663"/>
      <c r="S2203" s="459"/>
      <c r="T2203" s="459"/>
      <c r="U2203" s="459"/>
      <c r="V2203" s="459"/>
      <c r="W2203" s="459"/>
      <c r="X2203" s="459"/>
      <c r="Y2203" s="666"/>
      <c r="Z2203" s="664"/>
      <c r="AA2203" s="665"/>
      <c r="AB2203" s="665"/>
      <c r="AC2203" s="665"/>
      <c r="AD2203" s="665"/>
      <c r="AE2203" s="665"/>
      <c r="AF2203" s="649"/>
      <c r="AG2203" s="650"/>
      <c r="AH2203" s="650"/>
      <c r="AI2203" s="667"/>
    </row>
    <row r="2204" spans="12:35" ht="45" customHeight="1" thickBot="1" x14ac:dyDescent="0.25">
      <c r="L2204" s="645"/>
      <c r="M2204" s="616"/>
      <c r="N2204" s="616"/>
      <c r="O2204" s="616"/>
      <c r="P2204" s="615"/>
      <c r="Q2204" s="616"/>
      <c r="R2204" s="663"/>
      <c r="S2204" s="459"/>
      <c r="T2204" s="459"/>
      <c r="U2204" s="459"/>
      <c r="V2204" s="459"/>
      <c r="W2204" s="459"/>
      <c r="X2204" s="459"/>
      <c r="Y2204" s="666"/>
      <c r="Z2204" s="664"/>
      <c r="AA2204" s="665"/>
      <c r="AB2204" s="665"/>
      <c r="AC2204" s="665"/>
      <c r="AD2204" s="665"/>
      <c r="AE2204" s="665"/>
      <c r="AF2204" s="649"/>
      <c r="AG2204" s="650"/>
      <c r="AH2204" s="650"/>
      <c r="AI2204" s="667"/>
    </row>
    <row r="2205" spans="12:35" ht="45" customHeight="1" thickBot="1" x14ac:dyDescent="0.25">
      <c r="L2205" s="645"/>
      <c r="M2205" s="616"/>
      <c r="N2205" s="616"/>
      <c r="O2205" s="616"/>
      <c r="P2205" s="615"/>
      <c r="Q2205" s="616"/>
      <c r="R2205" s="663"/>
      <c r="S2205" s="459"/>
      <c r="T2205" s="459"/>
      <c r="U2205" s="459"/>
      <c r="V2205" s="459"/>
      <c r="W2205" s="459"/>
      <c r="X2205" s="459"/>
      <c r="Y2205" s="666"/>
      <c r="Z2205" s="664"/>
      <c r="AA2205" s="665"/>
      <c r="AB2205" s="665"/>
      <c r="AC2205" s="665"/>
      <c r="AD2205" s="665"/>
      <c r="AE2205" s="665"/>
      <c r="AF2205" s="649"/>
      <c r="AG2205" s="650"/>
      <c r="AH2205" s="650"/>
      <c r="AI2205" s="667"/>
    </row>
    <row r="2206" spans="12:35" ht="45" customHeight="1" thickBot="1" x14ac:dyDescent="0.25">
      <c r="L2206" s="645"/>
      <c r="M2206" s="616"/>
      <c r="N2206" s="616"/>
      <c r="O2206" s="616"/>
      <c r="P2206" s="615"/>
      <c r="Q2206" s="616"/>
      <c r="R2206" s="663"/>
      <c r="S2206" s="459"/>
      <c r="T2206" s="459"/>
      <c r="U2206" s="459"/>
      <c r="V2206" s="459"/>
      <c r="W2206" s="459"/>
      <c r="X2206" s="459"/>
      <c r="Y2206" s="666"/>
      <c r="Z2206" s="664"/>
      <c r="AA2206" s="665"/>
      <c r="AB2206" s="665"/>
      <c r="AC2206" s="665"/>
      <c r="AD2206" s="665"/>
      <c r="AE2206" s="665"/>
      <c r="AF2206" s="649"/>
      <c r="AG2206" s="650"/>
      <c r="AH2206" s="650"/>
      <c r="AI2206" s="667"/>
    </row>
    <row r="2207" spans="12:35" ht="45" customHeight="1" thickBot="1" x14ac:dyDescent="0.25">
      <c r="L2207" s="645"/>
      <c r="M2207" s="616"/>
      <c r="N2207" s="616"/>
      <c r="O2207" s="616"/>
      <c r="P2207" s="615"/>
      <c r="Q2207" s="616"/>
      <c r="R2207" s="663"/>
      <c r="S2207" s="459"/>
      <c r="T2207" s="459"/>
      <c r="U2207" s="459"/>
      <c r="V2207" s="459"/>
      <c r="W2207" s="459"/>
      <c r="X2207" s="459"/>
      <c r="Y2207" s="666"/>
      <c r="Z2207" s="664"/>
      <c r="AA2207" s="665"/>
      <c r="AB2207" s="665"/>
      <c r="AC2207" s="665"/>
      <c r="AD2207" s="665"/>
      <c r="AE2207" s="665"/>
      <c r="AF2207" s="649"/>
      <c r="AG2207" s="650"/>
      <c r="AH2207" s="650"/>
      <c r="AI2207" s="667"/>
    </row>
    <row r="2208" spans="12:35" ht="45" customHeight="1" thickBot="1" x14ac:dyDescent="0.25">
      <c r="L2208" s="645"/>
      <c r="M2208" s="616"/>
      <c r="N2208" s="616"/>
      <c r="O2208" s="616"/>
      <c r="P2208" s="615"/>
      <c r="Q2208" s="616"/>
      <c r="R2208" s="663"/>
      <c r="S2208" s="459"/>
      <c r="T2208" s="459"/>
      <c r="U2208" s="459"/>
      <c r="V2208" s="459"/>
      <c r="W2208" s="459"/>
      <c r="X2208" s="459"/>
      <c r="Y2208" s="666"/>
      <c r="Z2208" s="664"/>
      <c r="AA2208" s="665"/>
      <c r="AB2208" s="665"/>
      <c r="AC2208" s="665"/>
      <c r="AD2208" s="665"/>
      <c r="AE2208" s="665"/>
      <c r="AF2208" s="649"/>
      <c r="AG2208" s="650"/>
      <c r="AH2208" s="650"/>
      <c r="AI2208" s="667"/>
    </row>
    <row r="2209" spans="12:35" ht="45" customHeight="1" thickBot="1" x14ac:dyDescent="0.25">
      <c r="L2209" s="645"/>
      <c r="M2209" s="616"/>
      <c r="N2209" s="616"/>
      <c r="O2209" s="616"/>
      <c r="P2209" s="615"/>
      <c r="Q2209" s="616"/>
      <c r="R2209" s="663"/>
      <c r="S2209" s="459"/>
      <c r="T2209" s="459"/>
      <c r="U2209" s="459"/>
      <c r="V2209" s="459"/>
      <c r="W2209" s="459"/>
      <c r="X2209" s="459"/>
      <c r="Y2209" s="666"/>
      <c r="Z2209" s="664"/>
      <c r="AA2209" s="665"/>
      <c r="AB2209" s="665"/>
      <c r="AC2209" s="665"/>
      <c r="AD2209" s="665"/>
      <c r="AE2209" s="665"/>
      <c r="AF2209" s="649"/>
      <c r="AG2209" s="650"/>
      <c r="AH2209" s="650"/>
      <c r="AI2209" s="667"/>
    </row>
    <row r="2210" spans="12:35" ht="45" customHeight="1" thickBot="1" x14ac:dyDescent="0.25">
      <c r="L2210" s="645"/>
      <c r="M2210" s="616"/>
      <c r="N2210" s="616"/>
      <c r="O2210" s="616"/>
      <c r="P2210" s="615"/>
      <c r="Q2210" s="616"/>
      <c r="R2210" s="663"/>
      <c r="S2210" s="459"/>
      <c r="T2210" s="459"/>
      <c r="U2210" s="459"/>
      <c r="V2210" s="459"/>
      <c r="W2210" s="459"/>
      <c r="X2210" s="459"/>
      <c r="Y2210" s="666"/>
      <c r="Z2210" s="664"/>
      <c r="AA2210" s="665"/>
      <c r="AB2210" s="665"/>
      <c r="AC2210" s="665"/>
      <c r="AD2210" s="665"/>
      <c r="AE2210" s="665"/>
      <c r="AF2210" s="649"/>
      <c r="AG2210" s="650"/>
      <c r="AH2210" s="650"/>
      <c r="AI2210" s="667"/>
    </row>
    <row r="2211" spans="12:35" ht="45" customHeight="1" thickBot="1" x14ac:dyDescent="0.25">
      <c r="L2211" s="645"/>
      <c r="M2211" s="616"/>
      <c r="N2211" s="616"/>
      <c r="O2211" s="616"/>
      <c r="P2211" s="615"/>
      <c r="Q2211" s="616"/>
      <c r="R2211" s="663"/>
      <c r="S2211" s="459"/>
      <c r="T2211" s="459"/>
      <c r="U2211" s="459"/>
      <c r="V2211" s="459"/>
      <c r="W2211" s="459"/>
      <c r="X2211" s="459"/>
      <c r="Y2211" s="666"/>
      <c r="Z2211" s="664"/>
      <c r="AA2211" s="665"/>
      <c r="AB2211" s="665"/>
      <c r="AC2211" s="665"/>
      <c r="AD2211" s="665"/>
      <c r="AE2211" s="665"/>
      <c r="AF2211" s="649"/>
      <c r="AG2211" s="650"/>
      <c r="AH2211" s="650"/>
      <c r="AI2211" s="667"/>
    </row>
    <row r="2212" spans="12:35" ht="45" customHeight="1" thickBot="1" x14ac:dyDescent="0.25">
      <c r="L2212" s="645"/>
      <c r="M2212" s="616"/>
      <c r="N2212" s="616"/>
      <c r="O2212" s="616"/>
      <c r="P2212" s="615"/>
      <c r="Q2212" s="616"/>
      <c r="R2212" s="663"/>
      <c r="S2212" s="459"/>
      <c r="T2212" s="459"/>
      <c r="U2212" s="459"/>
      <c r="V2212" s="459"/>
      <c r="W2212" s="459"/>
      <c r="X2212" s="459"/>
      <c r="Y2212" s="666"/>
      <c r="Z2212" s="664"/>
      <c r="AA2212" s="665"/>
      <c r="AB2212" s="665"/>
      <c r="AC2212" s="665"/>
      <c r="AD2212" s="665"/>
      <c r="AE2212" s="665"/>
      <c r="AF2212" s="649"/>
      <c r="AG2212" s="650"/>
      <c r="AH2212" s="650"/>
      <c r="AI2212" s="667"/>
    </row>
    <row r="2213" spans="12:35" ht="45" customHeight="1" thickBot="1" x14ac:dyDescent="0.25">
      <c r="L2213" s="645"/>
      <c r="M2213" s="616"/>
      <c r="N2213" s="616"/>
      <c r="O2213" s="616"/>
      <c r="P2213" s="615"/>
      <c r="Q2213" s="616"/>
      <c r="R2213" s="663"/>
      <c r="S2213" s="459"/>
      <c r="T2213" s="459"/>
      <c r="U2213" s="459"/>
      <c r="V2213" s="459"/>
      <c r="W2213" s="459"/>
      <c r="X2213" s="459"/>
      <c r="Y2213" s="666"/>
      <c r="Z2213" s="664"/>
      <c r="AA2213" s="665"/>
      <c r="AB2213" s="665"/>
      <c r="AC2213" s="665"/>
      <c r="AD2213" s="665"/>
      <c r="AE2213" s="665"/>
      <c r="AF2213" s="649"/>
      <c r="AG2213" s="650"/>
      <c r="AH2213" s="650"/>
      <c r="AI2213" s="667"/>
    </row>
    <row r="2214" spans="12:35" ht="45" customHeight="1" thickBot="1" x14ac:dyDescent="0.25">
      <c r="L2214" s="645"/>
      <c r="M2214" s="616"/>
      <c r="N2214" s="616"/>
      <c r="O2214" s="616"/>
      <c r="P2214" s="615"/>
      <c r="Q2214" s="616"/>
      <c r="R2214" s="663"/>
      <c r="S2214" s="459"/>
      <c r="T2214" s="459"/>
      <c r="U2214" s="459"/>
      <c r="V2214" s="459"/>
      <c r="W2214" s="459"/>
      <c r="X2214" s="459"/>
      <c r="Y2214" s="666"/>
      <c r="Z2214" s="664"/>
      <c r="AA2214" s="665"/>
      <c r="AB2214" s="665"/>
      <c r="AC2214" s="665"/>
      <c r="AD2214" s="665"/>
      <c r="AE2214" s="665"/>
      <c r="AF2214" s="649"/>
      <c r="AG2214" s="650"/>
      <c r="AH2214" s="650"/>
      <c r="AI2214" s="667"/>
    </row>
    <row r="2215" spans="12:35" ht="45" customHeight="1" thickBot="1" x14ac:dyDescent="0.25">
      <c r="L2215" s="645"/>
      <c r="M2215" s="616"/>
      <c r="N2215" s="616"/>
      <c r="O2215" s="616"/>
      <c r="P2215" s="615"/>
      <c r="Q2215" s="616"/>
      <c r="R2215" s="663"/>
      <c r="S2215" s="459"/>
      <c r="T2215" s="459"/>
      <c r="U2215" s="459"/>
      <c r="V2215" s="459"/>
      <c r="W2215" s="459"/>
      <c r="X2215" s="459"/>
      <c r="Y2215" s="666"/>
      <c r="Z2215" s="664"/>
      <c r="AA2215" s="665"/>
      <c r="AB2215" s="665"/>
      <c r="AC2215" s="665"/>
      <c r="AD2215" s="665"/>
      <c r="AE2215" s="665"/>
      <c r="AF2215" s="649"/>
      <c r="AG2215" s="650"/>
      <c r="AH2215" s="650"/>
      <c r="AI2215" s="667"/>
    </row>
    <row r="2216" spans="12:35" ht="45" customHeight="1" thickBot="1" x14ac:dyDescent="0.25">
      <c r="L2216" s="645"/>
      <c r="M2216" s="616"/>
      <c r="N2216" s="616"/>
      <c r="O2216" s="616"/>
      <c r="P2216" s="615"/>
      <c r="Q2216" s="616"/>
      <c r="R2216" s="663"/>
      <c r="S2216" s="459"/>
      <c r="T2216" s="459"/>
      <c r="U2216" s="459"/>
      <c r="V2216" s="459"/>
      <c r="W2216" s="459"/>
      <c r="X2216" s="459"/>
      <c r="Y2216" s="666"/>
      <c r="Z2216" s="664"/>
      <c r="AA2216" s="665"/>
      <c r="AB2216" s="665"/>
      <c r="AC2216" s="665"/>
      <c r="AD2216" s="665"/>
      <c r="AE2216" s="665"/>
      <c r="AF2216" s="649"/>
      <c r="AG2216" s="650"/>
      <c r="AH2216" s="650"/>
      <c r="AI2216" s="667"/>
    </row>
    <row r="2217" spans="12:35" ht="45" customHeight="1" thickBot="1" x14ac:dyDescent="0.25">
      <c r="L2217" s="645"/>
      <c r="M2217" s="616"/>
      <c r="N2217" s="616"/>
      <c r="O2217" s="616"/>
      <c r="P2217" s="615"/>
      <c r="Q2217" s="616"/>
      <c r="R2217" s="663"/>
      <c r="S2217" s="459"/>
      <c r="T2217" s="459"/>
      <c r="U2217" s="459"/>
      <c r="V2217" s="459"/>
      <c r="W2217" s="459"/>
      <c r="X2217" s="459"/>
      <c r="Y2217" s="666"/>
      <c r="Z2217" s="664"/>
      <c r="AA2217" s="665"/>
      <c r="AB2217" s="665"/>
      <c r="AC2217" s="665"/>
      <c r="AD2217" s="665"/>
      <c r="AE2217" s="665"/>
      <c r="AF2217" s="649"/>
      <c r="AG2217" s="650"/>
      <c r="AH2217" s="650"/>
      <c r="AI2217" s="667"/>
    </row>
    <row r="2218" spans="12:35" ht="45" customHeight="1" thickBot="1" x14ac:dyDescent="0.25">
      <c r="L2218" s="645"/>
      <c r="M2218" s="616"/>
      <c r="N2218" s="616"/>
      <c r="O2218" s="616"/>
      <c r="P2218" s="615"/>
      <c r="Q2218" s="616"/>
      <c r="R2218" s="663"/>
      <c r="S2218" s="459"/>
      <c r="T2218" s="459"/>
      <c r="U2218" s="459"/>
      <c r="V2218" s="459"/>
      <c r="W2218" s="459"/>
      <c r="X2218" s="459"/>
      <c r="Y2218" s="666"/>
      <c r="Z2218" s="664"/>
      <c r="AA2218" s="665"/>
      <c r="AB2218" s="665"/>
      <c r="AC2218" s="665"/>
      <c r="AD2218" s="665"/>
      <c r="AE2218" s="665"/>
      <c r="AF2218" s="649"/>
      <c r="AG2218" s="650"/>
      <c r="AH2218" s="650"/>
      <c r="AI2218" s="667"/>
    </row>
    <row r="2219" spans="12:35" ht="45" customHeight="1" thickBot="1" x14ac:dyDescent="0.25">
      <c r="L2219" s="645"/>
      <c r="M2219" s="616"/>
      <c r="N2219" s="616"/>
      <c r="O2219" s="616"/>
      <c r="P2219" s="615"/>
      <c r="Q2219" s="616"/>
      <c r="R2219" s="663"/>
      <c r="S2219" s="459"/>
      <c r="T2219" s="459"/>
      <c r="U2219" s="459"/>
      <c r="V2219" s="459"/>
      <c r="W2219" s="459"/>
      <c r="X2219" s="459"/>
      <c r="Y2219" s="666"/>
      <c r="Z2219" s="664"/>
      <c r="AA2219" s="665"/>
      <c r="AB2219" s="665"/>
      <c r="AC2219" s="665"/>
      <c r="AD2219" s="665"/>
      <c r="AE2219" s="665"/>
      <c r="AF2219" s="649"/>
      <c r="AG2219" s="650"/>
      <c r="AH2219" s="650"/>
      <c r="AI2219" s="667"/>
    </row>
    <row r="2220" spans="12:35" ht="45" customHeight="1" thickBot="1" x14ac:dyDescent="0.25">
      <c r="L2220" s="645"/>
      <c r="M2220" s="616"/>
      <c r="N2220" s="616"/>
      <c r="O2220" s="616"/>
      <c r="P2220" s="615"/>
      <c r="Q2220" s="616"/>
      <c r="R2220" s="663"/>
      <c r="S2220" s="459"/>
      <c r="T2220" s="459"/>
      <c r="U2220" s="459"/>
      <c r="V2220" s="459"/>
      <c r="W2220" s="459"/>
      <c r="X2220" s="459"/>
      <c r="Y2220" s="666"/>
      <c r="Z2220" s="664"/>
      <c r="AA2220" s="665"/>
      <c r="AB2220" s="665"/>
      <c r="AC2220" s="665"/>
      <c r="AD2220" s="665"/>
      <c r="AE2220" s="665"/>
      <c r="AF2220" s="649"/>
      <c r="AG2220" s="650"/>
      <c r="AH2220" s="650"/>
      <c r="AI2220" s="667"/>
    </row>
    <row r="2221" spans="12:35" ht="45" customHeight="1" thickBot="1" x14ac:dyDescent="0.25">
      <c r="L2221" s="645"/>
      <c r="M2221" s="616"/>
      <c r="N2221" s="616"/>
      <c r="O2221" s="616"/>
      <c r="P2221" s="615"/>
      <c r="Q2221" s="616"/>
      <c r="R2221" s="663"/>
      <c r="S2221" s="459"/>
      <c r="T2221" s="459"/>
      <c r="U2221" s="459"/>
      <c r="V2221" s="459"/>
      <c r="W2221" s="459"/>
      <c r="X2221" s="459"/>
      <c r="Y2221" s="666"/>
      <c r="Z2221" s="664"/>
      <c r="AA2221" s="665"/>
      <c r="AB2221" s="665"/>
      <c r="AC2221" s="665"/>
      <c r="AD2221" s="665"/>
      <c r="AE2221" s="665"/>
      <c r="AF2221" s="649"/>
      <c r="AG2221" s="650"/>
      <c r="AH2221" s="650"/>
      <c r="AI2221" s="667"/>
    </row>
    <row r="2222" spans="12:35" ht="45" customHeight="1" thickBot="1" x14ac:dyDescent="0.25">
      <c r="L2222" s="645"/>
      <c r="M2222" s="616"/>
      <c r="N2222" s="616"/>
      <c r="O2222" s="616"/>
      <c r="P2222" s="615"/>
      <c r="Q2222" s="616"/>
      <c r="R2222" s="663"/>
      <c r="S2222" s="459"/>
      <c r="T2222" s="459"/>
      <c r="U2222" s="459"/>
      <c r="V2222" s="459"/>
      <c r="W2222" s="459"/>
      <c r="X2222" s="459"/>
      <c r="Y2222" s="666"/>
      <c r="Z2222" s="664"/>
      <c r="AA2222" s="665"/>
      <c r="AB2222" s="665"/>
      <c r="AC2222" s="665"/>
      <c r="AD2222" s="665"/>
      <c r="AE2222" s="665"/>
      <c r="AF2222" s="649"/>
      <c r="AG2222" s="650"/>
      <c r="AH2222" s="650"/>
      <c r="AI2222" s="667"/>
    </row>
    <row r="2223" spans="12:35" ht="45" customHeight="1" thickBot="1" x14ac:dyDescent="0.25">
      <c r="L2223" s="645"/>
      <c r="M2223" s="616"/>
      <c r="N2223" s="616"/>
      <c r="O2223" s="616"/>
      <c r="P2223" s="615"/>
      <c r="Q2223" s="616"/>
      <c r="R2223" s="663"/>
      <c r="S2223" s="459"/>
      <c r="T2223" s="459"/>
      <c r="U2223" s="459"/>
      <c r="V2223" s="459"/>
      <c r="W2223" s="459"/>
      <c r="X2223" s="459"/>
      <c r="Y2223" s="666"/>
      <c r="Z2223" s="664"/>
      <c r="AA2223" s="665"/>
      <c r="AB2223" s="665"/>
      <c r="AC2223" s="665"/>
      <c r="AD2223" s="665"/>
      <c r="AE2223" s="665"/>
      <c r="AF2223" s="649"/>
      <c r="AG2223" s="650"/>
      <c r="AH2223" s="650"/>
      <c r="AI2223" s="667"/>
    </row>
    <row r="2224" spans="12:35" ht="45" customHeight="1" thickBot="1" x14ac:dyDescent="0.25">
      <c r="L2224" s="645"/>
      <c r="M2224" s="616"/>
      <c r="N2224" s="616"/>
      <c r="O2224" s="616"/>
      <c r="P2224" s="615"/>
      <c r="Q2224" s="616"/>
      <c r="R2224" s="663"/>
      <c r="S2224" s="459"/>
      <c r="T2224" s="459"/>
      <c r="U2224" s="459"/>
      <c r="V2224" s="459"/>
      <c r="W2224" s="459"/>
      <c r="X2224" s="459"/>
      <c r="Y2224" s="666"/>
      <c r="Z2224" s="664"/>
      <c r="AA2224" s="665"/>
      <c r="AB2224" s="665"/>
      <c r="AC2224" s="665"/>
      <c r="AD2224" s="665"/>
      <c r="AE2224" s="665"/>
      <c r="AF2224" s="649"/>
      <c r="AG2224" s="650"/>
      <c r="AH2224" s="650"/>
      <c r="AI2224" s="667"/>
    </row>
    <row r="2225" spans="12:35" ht="45" customHeight="1" thickBot="1" x14ac:dyDescent="0.25">
      <c r="L2225" s="645"/>
      <c r="M2225" s="616"/>
      <c r="N2225" s="616"/>
      <c r="O2225" s="616"/>
      <c r="P2225" s="615"/>
      <c r="Q2225" s="616"/>
      <c r="R2225" s="663"/>
      <c r="S2225" s="459"/>
      <c r="T2225" s="459"/>
      <c r="U2225" s="459"/>
      <c r="V2225" s="459"/>
      <c r="W2225" s="459"/>
      <c r="X2225" s="459"/>
      <c r="Y2225" s="666"/>
      <c r="Z2225" s="664"/>
      <c r="AA2225" s="665"/>
      <c r="AB2225" s="665"/>
      <c r="AC2225" s="665"/>
      <c r="AD2225" s="665"/>
      <c r="AE2225" s="665"/>
      <c r="AF2225" s="649"/>
      <c r="AG2225" s="650"/>
      <c r="AH2225" s="650"/>
      <c r="AI2225" s="667"/>
    </row>
    <row r="2226" spans="12:35" ht="45" customHeight="1" thickBot="1" x14ac:dyDescent="0.25">
      <c r="L2226" s="645"/>
      <c r="M2226" s="616"/>
      <c r="N2226" s="616"/>
      <c r="O2226" s="616"/>
      <c r="P2226" s="615"/>
      <c r="Q2226" s="616"/>
      <c r="R2226" s="663"/>
      <c r="S2226" s="459"/>
      <c r="T2226" s="459"/>
      <c r="U2226" s="459"/>
      <c r="V2226" s="459"/>
      <c r="W2226" s="459"/>
      <c r="X2226" s="459"/>
      <c r="Y2226" s="666"/>
      <c r="Z2226" s="664"/>
      <c r="AA2226" s="665"/>
      <c r="AB2226" s="665"/>
      <c r="AC2226" s="665"/>
      <c r="AD2226" s="665"/>
      <c r="AE2226" s="665"/>
      <c r="AF2226" s="649"/>
      <c r="AG2226" s="650"/>
      <c r="AH2226" s="650"/>
      <c r="AI2226" s="667"/>
    </row>
    <row r="2227" spans="12:35" ht="45" customHeight="1" thickBot="1" x14ac:dyDescent="0.25">
      <c r="L2227" s="645"/>
      <c r="M2227" s="616"/>
      <c r="N2227" s="616"/>
      <c r="O2227" s="616"/>
      <c r="P2227" s="615"/>
      <c r="Q2227" s="616"/>
      <c r="R2227" s="663"/>
      <c r="S2227" s="459"/>
      <c r="T2227" s="459"/>
      <c r="U2227" s="459"/>
      <c r="V2227" s="459"/>
      <c r="W2227" s="459"/>
      <c r="X2227" s="459"/>
      <c r="Y2227" s="666"/>
      <c r="Z2227" s="664"/>
      <c r="AA2227" s="665"/>
      <c r="AB2227" s="665"/>
      <c r="AC2227" s="665"/>
      <c r="AD2227" s="665"/>
      <c r="AE2227" s="665"/>
      <c r="AF2227" s="649"/>
      <c r="AG2227" s="650"/>
      <c r="AH2227" s="650"/>
      <c r="AI2227" s="667"/>
    </row>
    <row r="2228" spans="12:35" ht="45" customHeight="1" thickBot="1" x14ac:dyDescent="0.25">
      <c r="L2228" s="645"/>
      <c r="M2228" s="616"/>
      <c r="N2228" s="616"/>
      <c r="O2228" s="616"/>
      <c r="P2228" s="615"/>
      <c r="Q2228" s="616"/>
      <c r="R2228" s="663"/>
      <c r="S2228" s="459"/>
      <c r="T2228" s="459"/>
      <c r="U2228" s="459"/>
      <c r="V2228" s="459"/>
      <c r="W2228" s="459"/>
      <c r="X2228" s="459"/>
      <c r="Y2228" s="666"/>
      <c r="Z2228" s="664"/>
      <c r="AA2228" s="665"/>
      <c r="AB2228" s="665"/>
      <c r="AC2228" s="665"/>
      <c r="AD2228" s="665"/>
      <c r="AE2228" s="665"/>
      <c r="AF2228" s="649"/>
      <c r="AG2228" s="650"/>
      <c r="AH2228" s="650"/>
      <c r="AI2228" s="667"/>
    </row>
    <row r="2229" spans="12:35" ht="45" customHeight="1" thickBot="1" x14ac:dyDescent="0.25">
      <c r="L2229" s="645"/>
      <c r="M2229" s="616"/>
      <c r="N2229" s="616"/>
      <c r="O2229" s="616"/>
      <c r="P2229" s="615"/>
      <c r="Q2229" s="616"/>
      <c r="R2229" s="663"/>
      <c r="S2229" s="459"/>
      <c r="T2229" s="459"/>
      <c r="U2229" s="459"/>
      <c r="V2229" s="459"/>
      <c r="W2229" s="459"/>
      <c r="X2229" s="459"/>
      <c r="Y2229" s="666"/>
      <c r="Z2229" s="664"/>
      <c r="AA2229" s="665"/>
      <c r="AB2229" s="665"/>
      <c r="AC2229" s="665"/>
      <c r="AD2229" s="665"/>
      <c r="AE2229" s="665"/>
      <c r="AF2229" s="649"/>
      <c r="AG2229" s="650"/>
      <c r="AH2229" s="650"/>
      <c r="AI2229" s="667"/>
    </row>
    <row r="2230" spans="12:35" ht="45" customHeight="1" thickBot="1" x14ac:dyDescent="0.25">
      <c r="L2230" s="645"/>
      <c r="M2230" s="616"/>
      <c r="N2230" s="616"/>
      <c r="O2230" s="616"/>
      <c r="P2230" s="615"/>
      <c r="Q2230" s="616"/>
      <c r="R2230" s="663"/>
      <c r="S2230" s="459"/>
      <c r="T2230" s="459"/>
      <c r="U2230" s="459"/>
      <c r="V2230" s="459"/>
      <c r="W2230" s="459"/>
      <c r="X2230" s="459"/>
      <c r="Y2230" s="666"/>
      <c r="Z2230" s="664"/>
      <c r="AA2230" s="665"/>
      <c r="AB2230" s="665"/>
      <c r="AC2230" s="665"/>
      <c r="AD2230" s="665"/>
      <c r="AE2230" s="665"/>
      <c r="AF2230" s="649"/>
      <c r="AG2230" s="650"/>
      <c r="AH2230" s="650"/>
      <c r="AI2230" s="667"/>
    </row>
    <row r="2231" spans="12:35" ht="45" customHeight="1" thickBot="1" x14ac:dyDescent="0.25">
      <c r="L2231" s="645"/>
      <c r="M2231" s="616"/>
      <c r="N2231" s="616"/>
      <c r="O2231" s="616"/>
      <c r="P2231" s="615"/>
      <c r="Q2231" s="616"/>
      <c r="R2231" s="663"/>
      <c r="S2231" s="459"/>
      <c r="T2231" s="459"/>
      <c r="U2231" s="459"/>
      <c r="V2231" s="459"/>
      <c r="W2231" s="459"/>
      <c r="X2231" s="459"/>
      <c r="Y2231" s="666"/>
      <c r="Z2231" s="664"/>
      <c r="AA2231" s="665"/>
      <c r="AB2231" s="665"/>
      <c r="AC2231" s="665"/>
      <c r="AD2231" s="665"/>
      <c r="AE2231" s="665"/>
      <c r="AF2231" s="649"/>
      <c r="AG2231" s="650"/>
      <c r="AH2231" s="650"/>
      <c r="AI2231" s="667"/>
    </row>
    <row r="2232" spans="12:35" ht="45" customHeight="1" thickBot="1" x14ac:dyDescent="0.25">
      <c r="L2232" s="645"/>
      <c r="M2232" s="616"/>
      <c r="N2232" s="616"/>
      <c r="O2232" s="616"/>
      <c r="P2232" s="615"/>
      <c r="Q2232" s="616"/>
      <c r="R2232" s="663"/>
      <c r="S2232" s="459"/>
      <c r="T2232" s="459"/>
      <c r="U2232" s="459"/>
      <c r="V2232" s="459"/>
      <c r="W2232" s="459"/>
      <c r="X2232" s="459"/>
      <c r="Y2232" s="666"/>
      <c r="Z2232" s="664"/>
      <c r="AA2232" s="665"/>
      <c r="AB2232" s="665"/>
      <c r="AC2232" s="665"/>
      <c r="AD2232" s="665"/>
      <c r="AE2232" s="665"/>
      <c r="AF2232" s="649"/>
      <c r="AG2232" s="650"/>
      <c r="AH2232" s="650"/>
      <c r="AI2232" s="667"/>
    </row>
    <row r="2233" spans="12:35" ht="45" customHeight="1" thickBot="1" x14ac:dyDescent="0.25">
      <c r="L2233" s="645"/>
      <c r="M2233" s="616"/>
      <c r="N2233" s="616"/>
      <c r="O2233" s="616"/>
      <c r="P2233" s="615"/>
      <c r="Q2233" s="616"/>
      <c r="R2233" s="663"/>
      <c r="S2233" s="459"/>
      <c r="T2233" s="459"/>
      <c r="U2233" s="459"/>
      <c r="V2233" s="459"/>
      <c r="W2233" s="459"/>
      <c r="X2233" s="459"/>
      <c r="Y2233" s="666"/>
      <c r="Z2233" s="664"/>
      <c r="AA2233" s="665"/>
      <c r="AB2233" s="665"/>
      <c r="AC2233" s="665"/>
      <c r="AD2233" s="665"/>
      <c r="AE2233" s="665"/>
      <c r="AF2233" s="649"/>
      <c r="AG2233" s="650"/>
      <c r="AH2233" s="650"/>
      <c r="AI2233" s="667"/>
    </row>
    <row r="2234" spans="12:35" ht="45" customHeight="1" thickBot="1" x14ac:dyDescent="0.25">
      <c r="L2234" s="645"/>
      <c r="M2234" s="616"/>
      <c r="N2234" s="616"/>
      <c r="O2234" s="616"/>
      <c r="P2234" s="615"/>
      <c r="Q2234" s="616"/>
      <c r="R2234" s="663"/>
      <c r="S2234" s="459"/>
      <c r="T2234" s="459"/>
      <c r="U2234" s="459"/>
      <c r="V2234" s="459"/>
      <c r="W2234" s="459"/>
      <c r="X2234" s="459"/>
      <c r="Y2234" s="666"/>
      <c r="Z2234" s="664"/>
      <c r="AA2234" s="665"/>
      <c r="AB2234" s="665"/>
      <c r="AC2234" s="665"/>
      <c r="AD2234" s="665"/>
      <c r="AE2234" s="665"/>
      <c r="AF2234" s="649"/>
      <c r="AG2234" s="650"/>
      <c r="AH2234" s="650"/>
      <c r="AI2234" s="667"/>
    </row>
    <row r="2235" spans="12:35" ht="45" customHeight="1" thickBot="1" x14ac:dyDescent="0.25">
      <c r="L2235" s="645"/>
      <c r="M2235" s="616"/>
      <c r="N2235" s="616"/>
      <c r="O2235" s="616"/>
      <c r="P2235" s="615"/>
      <c r="Q2235" s="616"/>
      <c r="R2235" s="663"/>
      <c r="S2235" s="459"/>
      <c r="T2235" s="459"/>
      <c r="U2235" s="459"/>
      <c r="V2235" s="459"/>
      <c r="W2235" s="459"/>
      <c r="X2235" s="459"/>
      <c r="Y2235" s="666"/>
      <c r="Z2235" s="664"/>
      <c r="AA2235" s="665"/>
      <c r="AB2235" s="665"/>
      <c r="AC2235" s="665"/>
      <c r="AD2235" s="665"/>
      <c r="AE2235" s="665"/>
      <c r="AF2235" s="649"/>
      <c r="AG2235" s="650"/>
      <c r="AH2235" s="650"/>
      <c r="AI2235" s="667"/>
    </row>
    <row r="2236" spans="12:35" ht="45" customHeight="1" thickBot="1" x14ac:dyDescent="0.25">
      <c r="L2236" s="645"/>
      <c r="M2236" s="616"/>
      <c r="N2236" s="616"/>
      <c r="O2236" s="616"/>
      <c r="P2236" s="615"/>
      <c r="Q2236" s="616"/>
      <c r="R2236" s="663"/>
      <c r="S2236" s="459"/>
      <c r="T2236" s="459"/>
      <c r="U2236" s="459"/>
      <c r="V2236" s="459"/>
      <c r="W2236" s="459"/>
      <c r="X2236" s="459"/>
      <c r="Y2236" s="666"/>
      <c r="Z2236" s="664"/>
      <c r="AA2236" s="665"/>
      <c r="AB2236" s="665"/>
      <c r="AC2236" s="665"/>
      <c r="AD2236" s="665"/>
      <c r="AE2236" s="665"/>
      <c r="AF2236" s="649"/>
      <c r="AG2236" s="650"/>
      <c r="AH2236" s="650"/>
      <c r="AI2236" s="667"/>
    </row>
    <row r="2237" spans="12:35" ht="45" customHeight="1" thickBot="1" x14ac:dyDescent="0.25">
      <c r="L2237" s="645"/>
      <c r="M2237" s="616"/>
      <c r="N2237" s="616"/>
      <c r="O2237" s="616"/>
      <c r="P2237" s="615"/>
      <c r="Q2237" s="616"/>
      <c r="R2237" s="663"/>
      <c r="S2237" s="459"/>
      <c r="T2237" s="459"/>
      <c r="U2237" s="459"/>
      <c r="V2237" s="459"/>
      <c r="W2237" s="459"/>
      <c r="X2237" s="459"/>
      <c r="Y2237" s="666"/>
      <c r="Z2237" s="664"/>
      <c r="AA2237" s="665"/>
      <c r="AB2237" s="665"/>
      <c r="AC2237" s="665"/>
      <c r="AD2237" s="665"/>
      <c r="AE2237" s="665"/>
      <c r="AF2237" s="649"/>
      <c r="AG2237" s="650"/>
      <c r="AH2237" s="650"/>
      <c r="AI2237" s="667"/>
    </row>
    <row r="2238" spans="12:35" ht="45" customHeight="1" thickBot="1" x14ac:dyDescent="0.25">
      <c r="L2238" s="645"/>
      <c r="M2238" s="616"/>
      <c r="N2238" s="616"/>
      <c r="O2238" s="616"/>
      <c r="P2238" s="615"/>
      <c r="Q2238" s="616"/>
      <c r="R2238" s="663"/>
      <c r="S2238" s="459"/>
      <c r="T2238" s="459"/>
      <c r="U2238" s="459"/>
      <c r="V2238" s="459"/>
      <c r="W2238" s="459"/>
      <c r="X2238" s="459"/>
      <c r="Y2238" s="666"/>
      <c r="Z2238" s="664"/>
      <c r="AA2238" s="665"/>
      <c r="AB2238" s="665"/>
      <c r="AC2238" s="665"/>
      <c r="AD2238" s="665"/>
      <c r="AE2238" s="665"/>
      <c r="AF2238" s="649"/>
      <c r="AG2238" s="650"/>
      <c r="AH2238" s="650"/>
      <c r="AI2238" s="667"/>
    </row>
    <row r="2239" spans="12:35" ht="45" customHeight="1" thickBot="1" x14ac:dyDescent="0.25">
      <c r="L2239" s="645"/>
      <c r="M2239" s="616"/>
      <c r="N2239" s="616"/>
      <c r="O2239" s="616"/>
      <c r="P2239" s="615"/>
      <c r="Q2239" s="616"/>
      <c r="R2239" s="663"/>
      <c r="S2239" s="459"/>
      <c r="T2239" s="459"/>
      <c r="U2239" s="459"/>
      <c r="V2239" s="459"/>
      <c r="W2239" s="459"/>
      <c r="X2239" s="459"/>
      <c r="Y2239" s="666"/>
      <c r="Z2239" s="664"/>
      <c r="AA2239" s="665"/>
      <c r="AB2239" s="665"/>
      <c r="AC2239" s="665"/>
      <c r="AD2239" s="665"/>
      <c r="AE2239" s="665"/>
      <c r="AF2239" s="649"/>
      <c r="AG2239" s="650"/>
      <c r="AH2239" s="650"/>
      <c r="AI2239" s="667"/>
    </row>
    <row r="2240" spans="12:35" ht="45" customHeight="1" thickBot="1" x14ac:dyDescent="0.25">
      <c r="L2240" s="645"/>
      <c r="M2240" s="616"/>
      <c r="N2240" s="616"/>
      <c r="O2240" s="616"/>
      <c r="P2240" s="615"/>
      <c r="Q2240" s="616"/>
      <c r="R2240" s="663"/>
      <c r="S2240" s="459"/>
      <c r="T2240" s="459"/>
      <c r="U2240" s="459"/>
      <c r="V2240" s="459"/>
      <c r="W2240" s="459"/>
      <c r="X2240" s="459"/>
      <c r="Y2240" s="666"/>
      <c r="Z2240" s="664"/>
      <c r="AA2240" s="665"/>
      <c r="AB2240" s="665"/>
      <c r="AC2240" s="665"/>
      <c r="AD2240" s="665"/>
      <c r="AE2240" s="665"/>
      <c r="AF2240" s="649"/>
      <c r="AG2240" s="650"/>
      <c r="AH2240" s="650"/>
      <c r="AI2240" s="667"/>
    </row>
    <row r="2241" spans="12:35" ht="45" customHeight="1" thickBot="1" x14ac:dyDescent="0.25">
      <c r="L2241" s="645"/>
      <c r="M2241" s="616"/>
      <c r="N2241" s="616"/>
      <c r="O2241" s="616"/>
      <c r="P2241" s="615"/>
      <c r="Q2241" s="616"/>
      <c r="R2241" s="663"/>
      <c r="S2241" s="459"/>
      <c r="T2241" s="459"/>
      <c r="U2241" s="459"/>
      <c r="V2241" s="459"/>
      <c r="W2241" s="459"/>
      <c r="X2241" s="459"/>
      <c r="Y2241" s="666"/>
      <c r="Z2241" s="664"/>
      <c r="AA2241" s="665"/>
      <c r="AB2241" s="665"/>
      <c r="AC2241" s="665"/>
      <c r="AD2241" s="665"/>
      <c r="AE2241" s="665"/>
      <c r="AF2241" s="649"/>
      <c r="AG2241" s="650"/>
      <c r="AH2241" s="650"/>
      <c r="AI2241" s="667"/>
    </row>
    <row r="2242" spans="12:35" ht="45" customHeight="1" thickBot="1" x14ac:dyDescent="0.25">
      <c r="L2242" s="645"/>
      <c r="M2242" s="616"/>
      <c r="N2242" s="616"/>
      <c r="O2242" s="616"/>
      <c r="P2242" s="615"/>
      <c r="Q2242" s="616"/>
      <c r="R2242" s="663"/>
      <c r="S2242" s="459"/>
      <c r="T2242" s="459"/>
      <c r="U2242" s="459"/>
      <c r="V2242" s="459"/>
      <c r="W2242" s="459"/>
      <c r="X2242" s="459"/>
      <c r="Y2242" s="666"/>
      <c r="Z2242" s="664"/>
      <c r="AA2242" s="665"/>
      <c r="AB2242" s="665"/>
      <c r="AC2242" s="665"/>
      <c r="AD2242" s="665"/>
      <c r="AE2242" s="665"/>
      <c r="AF2242" s="649"/>
      <c r="AG2242" s="650"/>
      <c r="AH2242" s="650"/>
      <c r="AI2242" s="667"/>
    </row>
    <row r="2243" spans="12:35" ht="45" customHeight="1" thickBot="1" x14ac:dyDescent="0.25">
      <c r="L2243" s="645"/>
      <c r="M2243" s="616"/>
      <c r="N2243" s="616"/>
      <c r="O2243" s="616"/>
      <c r="P2243" s="615"/>
      <c r="Q2243" s="616"/>
      <c r="R2243" s="663"/>
      <c r="S2243" s="459"/>
      <c r="T2243" s="459"/>
      <c r="U2243" s="459"/>
      <c r="V2243" s="459"/>
      <c r="W2243" s="459"/>
      <c r="X2243" s="459"/>
      <c r="Y2243" s="666"/>
      <c r="Z2243" s="664"/>
      <c r="AA2243" s="665"/>
      <c r="AB2243" s="665"/>
      <c r="AC2243" s="665"/>
      <c r="AD2243" s="665"/>
      <c r="AE2243" s="665"/>
      <c r="AF2243" s="649"/>
      <c r="AG2243" s="650"/>
      <c r="AH2243" s="650"/>
      <c r="AI2243" s="667"/>
    </row>
    <row r="2244" spans="12:35" ht="45" customHeight="1" thickBot="1" x14ac:dyDescent="0.25">
      <c r="L2244" s="645"/>
      <c r="M2244" s="616"/>
      <c r="N2244" s="616"/>
      <c r="O2244" s="616"/>
      <c r="P2244" s="615"/>
      <c r="Q2244" s="616"/>
      <c r="R2244" s="663"/>
      <c r="S2244" s="459"/>
      <c r="T2244" s="459"/>
      <c r="U2244" s="459"/>
      <c r="V2244" s="459"/>
      <c r="W2244" s="459"/>
      <c r="X2244" s="459"/>
      <c r="Y2244" s="666"/>
      <c r="Z2244" s="664"/>
      <c r="AA2244" s="665"/>
      <c r="AB2244" s="665"/>
      <c r="AC2244" s="665"/>
      <c r="AD2244" s="665"/>
      <c r="AE2244" s="665"/>
      <c r="AF2244" s="649"/>
      <c r="AG2244" s="650"/>
      <c r="AH2244" s="650"/>
      <c r="AI2244" s="667"/>
    </row>
    <row r="2245" spans="12:35" ht="45" customHeight="1" thickBot="1" x14ac:dyDescent="0.25">
      <c r="L2245" s="645"/>
      <c r="M2245" s="616"/>
      <c r="N2245" s="616"/>
      <c r="O2245" s="616"/>
      <c r="P2245" s="615"/>
      <c r="Q2245" s="616"/>
      <c r="R2245" s="663"/>
      <c r="S2245" s="459"/>
      <c r="T2245" s="459"/>
      <c r="U2245" s="459"/>
      <c r="V2245" s="459"/>
      <c r="W2245" s="459"/>
      <c r="X2245" s="459"/>
      <c r="Y2245" s="666"/>
      <c r="Z2245" s="664"/>
      <c r="AA2245" s="665"/>
      <c r="AB2245" s="665"/>
      <c r="AC2245" s="665"/>
      <c r="AD2245" s="665"/>
      <c r="AE2245" s="665"/>
      <c r="AF2245" s="649"/>
      <c r="AG2245" s="650"/>
      <c r="AH2245" s="650"/>
      <c r="AI2245" s="667"/>
    </row>
    <row r="2246" spans="12:35" ht="45" customHeight="1" thickBot="1" x14ac:dyDescent="0.25">
      <c r="L2246" s="645"/>
      <c r="M2246" s="616"/>
      <c r="N2246" s="616"/>
      <c r="O2246" s="616"/>
      <c r="P2246" s="615"/>
      <c r="Q2246" s="616"/>
      <c r="R2246" s="663"/>
      <c r="S2246" s="459"/>
      <c r="T2246" s="459"/>
      <c r="U2246" s="459"/>
      <c r="V2246" s="459"/>
      <c r="W2246" s="459"/>
      <c r="X2246" s="459"/>
      <c r="Y2246" s="666"/>
      <c r="Z2246" s="664"/>
      <c r="AA2246" s="665"/>
      <c r="AB2246" s="665"/>
      <c r="AC2246" s="665"/>
      <c r="AD2246" s="665"/>
      <c r="AE2246" s="665"/>
      <c r="AF2246" s="649"/>
      <c r="AG2246" s="650"/>
      <c r="AH2246" s="650"/>
      <c r="AI2246" s="667"/>
    </row>
    <row r="2247" spans="12:35" ht="45" customHeight="1" thickBot="1" x14ac:dyDescent="0.25">
      <c r="L2247" s="645"/>
      <c r="M2247" s="616"/>
      <c r="N2247" s="616"/>
      <c r="O2247" s="616"/>
      <c r="P2247" s="615"/>
      <c r="Q2247" s="616"/>
      <c r="R2247" s="663"/>
      <c r="S2247" s="459"/>
      <c r="T2247" s="459"/>
      <c r="U2247" s="459"/>
      <c r="V2247" s="459"/>
      <c r="W2247" s="459"/>
      <c r="X2247" s="459"/>
      <c r="Y2247" s="666"/>
      <c r="Z2247" s="664"/>
      <c r="AA2247" s="665"/>
      <c r="AB2247" s="665"/>
      <c r="AC2247" s="665"/>
      <c r="AD2247" s="665"/>
      <c r="AE2247" s="665"/>
      <c r="AF2247" s="649"/>
      <c r="AG2247" s="650"/>
      <c r="AH2247" s="650"/>
      <c r="AI2247" s="667"/>
    </row>
    <row r="2248" spans="12:35" ht="45" customHeight="1" thickBot="1" x14ac:dyDescent="0.25">
      <c r="L2248" s="645"/>
      <c r="M2248" s="616"/>
      <c r="N2248" s="616"/>
      <c r="O2248" s="616"/>
      <c r="P2248" s="615"/>
      <c r="Q2248" s="616"/>
      <c r="R2248" s="663"/>
      <c r="S2248" s="459"/>
      <c r="T2248" s="459"/>
      <c r="U2248" s="459"/>
      <c r="V2248" s="459"/>
      <c r="W2248" s="459"/>
      <c r="X2248" s="459"/>
      <c r="Y2248" s="666"/>
      <c r="Z2248" s="664"/>
      <c r="AA2248" s="665"/>
      <c r="AB2248" s="665"/>
      <c r="AC2248" s="665"/>
      <c r="AD2248" s="665"/>
      <c r="AE2248" s="665"/>
      <c r="AF2248" s="649"/>
      <c r="AG2248" s="650"/>
      <c r="AH2248" s="650"/>
      <c r="AI2248" s="667"/>
    </row>
    <row r="2249" spans="12:35" ht="45" customHeight="1" thickBot="1" x14ac:dyDescent="0.25">
      <c r="L2249" s="645"/>
      <c r="M2249" s="616"/>
      <c r="N2249" s="616"/>
      <c r="O2249" s="616"/>
      <c r="P2249" s="615"/>
      <c r="Q2249" s="616"/>
      <c r="R2249" s="663"/>
      <c r="S2249" s="459"/>
      <c r="T2249" s="459"/>
      <c r="U2249" s="459"/>
      <c r="V2249" s="459"/>
      <c r="W2249" s="459"/>
      <c r="X2249" s="459"/>
      <c r="Y2249" s="666"/>
      <c r="Z2249" s="664"/>
      <c r="AA2249" s="665"/>
      <c r="AB2249" s="665"/>
      <c r="AC2249" s="665"/>
      <c r="AD2249" s="665"/>
      <c r="AE2249" s="665"/>
      <c r="AF2249" s="649"/>
      <c r="AG2249" s="650"/>
      <c r="AH2249" s="650"/>
      <c r="AI2249" s="667"/>
    </row>
    <row r="2250" spans="12:35" ht="45" customHeight="1" thickBot="1" x14ac:dyDescent="0.25">
      <c r="L2250" s="645"/>
      <c r="M2250" s="616"/>
      <c r="N2250" s="616"/>
      <c r="O2250" s="616"/>
      <c r="P2250" s="615"/>
      <c r="Q2250" s="616"/>
      <c r="R2250" s="663"/>
      <c r="S2250" s="459"/>
      <c r="T2250" s="459"/>
      <c r="U2250" s="459"/>
      <c r="V2250" s="459"/>
      <c r="W2250" s="459"/>
      <c r="X2250" s="459"/>
      <c r="Y2250" s="666"/>
      <c r="Z2250" s="664"/>
      <c r="AA2250" s="665"/>
      <c r="AB2250" s="665"/>
      <c r="AC2250" s="665"/>
      <c r="AD2250" s="665"/>
      <c r="AE2250" s="665"/>
      <c r="AF2250" s="649"/>
      <c r="AG2250" s="650"/>
      <c r="AH2250" s="650"/>
      <c r="AI2250" s="667"/>
    </row>
    <row r="2251" spans="12:35" ht="45" customHeight="1" thickBot="1" x14ac:dyDescent="0.25">
      <c r="L2251" s="645"/>
      <c r="M2251" s="616"/>
      <c r="N2251" s="616"/>
      <c r="O2251" s="616"/>
      <c r="P2251" s="615"/>
      <c r="Q2251" s="616"/>
      <c r="R2251" s="663"/>
      <c r="S2251" s="459"/>
      <c r="T2251" s="459"/>
      <c r="U2251" s="459"/>
      <c r="V2251" s="459"/>
      <c r="W2251" s="459"/>
      <c r="X2251" s="459"/>
      <c r="Y2251" s="666"/>
      <c r="Z2251" s="664"/>
      <c r="AA2251" s="665"/>
      <c r="AB2251" s="665"/>
      <c r="AC2251" s="665"/>
      <c r="AD2251" s="665"/>
      <c r="AE2251" s="665"/>
      <c r="AF2251" s="649"/>
      <c r="AG2251" s="650"/>
      <c r="AH2251" s="650"/>
      <c r="AI2251" s="667"/>
    </row>
    <row r="2252" spans="12:35" ht="45" customHeight="1" thickBot="1" x14ac:dyDescent="0.25">
      <c r="L2252" s="645"/>
      <c r="M2252" s="616"/>
      <c r="N2252" s="616"/>
      <c r="O2252" s="616"/>
      <c r="P2252" s="615"/>
      <c r="Q2252" s="616"/>
      <c r="R2252" s="663"/>
      <c r="S2252" s="459"/>
      <c r="T2252" s="459"/>
      <c r="U2252" s="459"/>
      <c r="V2252" s="459"/>
      <c r="W2252" s="459"/>
      <c r="X2252" s="459"/>
      <c r="Y2252" s="666"/>
      <c r="Z2252" s="664"/>
      <c r="AA2252" s="665"/>
      <c r="AB2252" s="665"/>
      <c r="AC2252" s="665"/>
      <c r="AD2252" s="665"/>
      <c r="AE2252" s="665"/>
      <c r="AF2252" s="649"/>
      <c r="AG2252" s="650"/>
      <c r="AH2252" s="650"/>
      <c r="AI2252" s="667"/>
    </row>
    <row r="2253" spans="12:35" ht="45" customHeight="1" thickBot="1" x14ac:dyDescent="0.25">
      <c r="L2253" s="645"/>
      <c r="M2253" s="616"/>
      <c r="N2253" s="616"/>
      <c r="O2253" s="616"/>
      <c r="P2253" s="615"/>
      <c r="Q2253" s="616"/>
      <c r="R2253" s="663"/>
      <c r="S2253" s="459"/>
      <c r="T2253" s="459"/>
      <c r="U2253" s="459"/>
      <c r="V2253" s="459"/>
      <c r="W2253" s="459"/>
      <c r="X2253" s="459"/>
      <c r="Y2253" s="666"/>
      <c r="Z2253" s="664"/>
      <c r="AA2253" s="665"/>
      <c r="AB2253" s="665"/>
      <c r="AC2253" s="665"/>
      <c r="AD2253" s="665"/>
      <c r="AE2253" s="665"/>
      <c r="AF2253" s="649"/>
      <c r="AG2253" s="650"/>
      <c r="AH2253" s="650"/>
      <c r="AI2253" s="667"/>
    </row>
    <row r="2254" spans="12:35" ht="45" customHeight="1" thickBot="1" x14ac:dyDescent="0.25">
      <c r="L2254" s="645"/>
      <c r="M2254" s="616"/>
      <c r="N2254" s="616"/>
      <c r="O2254" s="616"/>
      <c r="P2254" s="615"/>
      <c r="Q2254" s="616"/>
      <c r="R2254" s="663"/>
      <c r="S2254" s="459"/>
      <c r="T2254" s="459"/>
      <c r="U2254" s="459"/>
      <c r="V2254" s="459"/>
      <c r="W2254" s="459"/>
      <c r="X2254" s="459"/>
      <c r="Y2254" s="666"/>
      <c r="Z2254" s="664"/>
      <c r="AA2254" s="665"/>
      <c r="AB2254" s="665"/>
      <c r="AC2254" s="665"/>
      <c r="AD2254" s="665"/>
      <c r="AE2254" s="665"/>
      <c r="AF2254" s="649"/>
      <c r="AG2254" s="650"/>
      <c r="AH2254" s="650"/>
      <c r="AI2254" s="667"/>
    </row>
    <row r="2255" spans="12:35" ht="45" customHeight="1" thickBot="1" x14ac:dyDescent="0.25">
      <c r="L2255" s="645"/>
      <c r="M2255" s="616"/>
      <c r="N2255" s="616"/>
      <c r="O2255" s="616"/>
      <c r="P2255" s="615"/>
      <c r="Q2255" s="616"/>
      <c r="R2255" s="663"/>
      <c r="S2255" s="459"/>
      <c r="T2255" s="459"/>
      <c r="U2255" s="459"/>
      <c r="V2255" s="459"/>
      <c r="W2255" s="459"/>
      <c r="X2255" s="459"/>
      <c r="Y2255" s="666"/>
      <c r="Z2255" s="664"/>
      <c r="AA2255" s="665"/>
      <c r="AB2255" s="665"/>
      <c r="AC2255" s="665"/>
      <c r="AD2255" s="665"/>
      <c r="AE2255" s="665"/>
      <c r="AF2255" s="649"/>
      <c r="AG2255" s="650"/>
      <c r="AH2255" s="650"/>
      <c r="AI2255" s="667"/>
    </row>
    <row r="2256" spans="12:35" ht="45" customHeight="1" thickBot="1" x14ac:dyDescent="0.25">
      <c r="L2256" s="645"/>
      <c r="M2256" s="616"/>
      <c r="N2256" s="616"/>
      <c r="O2256" s="616"/>
      <c r="P2256" s="615"/>
      <c r="Q2256" s="616"/>
      <c r="R2256" s="663"/>
      <c r="S2256" s="459"/>
      <c r="T2256" s="459"/>
      <c r="U2256" s="459"/>
      <c r="V2256" s="459"/>
      <c r="W2256" s="459"/>
      <c r="X2256" s="459"/>
      <c r="Y2256" s="666"/>
      <c r="Z2256" s="664"/>
      <c r="AA2256" s="665"/>
      <c r="AB2256" s="665"/>
      <c r="AC2256" s="665"/>
      <c r="AD2256" s="665"/>
      <c r="AE2256" s="665"/>
      <c r="AF2256" s="649"/>
      <c r="AG2256" s="650"/>
      <c r="AH2256" s="650"/>
      <c r="AI2256" s="667"/>
    </row>
    <row r="2257" spans="12:35" ht="45" customHeight="1" thickBot="1" x14ac:dyDescent="0.25">
      <c r="L2257" s="645"/>
      <c r="M2257" s="616"/>
      <c r="N2257" s="616"/>
      <c r="O2257" s="616"/>
      <c r="P2257" s="615"/>
      <c r="Q2257" s="616"/>
      <c r="R2257" s="663"/>
      <c r="S2257" s="459"/>
      <c r="T2257" s="459"/>
      <c r="U2257" s="459"/>
      <c r="V2257" s="459"/>
      <c r="W2257" s="459"/>
      <c r="X2257" s="459"/>
      <c r="Y2257" s="666"/>
      <c r="Z2257" s="664"/>
      <c r="AA2257" s="665"/>
      <c r="AB2257" s="665"/>
      <c r="AC2257" s="665"/>
      <c r="AD2257" s="665"/>
      <c r="AE2257" s="665"/>
      <c r="AF2257" s="649"/>
      <c r="AG2257" s="650"/>
      <c r="AH2257" s="650"/>
      <c r="AI2257" s="667"/>
    </row>
    <row r="2258" spans="12:35" ht="45" customHeight="1" thickBot="1" x14ac:dyDescent="0.25">
      <c r="L2258" s="645"/>
      <c r="M2258" s="616"/>
      <c r="N2258" s="616"/>
      <c r="O2258" s="616"/>
      <c r="P2258" s="615"/>
      <c r="Q2258" s="616"/>
      <c r="R2258" s="663"/>
      <c r="S2258" s="459"/>
      <c r="T2258" s="459"/>
      <c r="U2258" s="459"/>
      <c r="V2258" s="459"/>
      <c r="W2258" s="459"/>
      <c r="X2258" s="459"/>
      <c r="Y2258" s="666"/>
      <c r="Z2258" s="664"/>
      <c r="AA2258" s="665"/>
      <c r="AB2258" s="665"/>
      <c r="AC2258" s="665"/>
      <c r="AD2258" s="665"/>
      <c r="AE2258" s="665"/>
      <c r="AF2258" s="649"/>
      <c r="AG2258" s="650"/>
      <c r="AH2258" s="650"/>
      <c r="AI2258" s="667"/>
    </row>
    <row r="2259" spans="12:35" ht="45" customHeight="1" thickBot="1" x14ac:dyDescent="0.25">
      <c r="L2259" s="645"/>
      <c r="M2259" s="616"/>
      <c r="N2259" s="616"/>
      <c r="O2259" s="616"/>
      <c r="P2259" s="615"/>
      <c r="Q2259" s="616"/>
      <c r="R2259" s="663"/>
      <c r="S2259" s="459"/>
      <c r="T2259" s="459"/>
      <c r="U2259" s="459"/>
      <c r="V2259" s="459"/>
      <c r="W2259" s="459"/>
      <c r="X2259" s="459"/>
      <c r="Y2259" s="666"/>
      <c r="Z2259" s="664"/>
      <c r="AA2259" s="665"/>
      <c r="AB2259" s="665"/>
      <c r="AC2259" s="665"/>
      <c r="AD2259" s="665"/>
      <c r="AE2259" s="665"/>
      <c r="AF2259" s="649"/>
      <c r="AG2259" s="650"/>
      <c r="AH2259" s="650"/>
      <c r="AI2259" s="667"/>
    </row>
    <row r="2260" spans="12:35" ht="45" customHeight="1" thickBot="1" x14ac:dyDescent="0.25">
      <c r="L2260" s="645"/>
      <c r="M2260" s="616"/>
      <c r="N2260" s="616"/>
      <c r="O2260" s="616"/>
      <c r="P2260" s="615"/>
      <c r="Q2260" s="616"/>
      <c r="R2260" s="663"/>
      <c r="S2260" s="459"/>
      <c r="T2260" s="459"/>
      <c r="U2260" s="459"/>
      <c r="V2260" s="459"/>
      <c r="W2260" s="459"/>
      <c r="X2260" s="459"/>
      <c r="Y2260" s="666"/>
      <c r="Z2260" s="664"/>
      <c r="AA2260" s="665"/>
      <c r="AB2260" s="665"/>
      <c r="AC2260" s="665"/>
      <c r="AD2260" s="665"/>
      <c r="AE2260" s="665"/>
      <c r="AF2260" s="649"/>
      <c r="AG2260" s="650"/>
      <c r="AH2260" s="650"/>
      <c r="AI2260" s="667"/>
    </row>
    <row r="2261" spans="12:35" ht="45" customHeight="1" thickBot="1" x14ac:dyDescent="0.25">
      <c r="L2261" s="645"/>
      <c r="M2261" s="616"/>
      <c r="N2261" s="616"/>
      <c r="O2261" s="616"/>
      <c r="P2261" s="615"/>
      <c r="Q2261" s="616"/>
      <c r="R2261" s="663"/>
      <c r="S2261" s="459"/>
      <c r="T2261" s="459"/>
      <c r="U2261" s="459"/>
      <c r="V2261" s="459"/>
      <c r="W2261" s="459"/>
      <c r="X2261" s="459"/>
      <c r="Y2261" s="666"/>
      <c r="Z2261" s="664"/>
      <c r="AA2261" s="665"/>
      <c r="AB2261" s="665"/>
      <c r="AC2261" s="665"/>
      <c r="AD2261" s="665"/>
      <c r="AE2261" s="665"/>
      <c r="AF2261" s="649"/>
      <c r="AG2261" s="650"/>
      <c r="AH2261" s="650"/>
      <c r="AI2261" s="667"/>
    </row>
    <row r="2262" spans="12:35" ht="45" customHeight="1" thickBot="1" x14ac:dyDescent="0.25">
      <c r="L2262" s="645"/>
      <c r="M2262" s="616"/>
      <c r="N2262" s="616"/>
      <c r="O2262" s="616"/>
      <c r="P2262" s="615"/>
      <c r="Q2262" s="616"/>
      <c r="R2262" s="663"/>
      <c r="S2262" s="459"/>
      <c r="T2262" s="459"/>
      <c r="U2262" s="459"/>
      <c r="V2262" s="459"/>
      <c r="W2262" s="459"/>
      <c r="X2262" s="459"/>
      <c r="Y2262" s="666"/>
      <c r="Z2262" s="664"/>
      <c r="AA2262" s="665"/>
      <c r="AB2262" s="665"/>
      <c r="AC2262" s="665"/>
      <c r="AD2262" s="665"/>
      <c r="AE2262" s="665"/>
      <c r="AF2262" s="649"/>
      <c r="AG2262" s="650"/>
      <c r="AH2262" s="650"/>
      <c r="AI2262" s="667"/>
    </row>
    <row r="2263" spans="12:35" ht="45" customHeight="1" thickBot="1" x14ac:dyDescent="0.25">
      <c r="L2263" s="645"/>
      <c r="M2263" s="616"/>
      <c r="N2263" s="616"/>
      <c r="O2263" s="616"/>
      <c r="P2263" s="615"/>
      <c r="Q2263" s="616"/>
      <c r="R2263" s="663"/>
      <c r="S2263" s="459"/>
      <c r="T2263" s="459"/>
      <c r="U2263" s="459"/>
      <c r="V2263" s="459"/>
      <c r="W2263" s="459"/>
      <c r="X2263" s="459"/>
      <c r="Y2263" s="666"/>
      <c r="Z2263" s="664"/>
      <c r="AA2263" s="665"/>
      <c r="AB2263" s="665"/>
      <c r="AC2263" s="665"/>
      <c r="AD2263" s="665"/>
      <c r="AE2263" s="665"/>
      <c r="AF2263" s="649"/>
      <c r="AG2263" s="650"/>
      <c r="AH2263" s="650"/>
      <c r="AI2263" s="667"/>
    </row>
    <row r="2264" spans="12:35" ht="45" customHeight="1" thickBot="1" x14ac:dyDescent="0.25">
      <c r="L2264" s="645"/>
      <c r="M2264" s="616"/>
      <c r="N2264" s="616"/>
      <c r="O2264" s="616"/>
      <c r="P2264" s="615"/>
      <c r="Q2264" s="616"/>
      <c r="R2264" s="663"/>
      <c r="S2264" s="459"/>
      <c r="T2264" s="459"/>
      <c r="U2264" s="459"/>
      <c r="V2264" s="459"/>
      <c r="W2264" s="459"/>
      <c r="X2264" s="459"/>
      <c r="Y2264" s="666"/>
      <c r="Z2264" s="664"/>
      <c r="AA2264" s="665"/>
      <c r="AB2264" s="665"/>
      <c r="AC2264" s="665"/>
      <c r="AD2264" s="665"/>
      <c r="AE2264" s="665"/>
      <c r="AF2264" s="649"/>
      <c r="AG2264" s="650"/>
      <c r="AH2264" s="650"/>
      <c r="AI2264" s="667"/>
    </row>
    <row r="2265" spans="12:35" ht="45" customHeight="1" thickBot="1" x14ac:dyDescent="0.25">
      <c r="L2265" s="645"/>
      <c r="M2265" s="616"/>
      <c r="N2265" s="616"/>
      <c r="O2265" s="616"/>
      <c r="P2265" s="615"/>
      <c r="Q2265" s="616"/>
      <c r="R2265" s="663"/>
      <c r="S2265" s="459"/>
      <c r="T2265" s="459"/>
      <c r="U2265" s="459"/>
      <c r="V2265" s="459"/>
      <c r="W2265" s="459"/>
      <c r="X2265" s="459"/>
      <c r="Y2265" s="666"/>
      <c r="Z2265" s="664"/>
      <c r="AA2265" s="665"/>
      <c r="AB2265" s="665"/>
      <c r="AC2265" s="665"/>
      <c r="AD2265" s="665"/>
      <c r="AE2265" s="665"/>
      <c r="AF2265" s="649"/>
      <c r="AG2265" s="650"/>
      <c r="AH2265" s="650"/>
      <c r="AI2265" s="667"/>
    </row>
    <row r="2266" spans="12:35" ht="45" customHeight="1" thickBot="1" x14ac:dyDescent="0.25">
      <c r="L2266" s="645"/>
      <c r="M2266" s="616"/>
      <c r="N2266" s="616"/>
      <c r="O2266" s="616"/>
      <c r="P2266" s="615"/>
      <c r="Q2266" s="616"/>
      <c r="R2266" s="663"/>
      <c r="S2266" s="459"/>
      <c r="T2266" s="459"/>
      <c r="U2266" s="459"/>
      <c r="V2266" s="459"/>
      <c r="W2266" s="459"/>
      <c r="X2266" s="459"/>
      <c r="Y2266" s="666"/>
      <c r="Z2266" s="664"/>
      <c r="AA2266" s="665"/>
      <c r="AB2266" s="665"/>
      <c r="AC2266" s="665"/>
      <c r="AD2266" s="665"/>
      <c r="AE2266" s="665"/>
      <c r="AF2266" s="649"/>
      <c r="AG2266" s="650"/>
      <c r="AH2266" s="650"/>
      <c r="AI2266" s="667"/>
    </row>
    <row r="2267" spans="12:35" ht="45" customHeight="1" thickBot="1" x14ac:dyDescent="0.25">
      <c r="L2267" s="645"/>
      <c r="M2267" s="616"/>
      <c r="N2267" s="616"/>
      <c r="O2267" s="616"/>
      <c r="P2267" s="615"/>
      <c r="Q2267" s="616"/>
      <c r="R2267" s="663"/>
      <c r="S2267" s="459"/>
      <c r="T2267" s="459"/>
      <c r="U2267" s="459"/>
      <c r="V2267" s="459"/>
      <c r="W2267" s="459"/>
      <c r="X2267" s="459"/>
      <c r="Y2267" s="666"/>
      <c r="Z2267" s="664"/>
      <c r="AA2267" s="665"/>
      <c r="AB2267" s="665"/>
      <c r="AC2267" s="665"/>
      <c r="AD2267" s="665"/>
      <c r="AE2267" s="665"/>
      <c r="AF2267" s="649"/>
      <c r="AG2267" s="650"/>
      <c r="AH2267" s="650"/>
      <c r="AI2267" s="667"/>
    </row>
    <row r="2268" spans="12:35" ht="45" customHeight="1" thickBot="1" x14ac:dyDescent="0.25">
      <c r="L2268" s="645"/>
      <c r="M2268" s="616"/>
      <c r="N2268" s="616"/>
      <c r="O2268" s="616"/>
      <c r="P2268" s="615"/>
      <c r="Q2268" s="616"/>
      <c r="R2268" s="663"/>
      <c r="S2268" s="459"/>
      <c r="T2268" s="459"/>
      <c r="U2268" s="459"/>
      <c r="V2268" s="459"/>
      <c r="W2268" s="459"/>
      <c r="X2268" s="459"/>
      <c r="Y2268" s="666"/>
      <c r="Z2268" s="664"/>
      <c r="AA2268" s="665"/>
      <c r="AB2268" s="665"/>
      <c r="AC2268" s="665"/>
      <c r="AD2268" s="665"/>
      <c r="AE2268" s="665"/>
      <c r="AF2268" s="649"/>
      <c r="AG2268" s="650"/>
      <c r="AH2268" s="650"/>
      <c r="AI2268" s="667"/>
    </row>
    <row r="2269" spans="12:35" ht="45" customHeight="1" thickBot="1" x14ac:dyDescent="0.25">
      <c r="L2269" s="645"/>
      <c r="M2269" s="616"/>
      <c r="N2269" s="616"/>
      <c r="O2269" s="616"/>
      <c r="P2269" s="615"/>
      <c r="Q2269" s="616"/>
      <c r="R2269" s="663"/>
      <c r="S2269" s="459"/>
      <c r="T2269" s="459"/>
      <c r="U2269" s="459"/>
      <c r="V2269" s="459"/>
      <c r="W2269" s="459"/>
      <c r="X2269" s="459"/>
      <c r="Y2269" s="666"/>
      <c r="Z2269" s="664"/>
      <c r="AA2269" s="665"/>
      <c r="AB2269" s="665"/>
      <c r="AC2269" s="665"/>
      <c r="AD2269" s="665"/>
      <c r="AE2269" s="665"/>
      <c r="AF2269" s="649"/>
      <c r="AG2269" s="650"/>
      <c r="AH2269" s="650"/>
      <c r="AI2269" s="667"/>
    </row>
    <row r="2270" spans="12:35" ht="45" customHeight="1" thickBot="1" x14ac:dyDescent="0.25">
      <c r="L2270" s="645"/>
      <c r="M2270" s="616"/>
      <c r="N2270" s="616"/>
      <c r="O2270" s="616"/>
      <c r="P2270" s="615"/>
      <c r="Q2270" s="616"/>
      <c r="R2270" s="663"/>
      <c r="S2270" s="459"/>
      <c r="T2270" s="459"/>
      <c r="U2270" s="459"/>
      <c r="V2270" s="459"/>
      <c r="W2270" s="459"/>
      <c r="X2270" s="459"/>
      <c r="Y2270" s="666"/>
      <c r="Z2270" s="664"/>
      <c r="AA2270" s="665"/>
      <c r="AB2270" s="665"/>
      <c r="AC2270" s="665"/>
      <c r="AD2270" s="665"/>
      <c r="AE2270" s="665"/>
      <c r="AF2270" s="649"/>
      <c r="AG2270" s="650"/>
      <c r="AH2270" s="650"/>
      <c r="AI2270" s="667"/>
    </row>
    <row r="2271" spans="12:35" ht="45" customHeight="1" thickBot="1" x14ac:dyDescent="0.25">
      <c r="L2271" s="645"/>
      <c r="M2271" s="616"/>
      <c r="N2271" s="616"/>
      <c r="O2271" s="616"/>
      <c r="P2271" s="615"/>
      <c r="Q2271" s="616"/>
      <c r="R2271" s="663"/>
      <c r="S2271" s="459"/>
      <c r="T2271" s="459"/>
      <c r="U2271" s="459"/>
      <c r="V2271" s="459"/>
      <c r="W2271" s="459"/>
      <c r="X2271" s="459"/>
      <c r="Y2271" s="666"/>
      <c r="Z2271" s="664"/>
      <c r="AA2271" s="665"/>
      <c r="AB2271" s="665"/>
      <c r="AC2271" s="665"/>
      <c r="AD2271" s="665"/>
      <c r="AE2271" s="665"/>
      <c r="AF2271" s="649"/>
      <c r="AG2271" s="650"/>
      <c r="AH2271" s="650"/>
      <c r="AI2271" s="667"/>
    </row>
    <row r="2272" spans="12:35" ht="45" customHeight="1" thickBot="1" x14ac:dyDescent="0.25">
      <c r="L2272" s="645"/>
      <c r="M2272" s="616"/>
      <c r="N2272" s="616"/>
      <c r="O2272" s="616"/>
      <c r="P2272" s="615"/>
      <c r="Q2272" s="616"/>
      <c r="R2272" s="663"/>
      <c r="S2272" s="459"/>
      <c r="T2272" s="459"/>
      <c r="U2272" s="459"/>
      <c r="V2272" s="459"/>
      <c r="W2272" s="459"/>
      <c r="X2272" s="459"/>
      <c r="Y2272" s="666"/>
      <c r="Z2272" s="664"/>
      <c r="AA2272" s="665"/>
      <c r="AB2272" s="665"/>
      <c r="AC2272" s="665"/>
      <c r="AD2272" s="665"/>
      <c r="AE2272" s="665"/>
      <c r="AF2272" s="649"/>
      <c r="AG2272" s="650"/>
      <c r="AH2272" s="650"/>
      <c r="AI2272" s="667"/>
    </row>
    <row r="2273" spans="12:35" ht="45" customHeight="1" thickBot="1" x14ac:dyDescent="0.25">
      <c r="L2273" s="645"/>
      <c r="M2273" s="616"/>
      <c r="N2273" s="616"/>
      <c r="O2273" s="616"/>
      <c r="P2273" s="615"/>
      <c r="Q2273" s="616"/>
      <c r="R2273" s="663"/>
      <c r="S2273" s="459"/>
      <c r="T2273" s="459"/>
      <c r="U2273" s="459"/>
      <c r="V2273" s="459"/>
      <c r="W2273" s="459"/>
      <c r="X2273" s="459"/>
      <c r="Y2273" s="666"/>
      <c r="Z2273" s="664"/>
      <c r="AA2273" s="665"/>
      <c r="AB2273" s="665"/>
      <c r="AC2273" s="665"/>
      <c r="AD2273" s="665"/>
      <c r="AE2273" s="665"/>
      <c r="AF2273" s="649"/>
      <c r="AG2273" s="650"/>
      <c r="AH2273" s="650"/>
      <c r="AI2273" s="667"/>
    </row>
    <row r="2274" spans="12:35" ht="45" customHeight="1" thickBot="1" x14ac:dyDescent="0.25">
      <c r="L2274" s="645"/>
      <c r="M2274" s="616"/>
      <c r="N2274" s="616"/>
      <c r="O2274" s="616"/>
      <c r="P2274" s="615"/>
      <c r="Q2274" s="616"/>
      <c r="R2274" s="663"/>
      <c r="S2274" s="459"/>
      <c r="T2274" s="459"/>
      <c r="U2274" s="459"/>
      <c r="V2274" s="459"/>
      <c r="W2274" s="459"/>
      <c r="X2274" s="459"/>
      <c r="Y2274" s="666"/>
      <c r="Z2274" s="664"/>
      <c r="AA2274" s="665"/>
      <c r="AB2274" s="665"/>
      <c r="AC2274" s="665"/>
      <c r="AD2274" s="665"/>
      <c r="AE2274" s="665"/>
      <c r="AF2274" s="649"/>
      <c r="AG2274" s="650"/>
      <c r="AH2274" s="650"/>
      <c r="AI2274" s="667"/>
    </row>
    <row r="2275" spans="12:35" ht="45" customHeight="1" thickBot="1" x14ac:dyDescent="0.25">
      <c r="L2275" s="645"/>
      <c r="M2275" s="616"/>
      <c r="N2275" s="616"/>
      <c r="O2275" s="616"/>
      <c r="P2275" s="615"/>
      <c r="Q2275" s="616"/>
      <c r="R2275" s="663"/>
      <c r="S2275" s="459"/>
      <c r="T2275" s="459"/>
      <c r="U2275" s="459"/>
      <c r="V2275" s="459"/>
      <c r="W2275" s="459"/>
      <c r="X2275" s="459"/>
      <c r="Y2275" s="666"/>
      <c r="Z2275" s="664"/>
      <c r="AA2275" s="665"/>
      <c r="AB2275" s="665"/>
      <c r="AC2275" s="665"/>
      <c r="AD2275" s="665"/>
      <c r="AE2275" s="665"/>
      <c r="AF2275" s="649"/>
      <c r="AG2275" s="650"/>
      <c r="AH2275" s="650"/>
      <c r="AI2275" s="667"/>
    </row>
    <row r="2276" spans="12:35" ht="45" customHeight="1" thickBot="1" x14ac:dyDescent="0.25">
      <c r="L2276" s="645"/>
      <c r="M2276" s="616"/>
      <c r="N2276" s="616"/>
      <c r="O2276" s="616"/>
      <c r="P2276" s="615"/>
      <c r="Q2276" s="616"/>
      <c r="R2276" s="663"/>
      <c r="S2276" s="459"/>
      <c r="T2276" s="459"/>
      <c r="U2276" s="459"/>
      <c r="V2276" s="459"/>
      <c r="W2276" s="459"/>
      <c r="X2276" s="459"/>
      <c r="Y2276" s="666"/>
      <c r="Z2276" s="664"/>
      <c r="AA2276" s="665"/>
      <c r="AB2276" s="665"/>
      <c r="AC2276" s="665"/>
      <c r="AD2276" s="665"/>
      <c r="AE2276" s="665"/>
      <c r="AF2276" s="649"/>
      <c r="AG2276" s="650"/>
      <c r="AH2276" s="650"/>
      <c r="AI2276" s="667"/>
    </row>
    <row r="2277" spans="12:35" ht="45" customHeight="1" thickBot="1" x14ac:dyDescent="0.25">
      <c r="L2277" s="645"/>
      <c r="M2277" s="616"/>
      <c r="N2277" s="616"/>
      <c r="O2277" s="616"/>
      <c r="P2277" s="615"/>
      <c r="Q2277" s="616"/>
      <c r="R2277" s="663"/>
      <c r="S2277" s="459"/>
      <c r="T2277" s="459"/>
      <c r="U2277" s="459"/>
      <c r="V2277" s="459"/>
      <c r="W2277" s="459"/>
      <c r="X2277" s="459"/>
      <c r="Y2277" s="666"/>
      <c r="Z2277" s="664"/>
      <c r="AA2277" s="665"/>
      <c r="AB2277" s="665"/>
      <c r="AC2277" s="665"/>
      <c r="AD2277" s="665"/>
      <c r="AE2277" s="665"/>
      <c r="AF2277" s="649"/>
      <c r="AG2277" s="650"/>
      <c r="AH2277" s="650"/>
      <c r="AI2277" s="667"/>
    </row>
    <row r="2278" spans="12:35" ht="45" customHeight="1" thickBot="1" x14ac:dyDescent="0.25">
      <c r="L2278" s="645"/>
      <c r="M2278" s="616"/>
      <c r="N2278" s="616"/>
      <c r="O2278" s="616"/>
      <c r="P2278" s="615"/>
      <c r="Q2278" s="616"/>
      <c r="R2278" s="663"/>
      <c r="S2278" s="459"/>
      <c r="T2278" s="459"/>
      <c r="U2278" s="459"/>
      <c r="V2278" s="459"/>
      <c r="W2278" s="459"/>
      <c r="X2278" s="459"/>
      <c r="Y2278" s="666"/>
      <c r="Z2278" s="664"/>
      <c r="AA2278" s="665"/>
      <c r="AB2278" s="665"/>
      <c r="AC2278" s="665"/>
      <c r="AD2278" s="665"/>
      <c r="AE2278" s="665"/>
      <c r="AF2278" s="649"/>
      <c r="AG2278" s="650"/>
      <c r="AH2278" s="650"/>
      <c r="AI2278" s="667"/>
    </row>
    <row r="2279" spans="12:35" ht="45" customHeight="1" thickBot="1" x14ac:dyDescent="0.25">
      <c r="L2279" s="645"/>
      <c r="M2279" s="616"/>
      <c r="N2279" s="616"/>
      <c r="O2279" s="616"/>
      <c r="P2279" s="615"/>
      <c r="Q2279" s="616"/>
      <c r="R2279" s="663"/>
      <c r="S2279" s="459"/>
      <c r="T2279" s="459"/>
      <c r="U2279" s="459"/>
      <c r="V2279" s="459"/>
      <c r="W2279" s="459"/>
      <c r="X2279" s="459"/>
      <c r="Y2279" s="666"/>
      <c r="Z2279" s="664"/>
      <c r="AA2279" s="665"/>
      <c r="AB2279" s="665"/>
      <c r="AC2279" s="665"/>
      <c r="AD2279" s="665"/>
      <c r="AE2279" s="665"/>
      <c r="AF2279" s="649"/>
      <c r="AG2279" s="650"/>
      <c r="AH2279" s="650"/>
      <c r="AI2279" s="667"/>
    </row>
    <row r="2280" spans="12:35" ht="45" customHeight="1" thickBot="1" x14ac:dyDescent="0.25">
      <c r="L2280" s="645"/>
      <c r="M2280" s="616"/>
      <c r="N2280" s="616"/>
      <c r="O2280" s="616"/>
      <c r="P2280" s="615"/>
      <c r="Q2280" s="616"/>
      <c r="R2280" s="663"/>
      <c r="S2280" s="459"/>
      <c r="T2280" s="459"/>
      <c r="U2280" s="459"/>
      <c r="V2280" s="459"/>
      <c r="W2280" s="459"/>
      <c r="X2280" s="459"/>
      <c r="Y2280" s="666"/>
      <c r="Z2280" s="664"/>
      <c r="AA2280" s="665"/>
      <c r="AB2280" s="665"/>
      <c r="AC2280" s="665"/>
      <c r="AD2280" s="665"/>
      <c r="AE2280" s="665"/>
      <c r="AF2280" s="649"/>
      <c r="AG2280" s="650"/>
      <c r="AH2280" s="650"/>
      <c r="AI2280" s="667"/>
    </row>
    <row r="2281" spans="12:35" ht="45" customHeight="1" thickBot="1" x14ac:dyDescent="0.25">
      <c r="L2281" s="645"/>
      <c r="M2281" s="616"/>
      <c r="N2281" s="616"/>
      <c r="O2281" s="616"/>
      <c r="P2281" s="615"/>
      <c r="Q2281" s="616"/>
      <c r="R2281" s="663"/>
      <c r="S2281" s="459"/>
      <c r="T2281" s="459"/>
      <c r="U2281" s="459"/>
      <c r="V2281" s="459"/>
      <c r="W2281" s="459"/>
      <c r="X2281" s="459"/>
      <c r="Y2281" s="666"/>
      <c r="Z2281" s="664"/>
      <c r="AA2281" s="665"/>
      <c r="AB2281" s="665"/>
      <c r="AC2281" s="665"/>
      <c r="AD2281" s="665"/>
      <c r="AE2281" s="665"/>
      <c r="AF2281" s="649"/>
      <c r="AG2281" s="650"/>
      <c r="AH2281" s="650"/>
      <c r="AI2281" s="667"/>
    </row>
    <row r="2282" spans="12:35" ht="45" customHeight="1" thickBot="1" x14ac:dyDescent="0.25">
      <c r="L2282" s="645"/>
      <c r="M2282" s="616"/>
      <c r="N2282" s="616"/>
      <c r="O2282" s="616"/>
      <c r="P2282" s="615"/>
      <c r="Q2282" s="616"/>
      <c r="R2282" s="663"/>
      <c r="S2282" s="459"/>
      <c r="T2282" s="459"/>
      <c r="U2282" s="459"/>
      <c r="V2282" s="459"/>
      <c r="W2282" s="459"/>
      <c r="X2282" s="459"/>
      <c r="Y2282" s="666"/>
      <c r="Z2282" s="664"/>
      <c r="AA2282" s="665"/>
      <c r="AB2282" s="665"/>
      <c r="AC2282" s="665"/>
      <c r="AD2282" s="665"/>
      <c r="AE2282" s="665"/>
      <c r="AF2282" s="649"/>
      <c r="AG2282" s="650"/>
      <c r="AH2282" s="650"/>
      <c r="AI2282" s="667"/>
    </row>
    <row r="2283" spans="12:35" ht="45" customHeight="1" thickBot="1" x14ac:dyDescent="0.25">
      <c r="L2283" s="645"/>
      <c r="M2283" s="616"/>
      <c r="N2283" s="616"/>
      <c r="O2283" s="616"/>
      <c r="P2283" s="615"/>
      <c r="Q2283" s="616"/>
      <c r="R2283" s="663"/>
      <c r="S2283" s="459"/>
      <c r="T2283" s="459"/>
      <c r="U2283" s="459"/>
      <c r="V2283" s="459"/>
      <c r="W2283" s="459"/>
      <c r="X2283" s="459"/>
      <c r="Y2283" s="666"/>
      <c r="Z2283" s="664"/>
      <c r="AA2283" s="665"/>
      <c r="AB2283" s="665"/>
      <c r="AC2283" s="665"/>
      <c r="AD2283" s="665"/>
      <c r="AE2283" s="665"/>
      <c r="AF2283" s="649"/>
      <c r="AG2283" s="650"/>
      <c r="AH2283" s="650"/>
      <c r="AI2283" s="667"/>
    </row>
    <row r="2284" spans="12:35" ht="45" customHeight="1" thickBot="1" x14ac:dyDescent="0.25">
      <c r="L2284" s="645"/>
      <c r="M2284" s="616"/>
      <c r="N2284" s="616"/>
      <c r="O2284" s="616"/>
      <c r="P2284" s="615"/>
      <c r="Q2284" s="616"/>
      <c r="R2284" s="663"/>
      <c r="S2284" s="459"/>
      <c r="T2284" s="459"/>
      <c r="U2284" s="459"/>
      <c r="V2284" s="459"/>
      <c r="W2284" s="459"/>
      <c r="X2284" s="459"/>
      <c r="Y2284" s="666"/>
      <c r="Z2284" s="664"/>
      <c r="AA2284" s="665"/>
      <c r="AB2284" s="665"/>
      <c r="AC2284" s="665"/>
      <c r="AD2284" s="665"/>
      <c r="AE2284" s="665"/>
      <c r="AF2284" s="649"/>
      <c r="AG2284" s="650"/>
      <c r="AH2284" s="650"/>
      <c r="AI2284" s="667"/>
    </row>
    <row r="2285" spans="12:35" ht="45" customHeight="1" thickBot="1" x14ac:dyDescent="0.25">
      <c r="L2285" s="645"/>
      <c r="M2285" s="616"/>
      <c r="N2285" s="616"/>
      <c r="O2285" s="616"/>
      <c r="P2285" s="615"/>
      <c r="Q2285" s="616"/>
      <c r="R2285" s="663"/>
      <c r="S2285" s="459"/>
      <c r="T2285" s="459"/>
      <c r="U2285" s="459"/>
      <c r="V2285" s="459"/>
      <c r="W2285" s="459"/>
      <c r="X2285" s="459"/>
      <c r="Y2285" s="666"/>
      <c r="Z2285" s="664"/>
      <c r="AA2285" s="665"/>
      <c r="AB2285" s="665"/>
      <c r="AC2285" s="665"/>
      <c r="AD2285" s="665"/>
      <c r="AE2285" s="665"/>
      <c r="AF2285" s="649"/>
      <c r="AG2285" s="650"/>
      <c r="AH2285" s="650"/>
      <c r="AI2285" s="667"/>
    </row>
    <row r="2286" spans="12:35" ht="45" customHeight="1" thickBot="1" x14ac:dyDescent="0.25">
      <c r="L2286" s="645"/>
      <c r="M2286" s="616"/>
      <c r="N2286" s="616"/>
      <c r="O2286" s="616"/>
      <c r="P2286" s="615"/>
      <c r="Q2286" s="616"/>
      <c r="R2286" s="663"/>
      <c r="S2286" s="459"/>
      <c r="T2286" s="459"/>
      <c r="U2286" s="459"/>
      <c r="V2286" s="459"/>
      <c r="W2286" s="459"/>
      <c r="X2286" s="459"/>
      <c r="Y2286" s="666"/>
      <c r="Z2286" s="664"/>
      <c r="AA2286" s="665"/>
      <c r="AB2286" s="665"/>
      <c r="AC2286" s="665"/>
      <c r="AD2286" s="665"/>
      <c r="AE2286" s="665"/>
      <c r="AF2286" s="649"/>
      <c r="AG2286" s="650"/>
      <c r="AH2286" s="650"/>
      <c r="AI2286" s="667"/>
    </row>
    <row r="2287" spans="12:35" ht="45" customHeight="1" thickBot="1" x14ac:dyDescent="0.25">
      <c r="L2287" s="645"/>
      <c r="M2287" s="616"/>
      <c r="N2287" s="616"/>
      <c r="O2287" s="616"/>
      <c r="P2287" s="615"/>
      <c r="Q2287" s="616"/>
      <c r="R2287" s="663"/>
      <c r="S2287" s="459"/>
      <c r="T2287" s="459"/>
      <c r="U2287" s="459"/>
      <c r="V2287" s="459"/>
      <c r="W2287" s="459"/>
      <c r="X2287" s="459"/>
      <c r="Y2287" s="666"/>
      <c r="Z2287" s="664"/>
      <c r="AA2287" s="665"/>
      <c r="AB2287" s="665"/>
      <c r="AC2287" s="665"/>
      <c r="AD2287" s="665"/>
      <c r="AE2287" s="665"/>
      <c r="AF2287" s="649"/>
      <c r="AG2287" s="650"/>
      <c r="AH2287" s="650"/>
      <c r="AI2287" s="667"/>
    </row>
    <row r="2288" spans="12:35" ht="45" customHeight="1" thickBot="1" x14ac:dyDescent="0.25">
      <c r="L2288" s="645"/>
      <c r="M2288" s="616"/>
      <c r="N2288" s="616"/>
      <c r="O2288" s="616"/>
      <c r="P2288" s="615"/>
      <c r="Q2288" s="616"/>
      <c r="R2288" s="663"/>
      <c r="S2288" s="459"/>
      <c r="T2288" s="459"/>
      <c r="U2288" s="459"/>
      <c r="V2288" s="459"/>
      <c r="W2288" s="459"/>
      <c r="X2288" s="459"/>
      <c r="Y2288" s="666"/>
      <c r="Z2288" s="664"/>
      <c r="AA2288" s="665"/>
      <c r="AB2288" s="665"/>
      <c r="AC2288" s="665"/>
      <c r="AD2288" s="665"/>
      <c r="AE2288" s="665"/>
      <c r="AF2288" s="649"/>
      <c r="AG2288" s="650"/>
      <c r="AH2288" s="650"/>
      <c r="AI2288" s="667"/>
    </row>
    <row r="2289" spans="12:35" ht="45" customHeight="1" thickBot="1" x14ac:dyDescent="0.25">
      <c r="L2289" s="645"/>
      <c r="M2289" s="616"/>
      <c r="N2289" s="616"/>
      <c r="O2289" s="616"/>
      <c r="P2289" s="615"/>
      <c r="Q2289" s="616"/>
      <c r="R2289" s="663"/>
      <c r="S2289" s="459"/>
      <c r="T2289" s="459"/>
      <c r="U2289" s="459"/>
      <c r="V2289" s="459"/>
      <c r="W2289" s="459"/>
      <c r="X2289" s="459"/>
      <c r="Y2289" s="666"/>
      <c r="Z2289" s="664"/>
      <c r="AA2289" s="665"/>
      <c r="AB2289" s="665"/>
      <c r="AC2289" s="665"/>
      <c r="AD2289" s="665"/>
      <c r="AE2289" s="665"/>
      <c r="AF2289" s="649"/>
      <c r="AG2289" s="650"/>
      <c r="AH2289" s="650"/>
      <c r="AI2289" s="667"/>
    </row>
    <row r="2290" spans="12:35" ht="45" customHeight="1" thickBot="1" x14ac:dyDescent="0.25">
      <c r="L2290" s="645"/>
      <c r="M2290" s="616"/>
      <c r="N2290" s="616"/>
      <c r="O2290" s="616"/>
      <c r="P2290" s="615"/>
      <c r="Q2290" s="616"/>
      <c r="R2290" s="663"/>
      <c r="S2290" s="459"/>
      <c r="T2290" s="459"/>
      <c r="U2290" s="459"/>
      <c r="V2290" s="459"/>
      <c r="W2290" s="459"/>
      <c r="X2290" s="459"/>
      <c r="Y2290" s="666"/>
      <c r="Z2290" s="664"/>
      <c r="AA2290" s="665"/>
      <c r="AB2290" s="665"/>
      <c r="AC2290" s="665"/>
      <c r="AD2290" s="665"/>
      <c r="AE2290" s="665"/>
      <c r="AF2290" s="649"/>
      <c r="AG2290" s="650"/>
      <c r="AH2290" s="650"/>
      <c r="AI2290" s="667"/>
    </row>
    <row r="2291" spans="12:35" ht="45" customHeight="1" thickBot="1" x14ac:dyDescent="0.25">
      <c r="L2291" s="645"/>
      <c r="M2291" s="616"/>
      <c r="N2291" s="616"/>
      <c r="O2291" s="616"/>
      <c r="P2291" s="615"/>
      <c r="Q2291" s="616"/>
      <c r="R2291" s="663"/>
      <c r="S2291" s="459"/>
      <c r="T2291" s="459"/>
      <c r="U2291" s="459"/>
      <c r="V2291" s="459"/>
      <c r="W2291" s="459"/>
      <c r="X2291" s="459"/>
      <c r="Y2291" s="666"/>
      <c r="Z2291" s="664"/>
      <c r="AA2291" s="665"/>
      <c r="AB2291" s="665"/>
      <c r="AC2291" s="665"/>
      <c r="AD2291" s="665"/>
      <c r="AE2291" s="665"/>
      <c r="AF2291" s="649"/>
      <c r="AG2291" s="650"/>
      <c r="AH2291" s="650"/>
      <c r="AI2291" s="667"/>
    </row>
    <row r="2292" spans="12:35" ht="45" customHeight="1" thickBot="1" x14ac:dyDescent="0.25">
      <c r="L2292" s="645"/>
      <c r="M2292" s="616"/>
      <c r="N2292" s="616"/>
      <c r="O2292" s="616"/>
      <c r="P2292" s="615"/>
      <c r="Q2292" s="616"/>
      <c r="R2292" s="663"/>
      <c r="S2292" s="459"/>
      <c r="T2292" s="459"/>
      <c r="U2292" s="459"/>
      <c r="V2292" s="459"/>
      <c r="W2292" s="459"/>
      <c r="X2292" s="459"/>
      <c r="Y2292" s="666"/>
      <c r="Z2292" s="664"/>
      <c r="AA2292" s="665"/>
      <c r="AB2292" s="665"/>
      <c r="AC2292" s="665"/>
      <c r="AD2292" s="665"/>
      <c r="AE2292" s="665"/>
      <c r="AF2292" s="649"/>
      <c r="AG2292" s="650"/>
      <c r="AH2292" s="650"/>
      <c r="AI2292" s="667"/>
    </row>
    <row r="2293" spans="12:35" ht="45" customHeight="1" thickBot="1" x14ac:dyDescent="0.25">
      <c r="L2293" s="645"/>
      <c r="M2293" s="616"/>
      <c r="N2293" s="616"/>
      <c r="O2293" s="616"/>
      <c r="P2293" s="615"/>
      <c r="Q2293" s="616"/>
      <c r="R2293" s="663"/>
      <c r="S2293" s="459"/>
      <c r="T2293" s="459"/>
      <c r="U2293" s="459"/>
      <c r="V2293" s="459"/>
      <c r="W2293" s="459"/>
      <c r="X2293" s="459"/>
      <c r="Y2293" s="666"/>
      <c r="Z2293" s="664"/>
      <c r="AA2293" s="665"/>
      <c r="AB2293" s="665"/>
      <c r="AC2293" s="665"/>
      <c r="AD2293" s="665"/>
      <c r="AE2293" s="665"/>
      <c r="AF2293" s="649"/>
      <c r="AG2293" s="650"/>
      <c r="AH2293" s="650"/>
      <c r="AI2293" s="667"/>
    </row>
    <row r="2294" spans="12:35" ht="45" customHeight="1" thickBot="1" x14ac:dyDescent="0.25">
      <c r="L2294" s="645"/>
      <c r="M2294" s="616"/>
      <c r="N2294" s="616"/>
      <c r="O2294" s="616"/>
      <c r="P2294" s="615"/>
      <c r="Q2294" s="616"/>
      <c r="R2294" s="663"/>
      <c r="S2294" s="459"/>
      <c r="T2294" s="459"/>
      <c r="U2294" s="459"/>
      <c r="V2294" s="459"/>
      <c r="W2294" s="459"/>
      <c r="X2294" s="459"/>
      <c r="Y2294" s="666"/>
      <c r="Z2294" s="664"/>
      <c r="AA2294" s="665"/>
      <c r="AB2294" s="665"/>
      <c r="AC2294" s="665"/>
      <c r="AD2294" s="665"/>
      <c r="AE2294" s="665"/>
      <c r="AF2294" s="649"/>
      <c r="AG2294" s="650"/>
      <c r="AH2294" s="650"/>
      <c r="AI2294" s="667"/>
    </row>
    <row r="2295" spans="12:35" ht="45" customHeight="1" thickBot="1" x14ac:dyDescent="0.25">
      <c r="L2295" s="645"/>
      <c r="M2295" s="616"/>
      <c r="N2295" s="616"/>
      <c r="O2295" s="616"/>
      <c r="P2295" s="615"/>
      <c r="Q2295" s="616"/>
      <c r="R2295" s="663"/>
      <c r="S2295" s="459"/>
      <c r="T2295" s="459"/>
      <c r="U2295" s="459"/>
      <c r="V2295" s="459"/>
      <c r="W2295" s="459"/>
      <c r="X2295" s="459"/>
      <c r="Y2295" s="666"/>
      <c r="Z2295" s="664"/>
      <c r="AA2295" s="665"/>
      <c r="AB2295" s="665"/>
      <c r="AC2295" s="665"/>
      <c r="AD2295" s="665"/>
      <c r="AE2295" s="665"/>
      <c r="AF2295" s="649"/>
      <c r="AG2295" s="650"/>
      <c r="AH2295" s="650"/>
      <c r="AI2295" s="667"/>
    </row>
    <row r="2296" spans="12:35" ht="45" customHeight="1" thickBot="1" x14ac:dyDescent="0.25">
      <c r="L2296" s="645"/>
      <c r="M2296" s="616"/>
      <c r="N2296" s="616"/>
      <c r="O2296" s="616"/>
      <c r="P2296" s="615"/>
      <c r="Q2296" s="616"/>
      <c r="R2296" s="663"/>
      <c r="S2296" s="459"/>
      <c r="T2296" s="459"/>
      <c r="U2296" s="459"/>
      <c r="V2296" s="459"/>
      <c r="W2296" s="459"/>
      <c r="X2296" s="459"/>
      <c r="Y2296" s="666"/>
      <c r="Z2296" s="664"/>
      <c r="AA2296" s="665"/>
      <c r="AB2296" s="665"/>
      <c r="AC2296" s="665"/>
      <c r="AD2296" s="665"/>
      <c r="AE2296" s="665"/>
      <c r="AF2296" s="649"/>
      <c r="AG2296" s="650"/>
      <c r="AH2296" s="650"/>
      <c r="AI2296" s="667"/>
    </row>
    <row r="2297" spans="12:35" ht="45" customHeight="1" thickBot="1" x14ac:dyDescent="0.25">
      <c r="L2297" s="645"/>
      <c r="M2297" s="616"/>
      <c r="N2297" s="616"/>
      <c r="O2297" s="616"/>
      <c r="P2297" s="615"/>
      <c r="Q2297" s="616"/>
      <c r="R2297" s="663"/>
      <c r="S2297" s="459"/>
      <c r="T2297" s="459"/>
      <c r="U2297" s="459"/>
      <c r="V2297" s="459"/>
      <c r="W2297" s="459"/>
      <c r="X2297" s="459"/>
      <c r="Y2297" s="666"/>
      <c r="Z2297" s="664"/>
      <c r="AA2297" s="665"/>
      <c r="AB2297" s="665"/>
      <c r="AC2297" s="665"/>
      <c r="AD2297" s="665"/>
      <c r="AE2297" s="665"/>
      <c r="AF2297" s="649"/>
      <c r="AG2297" s="650"/>
      <c r="AH2297" s="650"/>
      <c r="AI2297" s="667"/>
    </row>
    <row r="2298" spans="12:35" ht="45" customHeight="1" thickBot="1" x14ac:dyDescent="0.25">
      <c r="L2298" s="645"/>
      <c r="M2298" s="616"/>
      <c r="N2298" s="616"/>
      <c r="O2298" s="616"/>
      <c r="P2298" s="615"/>
      <c r="Q2298" s="616"/>
      <c r="R2298" s="663"/>
      <c r="S2298" s="459"/>
      <c r="T2298" s="459"/>
      <c r="U2298" s="459"/>
      <c r="V2298" s="459"/>
      <c r="W2298" s="459"/>
      <c r="X2298" s="459"/>
      <c r="Y2298" s="666"/>
      <c r="Z2298" s="664"/>
      <c r="AA2298" s="665"/>
      <c r="AB2298" s="665"/>
      <c r="AC2298" s="665"/>
      <c r="AD2298" s="665"/>
      <c r="AE2298" s="665"/>
      <c r="AF2298" s="649"/>
      <c r="AG2298" s="650"/>
      <c r="AH2298" s="650"/>
      <c r="AI2298" s="667"/>
    </row>
    <row r="2299" spans="12:35" ht="45" customHeight="1" thickBot="1" x14ac:dyDescent="0.25">
      <c r="L2299" s="645"/>
      <c r="M2299" s="616"/>
      <c r="N2299" s="616"/>
      <c r="O2299" s="616"/>
      <c r="P2299" s="615"/>
      <c r="Q2299" s="616"/>
      <c r="R2299" s="663"/>
      <c r="S2299" s="459"/>
      <c r="T2299" s="459"/>
      <c r="U2299" s="459"/>
      <c r="V2299" s="459"/>
      <c r="W2299" s="459"/>
      <c r="X2299" s="459"/>
      <c r="Y2299" s="666"/>
      <c r="Z2299" s="664"/>
      <c r="AA2299" s="665"/>
      <c r="AB2299" s="665"/>
      <c r="AC2299" s="665"/>
      <c r="AD2299" s="665"/>
      <c r="AE2299" s="665"/>
      <c r="AF2299" s="649"/>
      <c r="AG2299" s="650"/>
      <c r="AH2299" s="650"/>
      <c r="AI2299" s="667"/>
    </row>
    <row r="2300" spans="12:35" ht="45" customHeight="1" thickBot="1" x14ac:dyDescent="0.25">
      <c r="L2300" s="645"/>
      <c r="M2300" s="616"/>
      <c r="N2300" s="616"/>
      <c r="O2300" s="616"/>
      <c r="P2300" s="615"/>
      <c r="Q2300" s="616"/>
      <c r="R2300" s="663"/>
      <c r="S2300" s="459"/>
      <c r="T2300" s="459"/>
      <c r="U2300" s="459"/>
      <c r="V2300" s="459"/>
      <c r="W2300" s="459"/>
      <c r="X2300" s="459"/>
      <c r="Y2300" s="666"/>
      <c r="Z2300" s="664"/>
      <c r="AA2300" s="665"/>
      <c r="AB2300" s="665"/>
      <c r="AC2300" s="665"/>
      <c r="AD2300" s="665"/>
      <c r="AE2300" s="665"/>
      <c r="AF2300" s="649"/>
      <c r="AG2300" s="650"/>
      <c r="AH2300" s="650"/>
      <c r="AI2300" s="667"/>
    </row>
    <row r="2301" spans="12:35" ht="45" customHeight="1" thickBot="1" x14ac:dyDescent="0.25">
      <c r="L2301" s="645"/>
      <c r="M2301" s="616"/>
      <c r="N2301" s="616"/>
      <c r="O2301" s="616"/>
      <c r="P2301" s="615"/>
      <c r="Q2301" s="616"/>
      <c r="R2301" s="663"/>
      <c r="S2301" s="459"/>
      <c r="T2301" s="459"/>
      <c r="U2301" s="459"/>
      <c r="V2301" s="459"/>
      <c r="W2301" s="459"/>
      <c r="X2301" s="459"/>
      <c r="Y2301" s="666"/>
      <c r="Z2301" s="664"/>
      <c r="AA2301" s="665"/>
      <c r="AB2301" s="665"/>
      <c r="AC2301" s="665"/>
      <c r="AD2301" s="665"/>
      <c r="AE2301" s="665"/>
      <c r="AF2301" s="649"/>
      <c r="AG2301" s="650"/>
      <c r="AH2301" s="650"/>
      <c r="AI2301" s="667"/>
    </row>
    <row r="2302" spans="12:35" ht="45" customHeight="1" thickBot="1" x14ac:dyDescent="0.25">
      <c r="L2302" s="645"/>
      <c r="M2302" s="616"/>
      <c r="N2302" s="616"/>
      <c r="O2302" s="616"/>
      <c r="P2302" s="615"/>
      <c r="Q2302" s="616"/>
      <c r="R2302" s="663"/>
      <c r="S2302" s="459"/>
      <c r="T2302" s="459"/>
      <c r="U2302" s="459"/>
      <c r="V2302" s="459"/>
      <c r="W2302" s="459"/>
      <c r="X2302" s="459"/>
      <c r="Y2302" s="666"/>
      <c r="Z2302" s="664"/>
      <c r="AA2302" s="665"/>
      <c r="AB2302" s="665"/>
      <c r="AC2302" s="665"/>
      <c r="AD2302" s="665"/>
      <c r="AE2302" s="665"/>
      <c r="AF2302" s="649"/>
      <c r="AG2302" s="650"/>
      <c r="AH2302" s="650"/>
      <c r="AI2302" s="667"/>
    </row>
    <row r="2303" spans="12:35" ht="45" customHeight="1" thickBot="1" x14ac:dyDescent="0.25">
      <c r="L2303" s="645"/>
      <c r="M2303" s="616"/>
      <c r="N2303" s="616"/>
      <c r="O2303" s="616"/>
      <c r="P2303" s="615"/>
      <c r="Q2303" s="616"/>
      <c r="R2303" s="663"/>
      <c r="S2303" s="459"/>
      <c r="T2303" s="459"/>
      <c r="U2303" s="459"/>
      <c r="V2303" s="459"/>
      <c r="W2303" s="459"/>
      <c r="X2303" s="459"/>
      <c r="Y2303" s="666"/>
      <c r="Z2303" s="664"/>
      <c r="AA2303" s="665"/>
      <c r="AB2303" s="665"/>
      <c r="AC2303" s="665"/>
      <c r="AD2303" s="665"/>
      <c r="AE2303" s="665"/>
      <c r="AF2303" s="649"/>
      <c r="AG2303" s="650"/>
      <c r="AH2303" s="650"/>
      <c r="AI2303" s="667"/>
    </row>
    <row r="2304" spans="12:35" ht="45" customHeight="1" thickBot="1" x14ac:dyDescent="0.25">
      <c r="L2304" s="645"/>
      <c r="M2304" s="616"/>
      <c r="N2304" s="616"/>
      <c r="O2304" s="616"/>
      <c r="P2304" s="615"/>
      <c r="Q2304" s="616"/>
      <c r="R2304" s="663"/>
      <c r="S2304" s="459"/>
      <c r="T2304" s="459"/>
      <c r="U2304" s="459"/>
      <c r="V2304" s="459"/>
      <c r="W2304" s="459"/>
      <c r="X2304" s="459"/>
      <c r="Y2304" s="666"/>
      <c r="Z2304" s="664"/>
      <c r="AA2304" s="665"/>
      <c r="AB2304" s="665"/>
      <c r="AC2304" s="665"/>
      <c r="AD2304" s="665"/>
      <c r="AE2304" s="665"/>
      <c r="AF2304" s="649"/>
      <c r="AG2304" s="650"/>
      <c r="AH2304" s="650"/>
      <c r="AI2304" s="667"/>
    </row>
    <row r="2305" spans="12:35" ht="45" customHeight="1" thickBot="1" x14ac:dyDescent="0.25">
      <c r="L2305" s="645"/>
      <c r="M2305" s="616"/>
      <c r="N2305" s="616"/>
      <c r="O2305" s="616"/>
      <c r="P2305" s="615"/>
      <c r="Q2305" s="616"/>
      <c r="R2305" s="663"/>
      <c r="S2305" s="459"/>
      <c r="T2305" s="459"/>
      <c r="U2305" s="459"/>
      <c r="V2305" s="459"/>
      <c r="W2305" s="459"/>
      <c r="X2305" s="459"/>
      <c r="Y2305" s="666"/>
      <c r="Z2305" s="664"/>
      <c r="AA2305" s="665"/>
      <c r="AB2305" s="665"/>
      <c r="AC2305" s="665"/>
      <c r="AD2305" s="665"/>
      <c r="AE2305" s="665"/>
      <c r="AF2305" s="649"/>
      <c r="AG2305" s="650"/>
      <c r="AH2305" s="650"/>
      <c r="AI2305" s="667"/>
    </row>
    <row r="2306" spans="12:35" ht="45" customHeight="1" thickBot="1" x14ac:dyDescent="0.25">
      <c r="L2306" s="645"/>
      <c r="M2306" s="616"/>
      <c r="N2306" s="616"/>
      <c r="O2306" s="616"/>
      <c r="P2306" s="615"/>
      <c r="Q2306" s="616"/>
      <c r="R2306" s="663"/>
      <c r="S2306" s="459"/>
      <c r="T2306" s="459"/>
      <c r="U2306" s="459"/>
      <c r="V2306" s="459"/>
      <c r="W2306" s="459"/>
      <c r="X2306" s="459"/>
      <c r="Y2306" s="666"/>
      <c r="Z2306" s="664"/>
      <c r="AA2306" s="665"/>
      <c r="AB2306" s="665"/>
      <c r="AC2306" s="665"/>
      <c r="AD2306" s="665"/>
      <c r="AE2306" s="665"/>
      <c r="AF2306" s="649"/>
      <c r="AG2306" s="650"/>
      <c r="AH2306" s="650"/>
      <c r="AI2306" s="667"/>
    </row>
    <row r="2307" spans="12:35" ht="45" customHeight="1" thickBot="1" x14ac:dyDescent="0.25">
      <c r="L2307" s="645"/>
      <c r="M2307" s="616"/>
      <c r="N2307" s="616"/>
      <c r="O2307" s="616"/>
      <c r="P2307" s="615"/>
      <c r="Q2307" s="616"/>
      <c r="R2307" s="663"/>
      <c r="S2307" s="459"/>
      <c r="T2307" s="459"/>
      <c r="U2307" s="459"/>
      <c r="V2307" s="459"/>
      <c r="W2307" s="459"/>
      <c r="X2307" s="459"/>
      <c r="Y2307" s="666"/>
      <c r="Z2307" s="664"/>
      <c r="AA2307" s="665"/>
      <c r="AB2307" s="665"/>
      <c r="AC2307" s="665"/>
      <c r="AD2307" s="665"/>
      <c r="AE2307" s="665"/>
      <c r="AF2307" s="649"/>
      <c r="AG2307" s="650"/>
      <c r="AH2307" s="650"/>
      <c r="AI2307" s="667"/>
    </row>
    <row r="2308" spans="12:35" ht="45" customHeight="1" thickBot="1" x14ac:dyDescent="0.25">
      <c r="L2308" s="645"/>
      <c r="M2308" s="616"/>
      <c r="N2308" s="616"/>
      <c r="O2308" s="616"/>
      <c r="P2308" s="615"/>
      <c r="Q2308" s="616"/>
      <c r="R2308" s="663"/>
      <c r="S2308" s="459"/>
      <c r="T2308" s="459"/>
      <c r="U2308" s="459"/>
      <c r="V2308" s="459"/>
      <c r="W2308" s="459"/>
      <c r="X2308" s="459"/>
      <c r="Y2308" s="666"/>
      <c r="Z2308" s="664"/>
      <c r="AA2308" s="665"/>
      <c r="AB2308" s="665"/>
      <c r="AC2308" s="665"/>
      <c r="AD2308" s="665"/>
      <c r="AE2308" s="665"/>
      <c r="AF2308" s="649"/>
      <c r="AG2308" s="650"/>
      <c r="AH2308" s="650"/>
      <c r="AI2308" s="667"/>
    </row>
    <row r="2309" spans="12:35" ht="45" customHeight="1" thickBot="1" x14ac:dyDescent="0.25">
      <c r="L2309" s="645"/>
      <c r="M2309" s="616"/>
      <c r="N2309" s="616"/>
      <c r="O2309" s="616"/>
      <c r="P2309" s="615"/>
      <c r="Q2309" s="616"/>
      <c r="R2309" s="663"/>
      <c r="S2309" s="459"/>
      <c r="T2309" s="459"/>
      <c r="U2309" s="459"/>
      <c r="V2309" s="459"/>
      <c r="W2309" s="459"/>
      <c r="X2309" s="459"/>
      <c r="Y2309" s="666"/>
      <c r="Z2309" s="664"/>
      <c r="AA2309" s="665"/>
      <c r="AB2309" s="665"/>
      <c r="AC2309" s="665"/>
      <c r="AD2309" s="665"/>
      <c r="AE2309" s="665"/>
      <c r="AF2309" s="649"/>
      <c r="AG2309" s="650"/>
      <c r="AH2309" s="650"/>
      <c r="AI2309" s="667"/>
    </row>
    <row r="2310" spans="12:35" ht="45" customHeight="1" thickBot="1" x14ac:dyDescent="0.25">
      <c r="L2310" s="645"/>
      <c r="M2310" s="616"/>
      <c r="N2310" s="616"/>
      <c r="O2310" s="616"/>
      <c r="P2310" s="615"/>
      <c r="Q2310" s="616"/>
      <c r="R2310" s="663"/>
      <c r="S2310" s="459"/>
      <c r="T2310" s="459"/>
      <c r="U2310" s="459"/>
      <c r="V2310" s="459"/>
      <c r="W2310" s="459"/>
      <c r="X2310" s="459"/>
      <c r="Y2310" s="666"/>
      <c r="Z2310" s="664"/>
      <c r="AA2310" s="665"/>
      <c r="AB2310" s="665"/>
      <c r="AC2310" s="665"/>
      <c r="AD2310" s="665"/>
      <c r="AE2310" s="665"/>
      <c r="AF2310" s="649"/>
      <c r="AG2310" s="650"/>
      <c r="AH2310" s="650"/>
      <c r="AI2310" s="667"/>
    </row>
    <row r="2311" spans="12:35" ht="45" customHeight="1" thickBot="1" x14ac:dyDescent="0.25">
      <c r="L2311" s="645"/>
      <c r="M2311" s="616"/>
      <c r="N2311" s="616"/>
      <c r="O2311" s="616"/>
      <c r="P2311" s="615"/>
      <c r="Q2311" s="616"/>
      <c r="R2311" s="663"/>
      <c r="S2311" s="459"/>
      <c r="T2311" s="459"/>
      <c r="U2311" s="459"/>
      <c r="V2311" s="459"/>
      <c r="W2311" s="459"/>
      <c r="X2311" s="459"/>
      <c r="Y2311" s="666"/>
      <c r="Z2311" s="664"/>
      <c r="AA2311" s="665"/>
      <c r="AB2311" s="665"/>
      <c r="AC2311" s="665"/>
      <c r="AD2311" s="665"/>
      <c r="AE2311" s="665"/>
      <c r="AF2311" s="649"/>
      <c r="AG2311" s="650"/>
      <c r="AH2311" s="650"/>
      <c r="AI2311" s="667"/>
    </row>
    <row r="2312" spans="12:35" ht="45" customHeight="1" thickBot="1" x14ac:dyDescent="0.25">
      <c r="L2312" s="645"/>
      <c r="M2312" s="616"/>
      <c r="N2312" s="616"/>
      <c r="O2312" s="616"/>
      <c r="P2312" s="615"/>
      <c r="Q2312" s="616"/>
      <c r="R2312" s="663"/>
      <c r="S2312" s="459"/>
      <c r="T2312" s="459"/>
      <c r="U2312" s="459"/>
      <c r="V2312" s="459"/>
      <c r="W2312" s="459"/>
      <c r="X2312" s="459"/>
      <c r="Y2312" s="666"/>
      <c r="Z2312" s="664"/>
      <c r="AA2312" s="665"/>
      <c r="AB2312" s="665"/>
      <c r="AC2312" s="665"/>
      <c r="AD2312" s="665"/>
      <c r="AE2312" s="665"/>
      <c r="AF2312" s="649"/>
      <c r="AG2312" s="650"/>
      <c r="AH2312" s="650"/>
      <c r="AI2312" s="667"/>
    </row>
    <row r="2313" spans="12:35" ht="45" customHeight="1" thickBot="1" x14ac:dyDescent="0.25">
      <c r="L2313" s="645"/>
      <c r="M2313" s="616"/>
      <c r="N2313" s="616"/>
      <c r="O2313" s="616"/>
      <c r="P2313" s="615"/>
      <c r="Q2313" s="616"/>
      <c r="R2313" s="663"/>
      <c r="S2313" s="459"/>
      <c r="T2313" s="459"/>
      <c r="U2313" s="459"/>
      <c r="V2313" s="459"/>
      <c r="W2313" s="459"/>
      <c r="X2313" s="459"/>
      <c r="Y2313" s="666"/>
      <c r="Z2313" s="664"/>
      <c r="AA2313" s="665"/>
      <c r="AB2313" s="665"/>
      <c r="AC2313" s="665"/>
      <c r="AD2313" s="665"/>
      <c r="AE2313" s="665"/>
      <c r="AF2313" s="649"/>
      <c r="AG2313" s="650"/>
      <c r="AH2313" s="650"/>
      <c r="AI2313" s="667"/>
    </row>
    <row r="2314" spans="12:35" ht="45" customHeight="1" thickBot="1" x14ac:dyDescent="0.25">
      <c r="L2314" s="645"/>
      <c r="M2314" s="616"/>
      <c r="N2314" s="616"/>
      <c r="O2314" s="616"/>
      <c r="P2314" s="615"/>
      <c r="Q2314" s="616"/>
      <c r="R2314" s="663"/>
      <c r="S2314" s="459"/>
      <c r="T2314" s="459"/>
      <c r="U2314" s="459"/>
      <c r="V2314" s="459"/>
      <c r="W2314" s="459"/>
      <c r="X2314" s="459"/>
      <c r="Y2314" s="666"/>
      <c r="Z2314" s="664"/>
      <c r="AA2314" s="665"/>
      <c r="AB2314" s="665"/>
      <c r="AC2314" s="665"/>
      <c r="AD2314" s="665"/>
      <c r="AE2314" s="665"/>
      <c r="AF2314" s="649"/>
      <c r="AG2314" s="650"/>
      <c r="AH2314" s="650"/>
      <c r="AI2314" s="667"/>
    </row>
    <row r="2315" spans="12:35" ht="45" customHeight="1" thickBot="1" x14ac:dyDescent="0.25">
      <c r="L2315" s="645"/>
      <c r="M2315" s="616"/>
      <c r="N2315" s="616"/>
      <c r="O2315" s="616"/>
      <c r="P2315" s="615"/>
      <c r="Q2315" s="616"/>
      <c r="R2315" s="663"/>
      <c r="S2315" s="459"/>
      <c r="T2315" s="459"/>
      <c r="U2315" s="459"/>
      <c r="V2315" s="459"/>
      <c r="W2315" s="459"/>
      <c r="X2315" s="459"/>
      <c r="Y2315" s="666"/>
      <c r="Z2315" s="664"/>
      <c r="AA2315" s="665"/>
      <c r="AB2315" s="665"/>
      <c r="AC2315" s="665"/>
      <c r="AD2315" s="665"/>
      <c r="AE2315" s="665"/>
      <c r="AF2315" s="649"/>
      <c r="AG2315" s="650"/>
      <c r="AH2315" s="650"/>
      <c r="AI2315" s="667"/>
    </row>
    <row r="2316" spans="12:35" ht="45" customHeight="1" thickBot="1" x14ac:dyDescent="0.25">
      <c r="L2316" s="645"/>
      <c r="M2316" s="616"/>
      <c r="N2316" s="616"/>
      <c r="O2316" s="616"/>
      <c r="P2316" s="615"/>
      <c r="Q2316" s="616"/>
      <c r="R2316" s="663"/>
      <c r="S2316" s="459"/>
      <c r="T2316" s="459"/>
      <c r="U2316" s="459"/>
      <c r="V2316" s="459"/>
      <c r="W2316" s="459"/>
      <c r="X2316" s="459"/>
      <c r="Y2316" s="666"/>
      <c r="Z2316" s="664"/>
      <c r="AA2316" s="665"/>
      <c r="AB2316" s="665"/>
      <c r="AC2316" s="665"/>
      <c r="AD2316" s="665"/>
      <c r="AE2316" s="665"/>
      <c r="AF2316" s="649"/>
      <c r="AG2316" s="650"/>
      <c r="AH2316" s="650"/>
      <c r="AI2316" s="667"/>
    </row>
    <row r="2317" spans="12:35" ht="45" customHeight="1" thickBot="1" x14ac:dyDescent="0.25">
      <c r="L2317" s="645"/>
      <c r="M2317" s="616"/>
      <c r="N2317" s="616"/>
      <c r="O2317" s="616"/>
      <c r="P2317" s="615"/>
      <c r="Q2317" s="616"/>
      <c r="R2317" s="663"/>
      <c r="S2317" s="459"/>
      <c r="T2317" s="459"/>
      <c r="U2317" s="459"/>
      <c r="V2317" s="459"/>
      <c r="W2317" s="459"/>
      <c r="X2317" s="459"/>
      <c r="Y2317" s="666"/>
      <c r="Z2317" s="664"/>
      <c r="AA2317" s="665"/>
      <c r="AB2317" s="665"/>
      <c r="AC2317" s="665"/>
      <c r="AD2317" s="665"/>
      <c r="AE2317" s="665"/>
      <c r="AF2317" s="649"/>
      <c r="AG2317" s="650"/>
      <c r="AH2317" s="650"/>
      <c r="AI2317" s="667"/>
    </row>
    <row r="2318" spans="12:35" ht="45" customHeight="1" thickBot="1" x14ac:dyDescent="0.25">
      <c r="L2318" s="645"/>
      <c r="M2318" s="616"/>
      <c r="N2318" s="616"/>
      <c r="O2318" s="616"/>
      <c r="P2318" s="615"/>
      <c r="Q2318" s="616"/>
      <c r="R2318" s="663"/>
      <c r="S2318" s="459"/>
      <c r="T2318" s="459"/>
      <c r="U2318" s="459"/>
      <c r="V2318" s="459"/>
      <c r="W2318" s="459"/>
      <c r="X2318" s="459"/>
      <c r="Y2318" s="666"/>
      <c r="Z2318" s="664"/>
      <c r="AA2318" s="665"/>
      <c r="AB2318" s="665"/>
      <c r="AC2318" s="665"/>
      <c r="AD2318" s="665"/>
      <c r="AE2318" s="665"/>
      <c r="AF2318" s="649"/>
      <c r="AG2318" s="650"/>
      <c r="AH2318" s="650"/>
      <c r="AI2318" s="667"/>
    </row>
    <row r="2319" spans="12:35" ht="45" customHeight="1" thickBot="1" x14ac:dyDescent="0.25">
      <c r="L2319" s="645"/>
      <c r="M2319" s="616"/>
      <c r="N2319" s="616"/>
      <c r="O2319" s="616"/>
      <c r="P2319" s="615"/>
      <c r="Q2319" s="616"/>
      <c r="R2319" s="663"/>
      <c r="S2319" s="459"/>
      <c r="T2319" s="459"/>
      <c r="U2319" s="459"/>
      <c r="V2319" s="459"/>
      <c r="W2319" s="459"/>
      <c r="X2319" s="459"/>
      <c r="Y2319" s="666"/>
      <c r="Z2319" s="664"/>
      <c r="AA2319" s="665"/>
      <c r="AB2319" s="665"/>
      <c r="AC2319" s="665"/>
      <c r="AD2319" s="665"/>
      <c r="AE2319" s="665"/>
      <c r="AF2319" s="649"/>
      <c r="AG2319" s="650"/>
      <c r="AH2319" s="650"/>
      <c r="AI2319" s="667"/>
    </row>
    <row r="2320" spans="12:35" ht="45" customHeight="1" thickBot="1" x14ac:dyDescent="0.25">
      <c r="L2320" s="645"/>
      <c r="M2320" s="616"/>
      <c r="N2320" s="616"/>
      <c r="O2320" s="616"/>
      <c r="P2320" s="615"/>
      <c r="Q2320" s="616"/>
      <c r="R2320" s="663"/>
      <c r="S2320" s="459"/>
      <c r="T2320" s="459"/>
      <c r="U2320" s="459"/>
      <c r="V2320" s="459"/>
      <c r="W2320" s="459"/>
      <c r="X2320" s="459"/>
      <c r="Y2320" s="666"/>
      <c r="Z2320" s="664"/>
      <c r="AA2320" s="665"/>
      <c r="AB2320" s="665"/>
      <c r="AC2320" s="665"/>
      <c r="AD2320" s="665"/>
      <c r="AE2320" s="665"/>
      <c r="AF2320" s="649"/>
      <c r="AG2320" s="650"/>
      <c r="AH2320" s="650"/>
      <c r="AI2320" s="667"/>
    </row>
    <row r="2321" spans="12:35" ht="45" customHeight="1" thickBot="1" x14ac:dyDescent="0.25">
      <c r="L2321" s="645"/>
      <c r="M2321" s="616"/>
      <c r="N2321" s="616"/>
      <c r="O2321" s="616"/>
      <c r="P2321" s="615"/>
      <c r="Q2321" s="616"/>
      <c r="R2321" s="663"/>
      <c r="S2321" s="459"/>
      <c r="T2321" s="459"/>
      <c r="U2321" s="459"/>
      <c r="V2321" s="459"/>
      <c r="W2321" s="459"/>
      <c r="X2321" s="459"/>
      <c r="Y2321" s="666"/>
      <c r="Z2321" s="664"/>
      <c r="AA2321" s="665"/>
      <c r="AB2321" s="665"/>
      <c r="AC2321" s="665"/>
      <c r="AD2321" s="665"/>
      <c r="AE2321" s="665"/>
      <c r="AF2321" s="649"/>
      <c r="AG2321" s="650"/>
      <c r="AH2321" s="650"/>
      <c r="AI2321" s="667"/>
    </row>
    <row r="2322" spans="12:35" ht="45" customHeight="1" thickBot="1" x14ac:dyDescent="0.25">
      <c r="L2322" s="645"/>
      <c r="M2322" s="616"/>
      <c r="N2322" s="616"/>
      <c r="O2322" s="616"/>
      <c r="P2322" s="615"/>
      <c r="Q2322" s="616"/>
      <c r="R2322" s="663"/>
      <c r="S2322" s="459"/>
      <c r="T2322" s="459"/>
      <c r="U2322" s="459"/>
      <c r="V2322" s="459"/>
      <c r="W2322" s="459"/>
      <c r="X2322" s="459"/>
      <c r="Y2322" s="666"/>
      <c r="Z2322" s="664"/>
      <c r="AA2322" s="665"/>
      <c r="AB2322" s="665"/>
      <c r="AC2322" s="665"/>
      <c r="AD2322" s="665"/>
      <c r="AE2322" s="665"/>
      <c r="AF2322" s="649"/>
      <c r="AG2322" s="650"/>
      <c r="AH2322" s="650"/>
      <c r="AI2322" s="667"/>
    </row>
    <row r="2323" spans="12:35" ht="45" customHeight="1" thickBot="1" x14ac:dyDescent="0.25">
      <c r="L2323" s="645"/>
      <c r="M2323" s="616"/>
      <c r="N2323" s="616"/>
      <c r="O2323" s="616"/>
      <c r="P2323" s="615"/>
      <c r="Q2323" s="616"/>
      <c r="R2323" s="663"/>
      <c r="S2323" s="459"/>
      <c r="T2323" s="459"/>
      <c r="U2323" s="459"/>
      <c r="V2323" s="459"/>
      <c r="W2323" s="459"/>
      <c r="X2323" s="459"/>
      <c r="Y2323" s="666"/>
      <c r="Z2323" s="664"/>
      <c r="AA2323" s="665"/>
      <c r="AB2323" s="665"/>
      <c r="AC2323" s="665"/>
      <c r="AD2323" s="665"/>
      <c r="AE2323" s="665"/>
      <c r="AF2323" s="649"/>
      <c r="AG2323" s="650"/>
      <c r="AH2323" s="650"/>
      <c r="AI2323" s="667"/>
    </row>
    <row r="2324" spans="12:35" ht="45" customHeight="1" thickBot="1" x14ac:dyDescent="0.25">
      <c r="L2324" s="645"/>
      <c r="M2324" s="616"/>
      <c r="N2324" s="616"/>
      <c r="O2324" s="616"/>
      <c r="P2324" s="615"/>
      <c r="Q2324" s="616"/>
      <c r="R2324" s="663"/>
      <c r="S2324" s="459"/>
      <c r="T2324" s="459"/>
      <c r="U2324" s="459"/>
      <c r="V2324" s="459"/>
      <c r="W2324" s="459"/>
      <c r="X2324" s="459"/>
      <c r="Y2324" s="666"/>
      <c r="Z2324" s="664"/>
      <c r="AA2324" s="665"/>
      <c r="AB2324" s="665"/>
      <c r="AC2324" s="665"/>
      <c r="AD2324" s="665"/>
      <c r="AE2324" s="665"/>
      <c r="AF2324" s="649"/>
      <c r="AG2324" s="650"/>
      <c r="AH2324" s="650"/>
      <c r="AI2324" s="667"/>
    </row>
    <row r="2325" spans="12:35" ht="45" customHeight="1" thickBot="1" x14ac:dyDescent="0.25">
      <c r="L2325" s="645"/>
      <c r="M2325" s="616"/>
      <c r="N2325" s="616"/>
      <c r="O2325" s="616"/>
      <c r="P2325" s="615"/>
      <c r="Q2325" s="616"/>
      <c r="R2325" s="663"/>
      <c r="S2325" s="459"/>
      <c r="T2325" s="459"/>
      <c r="U2325" s="459"/>
      <c r="V2325" s="459"/>
      <c r="W2325" s="459"/>
      <c r="X2325" s="459"/>
      <c r="Y2325" s="666"/>
      <c r="Z2325" s="664"/>
      <c r="AA2325" s="665"/>
      <c r="AB2325" s="665"/>
      <c r="AC2325" s="665"/>
      <c r="AD2325" s="665"/>
      <c r="AE2325" s="665"/>
      <c r="AF2325" s="649"/>
      <c r="AG2325" s="650"/>
      <c r="AH2325" s="650"/>
      <c r="AI2325" s="667"/>
    </row>
    <row r="2326" spans="12:35" ht="45" customHeight="1" thickBot="1" x14ac:dyDescent="0.25">
      <c r="L2326" s="645"/>
      <c r="M2326" s="616"/>
      <c r="N2326" s="616"/>
      <c r="O2326" s="616"/>
      <c r="P2326" s="615"/>
      <c r="Q2326" s="616"/>
      <c r="R2326" s="663"/>
      <c r="S2326" s="459"/>
      <c r="T2326" s="459"/>
      <c r="U2326" s="459"/>
      <c r="V2326" s="459"/>
      <c r="W2326" s="459"/>
      <c r="X2326" s="459"/>
      <c r="Y2326" s="666"/>
      <c r="Z2326" s="664"/>
      <c r="AA2326" s="665"/>
      <c r="AB2326" s="665"/>
      <c r="AC2326" s="665"/>
      <c r="AD2326" s="665"/>
      <c r="AE2326" s="665"/>
      <c r="AF2326" s="649"/>
      <c r="AG2326" s="650"/>
      <c r="AH2326" s="650"/>
      <c r="AI2326" s="667"/>
    </row>
    <row r="2327" spans="12:35" ht="45" customHeight="1" thickBot="1" x14ac:dyDescent="0.25">
      <c r="L2327" s="645"/>
      <c r="M2327" s="616"/>
      <c r="N2327" s="616"/>
      <c r="O2327" s="616"/>
      <c r="P2327" s="615"/>
      <c r="Q2327" s="616"/>
      <c r="R2327" s="663"/>
      <c r="S2327" s="459"/>
      <c r="T2327" s="459"/>
      <c r="U2327" s="459"/>
      <c r="V2327" s="459"/>
      <c r="W2327" s="459"/>
      <c r="X2327" s="459"/>
      <c r="Y2327" s="666"/>
      <c r="Z2327" s="664"/>
      <c r="AA2327" s="665"/>
      <c r="AB2327" s="665"/>
      <c r="AC2327" s="665"/>
      <c r="AD2327" s="665"/>
      <c r="AE2327" s="665"/>
      <c r="AF2327" s="649"/>
      <c r="AG2327" s="650"/>
      <c r="AH2327" s="650"/>
      <c r="AI2327" s="667"/>
    </row>
    <row r="2328" spans="12:35" ht="45" customHeight="1" thickBot="1" x14ac:dyDescent="0.25">
      <c r="L2328" s="645"/>
      <c r="M2328" s="616"/>
      <c r="N2328" s="616"/>
      <c r="O2328" s="616"/>
      <c r="P2328" s="615"/>
      <c r="Q2328" s="616"/>
      <c r="R2328" s="663"/>
      <c r="S2328" s="459"/>
      <c r="T2328" s="459"/>
      <c r="U2328" s="459"/>
      <c r="V2328" s="459"/>
      <c r="W2328" s="459"/>
      <c r="X2328" s="459"/>
      <c r="Y2328" s="666"/>
      <c r="Z2328" s="664"/>
      <c r="AA2328" s="665"/>
      <c r="AB2328" s="665"/>
      <c r="AC2328" s="665"/>
      <c r="AD2328" s="665"/>
      <c r="AE2328" s="665"/>
      <c r="AF2328" s="649"/>
      <c r="AG2328" s="650"/>
      <c r="AH2328" s="650"/>
      <c r="AI2328" s="667"/>
    </row>
    <row r="2329" spans="12:35" ht="45" customHeight="1" thickBot="1" x14ac:dyDescent="0.25">
      <c r="L2329" s="645"/>
      <c r="M2329" s="616"/>
      <c r="N2329" s="616"/>
      <c r="O2329" s="616"/>
      <c r="P2329" s="615"/>
      <c r="Q2329" s="616"/>
      <c r="R2329" s="663"/>
      <c r="S2329" s="459"/>
      <c r="T2329" s="459"/>
      <c r="U2329" s="459"/>
      <c r="V2329" s="459"/>
      <c r="W2329" s="459"/>
      <c r="X2329" s="459"/>
      <c r="Y2329" s="666"/>
      <c r="Z2329" s="664"/>
      <c r="AA2329" s="665"/>
      <c r="AB2329" s="665"/>
      <c r="AC2329" s="665"/>
      <c r="AD2329" s="665"/>
      <c r="AE2329" s="665"/>
      <c r="AF2329" s="649"/>
      <c r="AG2329" s="650"/>
      <c r="AH2329" s="650"/>
      <c r="AI2329" s="667"/>
    </row>
    <row r="2330" spans="12:35" ht="45" customHeight="1" thickBot="1" x14ac:dyDescent="0.25">
      <c r="L2330" s="645"/>
      <c r="M2330" s="616"/>
      <c r="N2330" s="616"/>
      <c r="O2330" s="616"/>
      <c r="P2330" s="615"/>
      <c r="Q2330" s="616"/>
      <c r="R2330" s="663"/>
      <c r="S2330" s="459"/>
      <c r="T2330" s="459"/>
      <c r="U2330" s="459"/>
      <c r="V2330" s="459"/>
      <c r="W2330" s="459"/>
      <c r="X2330" s="459"/>
      <c r="Y2330" s="666"/>
      <c r="Z2330" s="664"/>
      <c r="AA2330" s="665"/>
      <c r="AB2330" s="665"/>
      <c r="AC2330" s="665"/>
      <c r="AD2330" s="665"/>
      <c r="AE2330" s="665"/>
      <c r="AF2330" s="649"/>
      <c r="AG2330" s="650"/>
      <c r="AH2330" s="650"/>
      <c r="AI2330" s="667"/>
    </row>
    <row r="2331" spans="12:35" ht="45" customHeight="1" thickBot="1" x14ac:dyDescent="0.25">
      <c r="L2331" s="645"/>
      <c r="M2331" s="616"/>
      <c r="N2331" s="616"/>
      <c r="O2331" s="616"/>
      <c r="P2331" s="615"/>
      <c r="Q2331" s="616"/>
      <c r="R2331" s="663"/>
      <c r="S2331" s="459"/>
      <c r="T2331" s="459"/>
      <c r="U2331" s="459"/>
      <c r="V2331" s="459"/>
      <c r="W2331" s="459"/>
      <c r="X2331" s="459"/>
      <c r="Y2331" s="666"/>
      <c r="Z2331" s="664"/>
      <c r="AA2331" s="665"/>
      <c r="AB2331" s="665"/>
      <c r="AC2331" s="665"/>
      <c r="AD2331" s="665"/>
      <c r="AE2331" s="665"/>
      <c r="AF2331" s="649"/>
      <c r="AG2331" s="650"/>
      <c r="AH2331" s="650"/>
      <c r="AI2331" s="667"/>
    </row>
    <row r="2332" spans="12:35" ht="45" customHeight="1" thickBot="1" x14ac:dyDescent="0.25">
      <c r="L2332" s="645"/>
      <c r="M2332" s="616"/>
      <c r="N2332" s="616"/>
      <c r="O2332" s="616"/>
      <c r="P2332" s="615"/>
      <c r="Q2332" s="616"/>
      <c r="R2332" s="663"/>
      <c r="S2332" s="459"/>
      <c r="T2332" s="459"/>
      <c r="U2332" s="459"/>
      <c r="V2332" s="459"/>
      <c r="W2332" s="459"/>
      <c r="X2332" s="459"/>
      <c r="Y2332" s="666"/>
      <c r="Z2332" s="664"/>
      <c r="AA2332" s="665"/>
      <c r="AB2332" s="665"/>
      <c r="AC2332" s="665"/>
      <c r="AD2332" s="665"/>
      <c r="AE2332" s="665"/>
      <c r="AF2332" s="649"/>
      <c r="AG2332" s="650"/>
      <c r="AH2332" s="650"/>
      <c r="AI2332" s="667"/>
    </row>
    <row r="2333" spans="12:35" ht="45" customHeight="1" thickBot="1" x14ac:dyDescent="0.25">
      <c r="L2333" s="645"/>
      <c r="M2333" s="616"/>
      <c r="N2333" s="616"/>
      <c r="O2333" s="616"/>
      <c r="P2333" s="615"/>
      <c r="Q2333" s="616"/>
      <c r="R2333" s="663"/>
      <c r="S2333" s="459"/>
      <c r="T2333" s="459"/>
      <c r="U2333" s="459"/>
      <c r="V2333" s="459"/>
      <c r="W2333" s="459"/>
      <c r="X2333" s="459"/>
      <c r="Y2333" s="666"/>
      <c r="Z2333" s="664"/>
      <c r="AA2333" s="665"/>
      <c r="AB2333" s="665"/>
      <c r="AC2333" s="665"/>
      <c r="AD2333" s="665"/>
      <c r="AE2333" s="665"/>
      <c r="AF2333" s="649"/>
      <c r="AG2333" s="650"/>
      <c r="AH2333" s="650"/>
      <c r="AI2333" s="667"/>
    </row>
    <row r="2334" spans="12:35" ht="45" customHeight="1" thickBot="1" x14ac:dyDescent="0.25">
      <c r="L2334" s="645"/>
      <c r="M2334" s="616"/>
      <c r="N2334" s="616"/>
      <c r="O2334" s="616"/>
      <c r="P2334" s="615"/>
      <c r="Q2334" s="616"/>
      <c r="R2334" s="663"/>
      <c r="S2334" s="459"/>
      <c r="T2334" s="459"/>
      <c r="U2334" s="459"/>
      <c r="V2334" s="459"/>
      <c r="W2334" s="459"/>
      <c r="X2334" s="459"/>
      <c r="Y2334" s="666"/>
      <c r="Z2334" s="664"/>
      <c r="AA2334" s="665"/>
      <c r="AB2334" s="665"/>
      <c r="AC2334" s="665"/>
      <c r="AD2334" s="665"/>
      <c r="AE2334" s="665"/>
      <c r="AF2334" s="649"/>
      <c r="AG2334" s="650"/>
      <c r="AH2334" s="650"/>
      <c r="AI2334" s="667"/>
    </row>
    <row r="2335" spans="12:35" ht="45" customHeight="1" thickBot="1" x14ac:dyDescent="0.25">
      <c r="L2335" s="645"/>
      <c r="M2335" s="616"/>
      <c r="N2335" s="616"/>
      <c r="O2335" s="616"/>
      <c r="P2335" s="615"/>
      <c r="Q2335" s="616"/>
      <c r="R2335" s="663"/>
      <c r="S2335" s="459"/>
      <c r="T2335" s="459"/>
      <c r="U2335" s="459"/>
      <c r="V2335" s="459"/>
      <c r="W2335" s="459"/>
      <c r="X2335" s="459"/>
      <c r="Y2335" s="666"/>
      <c r="Z2335" s="664"/>
      <c r="AA2335" s="665"/>
      <c r="AB2335" s="665"/>
      <c r="AC2335" s="665"/>
      <c r="AD2335" s="665"/>
      <c r="AE2335" s="665"/>
      <c r="AF2335" s="649"/>
      <c r="AG2335" s="650"/>
      <c r="AH2335" s="650"/>
      <c r="AI2335" s="667"/>
    </row>
    <row r="2336" spans="12:35" ht="45" customHeight="1" thickBot="1" x14ac:dyDescent="0.25">
      <c r="L2336" s="645"/>
      <c r="M2336" s="616"/>
      <c r="N2336" s="616"/>
      <c r="O2336" s="616"/>
      <c r="P2336" s="615"/>
      <c r="Q2336" s="616"/>
      <c r="R2336" s="663"/>
      <c r="S2336" s="459"/>
      <c r="T2336" s="459"/>
      <c r="U2336" s="459"/>
      <c r="V2336" s="459"/>
      <c r="W2336" s="459"/>
      <c r="X2336" s="459"/>
      <c r="Y2336" s="666"/>
      <c r="Z2336" s="664"/>
      <c r="AA2336" s="665"/>
      <c r="AB2336" s="665"/>
      <c r="AC2336" s="665"/>
      <c r="AD2336" s="665"/>
      <c r="AE2336" s="665"/>
      <c r="AF2336" s="649"/>
      <c r="AG2336" s="650"/>
      <c r="AH2336" s="650"/>
      <c r="AI2336" s="667"/>
    </row>
    <row r="2337" spans="12:35" ht="45" customHeight="1" thickBot="1" x14ac:dyDescent="0.25">
      <c r="L2337" s="645"/>
      <c r="M2337" s="616"/>
      <c r="N2337" s="616"/>
      <c r="O2337" s="616"/>
      <c r="P2337" s="615"/>
      <c r="Q2337" s="616"/>
      <c r="R2337" s="663"/>
      <c r="S2337" s="459"/>
      <c r="T2337" s="459"/>
      <c r="U2337" s="459"/>
      <c r="V2337" s="459"/>
      <c r="W2337" s="459"/>
      <c r="X2337" s="459"/>
      <c r="Y2337" s="666"/>
      <c r="Z2337" s="664"/>
      <c r="AA2337" s="665"/>
      <c r="AB2337" s="665"/>
      <c r="AC2337" s="665"/>
      <c r="AD2337" s="665"/>
      <c r="AE2337" s="665"/>
      <c r="AF2337" s="649"/>
      <c r="AG2337" s="650"/>
      <c r="AH2337" s="650"/>
      <c r="AI2337" s="667"/>
    </row>
    <row r="2338" spans="12:35" ht="45" customHeight="1" thickBot="1" x14ac:dyDescent="0.25">
      <c r="L2338" s="645"/>
      <c r="M2338" s="616"/>
      <c r="N2338" s="616"/>
      <c r="O2338" s="616"/>
      <c r="P2338" s="615"/>
      <c r="Q2338" s="616"/>
      <c r="R2338" s="663"/>
      <c r="S2338" s="459"/>
      <c r="T2338" s="459"/>
      <c r="U2338" s="459"/>
      <c r="V2338" s="459"/>
      <c r="W2338" s="459"/>
      <c r="X2338" s="459"/>
      <c r="Y2338" s="666"/>
      <c r="Z2338" s="664"/>
      <c r="AA2338" s="665"/>
      <c r="AB2338" s="665"/>
      <c r="AC2338" s="665"/>
      <c r="AD2338" s="665"/>
      <c r="AE2338" s="665"/>
      <c r="AF2338" s="649"/>
      <c r="AG2338" s="650"/>
      <c r="AH2338" s="650"/>
      <c r="AI2338" s="667"/>
    </row>
    <row r="2339" spans="12:35" ht="45" customHeight="1" thickBot="1" x14ac:dyDescent="0.25">
      <c r="L2339" s="645"/>
      <c r="M2339" s="616"/>
      <c r="N2339" s="616"/>
      <c r="O2339" s="616"/>
      <c r="P2339" s="615"/>
      <c r="Q2339" s="616"/>
      <c r="R2339" s="663"/>
      <c r="S2339" s="459"/>
      <c r="T2339" s="459"/>
      <c r="U2339" s="459"/>
      <c r="V2339" s="459"/>
      <c r="W2339" s="459"/>
      <c r="X2339" s="459"/>
      <c r="Y2339" s="666"/>
      <c r="Z2339" s="664"/>
      <c r="AA2339" s="665"/>
      <c r="AB2339" s="665"/>
      <c r="AC2339" s="665"/>
      <c r="AD2339" s="665"/>
      <c r="AE2339" s="665"/>
      <c r="AF2339" s="649"/>
      <c r="AG2339" s="650"/>
      <c r="AH2339" s="650"/>
      <c r="AI2339" s="667"/>
    </row>
    <row r="2340" spans="12:35" ht="45" customHeight="1" thickBot="1" x14ac:dyDescent="0.25">
      <c r="L2340" s="645"/>
      <c r="M2340" s="616"/>
      <c r="N2340" s="616"/>
      <c r="O2340" s="616"/>
      <c r="P2340" s="615"/>
      <c r="Q2340" s="616"/>
      <c r="R2340" s="663"/>
      <c r="S2340" s="459"/>
      <c r="T2340" s="459"/>
      <c r="U2340" s="459"/>
      <c r="V2340" s="459"/>
      <c r="W2340" s="459"/>
      <c r="X2340" s="459"/>
      <c r="Y2340" s="666"/>
      <c r="Z2340" s="664"/>
      <c r="AA2340" s="665"/>
      <c r="AB2340" s="665"/>
      <c r="AC2340" s="665"/>
      <c r="AD2340" s="665"/>
      <c r="AE2340" s="665"/>
      <c r="AF2340" s="649"/>
      <c r="AG2340" s="650"/>
      <c r="AH2340" s="650"/>
      <c r="AI2340" s="667"/>
    </row>
    <row r="2341" spans="12:35" ht="45" customHeight="1" thickBot="1" x14ac:dyDescent="0.25">
      <c r="L2341" s="645"/>
      <c r="M2341" s="616"/>
      <c r="N2341" s="616"/>
      <c r="O2341" s="616"/>
      <c r="P2341" s="615"/>
      <c r="Q2341" s="616"/>
      <c r="R2341" s="663"/>
      <c r="S2341" s="459"/>
      <c r="T2341" s="459"/>
      <c r="U2341" s="459"/>
      <c r="V2341" s="459"/>
      <c r="W2341" s="459"/>
      <c r="X2341" s="459"/>
      <c r="Y2341" s="666"/>
      <c r="Z2341" s="664"/>
      <c r="AA2341" s="665"/>
      <c r="AB2341" s="665"/>
      <c r="AC2341" s="665"/>
      <c r="AD2341" s="665"/>
      <c r="AE2341" s="665"/>
      <c r="AF2341" s="649"/>
      <c r="AG2341" s="650"/>
      <c r="AH2341" s="650"/>
      <c r="AI2341" s="667"/>
    </row>
    <row r="2342" spans="12:35" ht="45" customHeight="1" thickBot="1" x14ac:dyDescent="0.25">
      <c r="L2342" s="645"/>
      <c r="M2342" s="616"/>
      <c r="N2342" s="616"/>
      <c r="O2342" s="616"/>
      <c r="P2342" s="615"/>
      <c r="Q2342" s="616"/>
      <c r="R2342" s="663"/>
      <c r="S2342" s="459"/>
      <c r="T2342" s="459"/>
      <c r="U2342" s="459"/>
      <c r="V2342" s="459"/>
      <c r="W2342" s="459"/>
      <c r="X2342" s="459"/>
      <c r="Y2342" s="666"/>
      <c r="Z2342" s="664"/>
      <c r="AA2342" s="665"/>
      <c r="AB2342" s="665"/>
      <c r="AC2342" s="665"/>
      <c r="AD2342" s="665"/>
      <c r="AE2342" s="665"/>
      <c r="AF2342" s="649"/>
      <c r="AG2342" s="650"/>
      <c r="AH2342" s="650"/>
      <c r="AI2342" s="667"/>
    </row>
    <row r="2343" spans="12:35" ht="45" customHeight="1" thickBot="1" x14ac:dyDescent="0.25">
      <c r="L2343" s="645"/>
      <c r="M2343" s="616"/>
      <c r="N2343" s="616"/>
      <c r="O2343" s="616"/>
      <c r="P2343" s="615"/>
      <c r="Q2343" s="616"/>
      <c r="R2343" s="663"/>
      <c r="S2343" s="459"/>
      <c r="T2343" s="459"/>
      <c r="U2343" s="459"/>
      <c r="V2343" s="459"/>
      <c r="W2343" s="459"/>
      <c r="X2343" s="459"/>
      <c r="Y2343" s="666"/>
      <c r="Z2343" s="664"/>
      <c r="AA2343" s="665"/>
      <c r="AB2343" s="665"/>
      <c r="AC2343" s="665"/>
      <c r="AD2343" s="665"/>
      <c r="AE2343" s="665"/>
      <c r="AF2343" s="649"/>
      <c r="AG2343" s="650"/>
      <c r="AH2343" s="650"/>
      <c r="AI2343" s="667"/>
    </row>
    <row r="2344" spans="12:35" ht="45" customHeight="1" thickBot="1" x14ac:dyDescent="0.25">
      <c r="L2344" s="645"/>
      <c r="M2344" s="616"/>
      <c r="N2344" s="616"/>
      <c r="O2344" s="616"/>
      <c r="P2344" s="615"/>
      <c r="Q2344" s="616"/>
      <c r="R2344" s="663"/>
      <c r="S2344" s="459"/>
      <c r="T2344" s="459"/>
      <c r="U2344" s="459"/>
      <c r="V2344" s="459"/>
      <c r="W2344" s="459"/>
      <c r="X2344" s="459"/>
      <c r="Y2344" s="666"/>
      <c r="Z2344" s="664"/>
      <c r="AA2344" s="665"/>
      <c r="AB2344" s="665"/>
      <c r="AC2344" s="665"/>
      <c r="AD2344" s="665"/>
      <c r="AE2344" s="665"/>
      <c r="AF2344" s="649"/>
      <c r="AG2344" s="650"/>
      <c r="AH2344" s="650"/>
      <c r="AI2344" s="667"/>
    </row>
    <row r="2345" spans="12:35" ht="45" customHeight="1" thickBot="1" x14ac:dyDescent="0.25">
      <c r="L2345" s="645"/>
      <c r="M2345" s="616"/>
      <c r="N2345" s="616"/>
      <c r="O2345" s="616"/>
      <c r="P2345" s="615"/>
      <c r="Q2345" s="616"/>
      <c r="R2345" s="663"/>
      <c r="S2345" s="459"/>
      <c r="T2345" s="459"/>
      <c r="U2345" s="459"/>
      <c r="V2345" s="459"/>
      <c r="W2345" s="459"/>
      <c r="X2345" s="459"/>
      <c r="Y2345" s="666"/>
      <c r="Z2345" s="664"/>
      <c r="AA2345" s="665"/>
      <c r="AB2345" s="665"/>
      <c r="AC2345" s="665"/>
      <c r="AD2345" s="665"/>
      <c r="AE2345" s="665"/>
      <c r="AF2345" s="649"/>
      <c r="AG2345" s="650"/>
      <c r="AH2345" s="650"/>
      <c r="AI2345" s="667"/>
    </row>
    <row r="2346" spans="12:35" ht="45" customHeight="1" thickBot="1" x14ac:dyDescent="0.25">
      <c r="L2346" s="645"/>
      <c r="M2346" s="616"/>
      <c r="N2346" s="616"/>
      <c r="O2346" s="616"/>
      <c r="P2346" s="615"/>
      <c r="Q2346" s="616"/>
      <c r="R2346" s="663"/>
      <c r="S2346" s="459"/>
      <c r="T2346" s="459"/>
      <c r="U2346" s="459"/>
      <c r="V2346" s="459"/>
      <c r="W2346" s="459"/>
      <c r="X2346" s="459"/>
      <c r="Y2346" s="666"/>
      <c r="Z2346" s="664"/>
      <c r="AA2346" s="665"/>
      <c r="AB2346" s="665"/>
      <c r="AC2346" s="665"/>
      <c r="AD2346" s="665"/>
      <c r="AE2346" s="665"/>
      <c r="AF2346" s="649"/>
      <c r="AG2346" s="650"/>
      <c r="AH2346" s="650"/>
      <c r="AI2346" s="667"/>
    </row>
    <row r="2347" spans="12:35" ht="45" customHeight="1" thickBot="1" x14ac:dyDescent="0.25">
      <c r="L2347" s="645"/>
      <c r="M2347" s="616"/>
      <c r="N2347" s="616"/>
      <c r="O2347" s="616"/>
      <c r="P2347" s="615"/>
      <c r="Q2347" s="616"/>
      <c r="R2347" s="663"/>
      <c r="S2347" s="459"/>
      <c r="T2347" s="459"/>
      <c r="U2347" s="459"/>
      <c r="V2347" s="459"/>
      <c r="W2347" s="459"/>
      <c r="X2347" s="459"/>
      <c r="Y2347" s="666"/>
      <c r="Z2347" s="664"/>
      <c r="AA2347" s="665"/>
      <c r="AB2347" s="665"/>
      <c r="AC2347" s="665"/>
      <c r="AD2347" s="665"/>
      <c r="AE2347" s="665"/>
      <c r="AF2347" s="649"/>
      <c r="AG2347" s="650"/>
      <c r="AH2347" s="650"/>
      <c r="AI2347" s="667"/>
    </row>
    <row r="2348" spans="12:35" ht="45" customHeight="1" thickBot="1" x14ac:dyDescent="0.25">
      <c r="L2348" s="645"/>
      <c r="M2348" s="616"/>
      <c r="N2348" s="616"/>
      <c r="O2348" s="616"/>
      <c r="P2348" s="615"/>
      <c r="Q2348" s="616"/>
      <c r="R2348" s="663"/>
      <c r="S2348" s="459"/>
      <c r="T2348" s="459"/>
      <c r="U2348" s="459"/>
      <c r="V2348" s="459"/>
      <c r="W2348" s="459"/>
      <c r="X2348" s="459"/>
      <c r="Y2348" s="666"/>
      <c r="Z2348" s="664"/>
      <c r="AA2348" s="665"/>
      <c r="AB2348" s="665"/>
      <c r="AC2348" s="665"/>
      <c r="AD2348" s="665"/>
      <c r="AE2348" s="665"/>
      <c r="AF2348" s="649"/>
      <c r="AG2348" s="650"/>
      <c r="AH2348" s="650"/>
      <c r="AI2348" s="667"/>
    </row>
    <row r="2349" spans="12:35" ht="45" customHeight="1" thickBot="1" x14ac:dyDescent="0.25">
      <c r="L2349" s="645"/>
      <c r="M2349" s="616"/>
      <c r="N2349" s="616"/>
      <c r="O2349" s="616"/>
      <c r="P2349" s="615"/>
      <c r="Q2349" s="616"/>
      <c r="R2349" s="663"/>
      <c r="S2349" s="459"/>
      <c r="T2349" s="459"/>
      <c r="U2349" s="459"/>
      <c r="V2349" s="459"/>
      <c r="W2349" s="459"/>
      <c r="X2349" s="459"/>
      <c r="Y2349" s="666"/>
      <c r="Z2349" s="664"/>
      <c r="AA2349" s="665"/>
      <c r="AB2349" s="665"/>
      <c r="AC2349" s="665"/>
      <c r="AD2349" s="665"/>
      <c r="AE2349" s="665"/>
      <c r="AF2349" s="649"/>
      <c r="AG2349" s="650"/>
      <c r="AH2349" s="650"/>
      <c r="AI2349" s="667"/>
    </row>
    <row r="2350" spans="12:35" ht="45" customHeight="1" thickBot="1" x14ac:dyDescent="0.25">
      <c r="L2350" s="645"/>
      <c r="M2350" s="616"/>
      <c r="N2350" s="616"/>
      <c r="O2350" s="616"/>
      <c r="P2350" s="615"/>
      <c r="Q2350" s="616"/>
      <c r="R2350" s="663"/>
      <c r="S2350" s="459"/>
      <c r="T2350" s="459"/>
      <c r="U2350" s="459"/>
      <c r="V2350" s="459"/>
      <c r="W2350" s="459"/>
      <c r="X2350" s="459"/>
      <c r="Y2350" s="666"/>
      <c r="Z2350" s="664"/>
      <c r="AA2350" s="665"/>
      <c r="AB2350" s="665"/>
      <c r="AC2350" s="665"/>
      <c r="AD2350" s="665"/>
      <c r="AE2350" s="665"/>
      <c r="AF2350" s="649"/>
      <c r="AG2350" s="650"/>
      <c r="AH2350" s="650"/>
      <c r="AI2350" s="667"/>
    </row>
    <row r="2351" spans="12:35" ht="45" customHeight="1" thickBot="1" x14ac:dyDescent="0.25">
      <c r="L2351" s="645"/>
      <c r="M2351" s="616"/>
      <c r="N2351" s="616"/>
      <c r="O2351" s="616"/>
      <c r="P2351" s="615"/>
      <c r="Q2351" s="616"/>
      <c r="R2351" s="663"/>
      <c r="S2351" s="459"/>
      <c r="T2351" s="459"/>
      <c r="U2351" s="459"/>
      <c r="V2351" s="459"/>
      <c r="W2351" s="459"/>
      <c r="X2351" s="459"/>
      <c r="Y2351" s="666"/>
      <c r="Z2351" s="664"/>
      <c r="AA2351" s="665"/>
      <c r="AB2351" s="665"/>
      <c r="AC2351" s="665"/>
      <c r="AD2351" s="665"/>
      <c r="AE2351" s="665"/>
      <c r="AF2351" s="649"/>
      <c r="AG2351" s="650"/>
      <c r="AH2351" s="650"/>
      <c r="AI2351" s="667"/>
    </row>
    <row r="2352" spans="12:35" ht="45" customHeight="1" thickBot="1" x14ac:dyDescent="0.25">
      <c r="L2352" s="645"/>
      <c r="M2352" s="616"/>
      <c r="N2352" s="616"/>
      <c r="O2352" s="616"/>
      <c r="P2352" s="615"/>
      <c r="Q2352" s="616"/>
      <c r="R2352" s="663"/>
      <c r="S2352" s="459"/>
      <c r="T2352" s="459"/>
      <c r="U2352" s="459"/>
      <c r="V2352" s="459"/>
      <c r="W2352" s="459"/>
      <c r="X2352" s="459"/>
      <c r="Y2352" s="666"/>
      <c r="Z2352" s="664"/>
      <c r="AA2352" s="665"/>
      <c r="AB2352" s="665"/>
      <c r="AC2352" s="665"/>
      <c r="AD2352" s="665"/>
      <c r="AE2352" s="665"/>
      <c r="AF2352" s="649"/>
      <c r="AG2352" s="650"/>
      <c r="AH2352" s="650"/>
      <c r="AI2352" s="667"/>
    </row>
    <row r="2353" spans="12:35" ht="45" customHeight="1" thickBot="1" x14ac:dyDescent="0.25">
      <c r="L2353" s="645"/>
      <c r="M2353" s="616"/>
      <c r="N2353" s="616"/>
      <c r="O2353" s="616"/>
      <c r="P2353" s="615"/>
      <c r="Q2353" s="616"/>
      <c r="R2353" s="663"/>
      <c r="S2353" s="459"/>
      <c r="T2353" s="459"/>
      <c r="U2353" s="459"/>
      <c r="V2353" s="459"/>
      <c r="W2353" s="459"/>
      <c r="X2353" s="459"/>
      <c r="Y2353" s="666"/>
      <c r="Z2353" s="664"/>
      <c r="AA2353" s="665"/>
      <c r="AB2353" s="665"/>
      <c r="AC2353" s="665"/>
      <c r="AD2353" s="665"/>
      <c r="AE2353" s="665"/>
      <c r="AF2353" s="649"/>
      <c r="AG2353" s="650"/>
      <c r="AH2353" s="650"/>
      <c r="AI2353" s="667"/>
    </row>
    <row r="2354" spans="12:35" ht="45" customHeight="1" thickBot="1" x14ac:dyDescent="0.25">
      <c r="L2354" s="645"/>
      <c r="M2354" s="616"/>
      <c r="N2354" s="616"/>
      <c r="O2354" s="616"/>
      <c r="P2354" s="615"/>
      <c r="Q2354" s="616"/>
      <c r="R2354" s="663"/>
      <c r="S2354" s="459"/>
      <c r="T2354" s="459"/>
      <c r="U2354" s="459"/>
      <c r="V2354" s="459"/>
      <c r="W2354" s="459"/>
      <c r="X2354" s="459"/>
      <c r="Y2354" s="666"/>
      <c r="Z2354" s="664"/>
      <c r="AA2354" s="665"/>
      <c r="AB2354" s="665"/>
      <c r="AC2354" s="665"/>
      <c r="AD2354" s="665"/>
      <c r="AE2354" s="665"/>
      <c r="AF2354" s="649"/>
      <c r="AG2354" s="650"/>
      <c r="AH2354" s="650"/>
      <c r="AI2354" s="667"/>
    </row>
    <row r="2355" spans="12:35" ht="45" customHeight="1" thickBot="1" x14ac:dyDescent="0.25">
      <c r="L2355" s="645"/>
      <c r="M2355" s="616"/>
      <c r="N2355" s="616"/>
      <c r="O2355" s="616"/>
      <c r="P2355" s="615"/>
      <c r="Q2355" s="616"/>
      <c r="R2355" s="663"/>
      <c r="S2355" s="459"/>
      <c r="T2355" s="459"/>
      <c r="U2355" s="459"/>
      <c r="V2355" s="459"/>
      <c r="W2355" s="459"/>
      <c r="X2355" s="459"/>
      <c r="Y2355" s="666"/>
      <c r="Z2355" s="664"/>
      <c r="AA2355" s="665"/>
      <c r="AB2355" s="665"/>
      <c r="AC2355" s="665"/>
      <c r="AD2355" s="665"/>
      <c r="AE2355" s="665"/>
      <c r="AF2355" s="649"/>
      <c r="AG2355" s="650"/>
      <c r="AH2355" s="650"/>
      <c r="AI2355" s="667"/>
    </row>
    <row r="2356" spans="12:35" ht="45" customHeight="1" thickBot="1" x14ac:dyDescent="0.25">
      <c r="L2356" s="645"/>
      <c r="M2356" s="616"/>
      <c r="N2356" s="616"/>
      <c r="O2356" s="616"/>
      <c r="P2356" s="615"/>
      <c r="Q2356" s="616"/>
      <c r="R2356" s="663"/>
      <c r="S2356" s="459"/>
      <c r="T2356" s="459"/>
      <c r="U2356" s="459"/>
      <c r="V2356" s="459"/>
      <c r="W2356" s="459"/>
      <c r="X2356" s="459"/>
      <c r="Y2356" s="666"/>
      <c r="Z2356" s="664"/>
      <c r="AA2356" s="665"/>
      <c r="AB2356" s="665"/>
      <c r="AC2356" s="665"/>
      <c r="AD2356" s="665"/>
      <c r="AE2356" s="665"/>
      <c r="AF2356" s="649"/>
      <c r="AG2356" s="650"/>
      <c r="AH2356" s="650"/>
      <c r="AI2356" s="667"/>
    </row>
    <row r="2357" spans="12:35" ht="45" customHeight="1" thickBot="1" x14ac:dyDescent="0.25">
      <c r="L2357" s="645"/>
      <c r="M2357" s="616"/>
      <c r="N2357" s="616"/>
      <c r="O2357" s="616"/>
      <c r="P2357" s="615"/>
      <c r="Q2357" s="616"/>
      <c r="R2357" s="663"/>
      <c r="S2357" s="459"/>
      <c r="T2357" s="459"/>
      <c r="U2357" s="459"/>
      <c r="V2357" s="459"/>
      <c r="W2357" s="459"/>
      <c r="X2357" s="459"/>
      <c r="Y2357" s="666"/>
      <c r="Z2357" s="664"/>
      <c r="AA2357" s="665"/>
      <c r="AB2357" s="665"/>
      <c r="AC2357" s="665"/>
      <c r="AD2357" s="665"/>
      <c r="AE2357" s="665"/>
      <c r="AF2357" s="649"/>
      <c r="AG2357" s="650"/>
      <c r="AH2357" s="650"/>
      <c r="AI2357" s="667"/>
    </row>
    <row r="2358" spans="12:35" ht="45" customHeight="1" thickBot="1" x14ac:dyDescent="0.25">
      <c r="L2358" s="645"/>
      <c r="M2358" s="616"/>
      <c r="N2358" s="616"/>
      <c r="O2358" s="616"/>
      <c r="P2358" s="615"/>
      <c r="Q2358" s="616"/>
      <c r="R2358" s="663"/>
      <c r="S2358" s="459"/>
      <c r="T2358" s="459"/>
      <c r="U2358" s="459"/>
      <c r="V2358" s="459"/>
      <c r="W2358" s="459"/>
      <c r="X2358" s="459"/>
      <c r="Y2358" s="666"/>
      <c r="Z2358" s="664"/>
      <c r="AA2358" s="665"/>
      <c r="AB2358" s="665"/>
      <c r="AC2358" s="665"/>
      <c r="AD2358" s="665"/>
      <c r="AE2358" s="665"/>
      <c r="AF2358" s="649"/>
      <c r="AG2358" s="650"/>
      <c r="AH2358" s="650"/>
      <c r="AI2358" s="667"/>
    </row>
    <row r="2359" spans="12:35" ht="45" customHeight="1" thickBot="1" x14ac:dyDescent="0.25">
      <c r="L2359" s="645"/>
      <c r="M2359" s="616"/>
      <c r="N2359" s="616"/>
      <c r="O2359" s="616"/>
      <c r="P2359" s="615"/>
      <c r="Q2359" s="616"/>
      <c r="R2359" s="663"/>
      <c r="S2359" s="459"/>
      <c r="T2359" s="459"/>
      <c r="U2359" s="459"/>
      <c r="V2359" s="459"/>
      <c r="W2359" s="459"/>
      <c r="X2359" s="459"/>
      <c r="Y2359" s="666"/>
      <c r="Z2359" s="664"/>
      <c r="AA2359" s="665"/>
      <c r="AB2359" s="665"/>
      <c r="AC2359" s="665"/>
      <c r="AD2359" s="665"/>
      <c r="AE2359" s="665"/>
      <c r="AF2359" s="649"/>
      <c r="AG2359" s="650"/>
      <c r="AH2359" s="650"/>
      <c r="AI2359" s="667"/>
    </row>
    <row r="2360" spans="12:35" ht="45" customHeight="1" thickBot="1" x14ac:dyDescent="0.25">
      <c r="L2360" s="645"/>
      <c r="M2360" s="616"/>
      <c r="N2360" s="616"/>
      <c r="O2360" s="616"/>
      <c r="P2360" s="615"/>
      <c r="Q2360" s="616"/>
      <c r="R2360" s="663"/>
      <c r="S2360" s="459"/>
      <c r="T2360" s="459"/>
      <c r="U2360" s="459"/>
      <c r="V2360" s="459"/>
      <c r="W2360" s="459"/>
      <c r="X2360" s="459"/>
      <c r="Y2360" s="666"/>
      <c r="Z2360" s="664"/>
      <c r="AA2360" s="665"/>
      <c r="AB2360" s="665"/>
      <c r="AC2360" s="665"/>
      <c r="AD2360" s="665"/>
      <c r="AE2360" s="665"/>
      <c r="AF2360" s="649"/>
      <c r="AG2360" s="650"/>
      <c r="AH2360" s="650"/>
      <c r="AI2360" s="667"/>
    </row>
    <row r="2361" spans="12:35" ht="45" customHeight="1" thickBot="1" x14ac:dyDescent="0.25">
      <c r="L2361" s="645"/>
      <c r="M2361" s="616"/>
      <c r="N2361" s="616"/>
      <c r="O2361" s="616"/>
      <c r="P2361" s="615"/>
      <c r="Q2361" s="616"/>
      <c r="R2361" s="663"/>
      <c r="S2361" s="459"/>
      <c r="T2361" s="459"/>
      <c r="U2361" s="459"/>
      <c r="V2361" s="459"/>
      <c r="W2361" s="459"/>
      <c r="X2361" s="459"/>
      <c r="Y2361" s="666"/>
      <c r="Z2361" s="664"/>
      <c r="AA2361" s="665"/>
      <c r="AB2361" s="665"/>
      <c r="AC2361" s="665"/>
      <c r="AD2361" s="665"/>
      <c r="AE2361" s="665"/>
      <c r="AF2361" s="649"/>
      <c r="AG2361" s="650"/>
      <c r="AH2361" s="650"/>
      <c r="AI2361" s="667"/>
    </row>
    <row r="2362" spans="12:35" ht="45" customHeight="1" thickBot="1" x14ac:dyDescent="0.25">
      <c r="L2362" s="645"/>
      <c r="M2362" s="616"/>
      <c r="N2362" s="616"/>
      <c r="O2362" s="616"/>
      <c r="P2362" s="615"/>
      <c r="Q2362" s="616"/>
      <c r="R2362" s="663"/>
      <c r="S2362" s="459"/>
      <c r="T2362" s="459"/>
      <c r="U2362" s="459"/>
      <c r="V2362" s="459"/>
      <c r="W2362" s="459"/>
      <c r="X2362" s="459"/>
      <c r="Y2362" s="666"/>
      <c r="Z2362" s="664"/>
      <c r="AA2362" s="665"/>
      <c r="AB2362" s="665"/>
      <c r="AC2362" s="665"/>
      <c r="AD2362" s="665"/>
      <c r="AE2362" s="665"/>
      <c r="AF2362" s="649"/>
      <c r="AG2362" s="650"/>
      <c r="AH2362" s="650"/>
      <c r="AI2362" s="667"/>
    </row>
    <row r="2363" spans="12:35" ht="45" customHeight="1" thickBot="1" x14ac:dyDescent="0.25">
      <c r="L2363" s="645"/>
      <c r="M2363" s="616"/>
      <c r="N2363" s="616"/>
      <c r="O2363" s="616"/>
      <c r="P2363" s="615"/>
      <c r="Q2363" s="616"/>
      <c r="R2363" s="663"/>
      <c r="S2363" s="459"/>
      <c r="T2363" s="459"/>
      <c r="U2363" s="459"/>
      <c r="V2363" s="459"/>
      <c r="W2363" s="459"/>
      <c r="X2363" s="459"/>
      <c r="Y2363" s="666"/>
      <c r="Z2363" s="664"/>
      <c r="AA2363" s="665"/>
      <c r="AB2363" s="665"/>
      <c r="AC2363" s="665"/>
      <c r="AD2363" s="665"/>
      <c r="AE2363" s="665"/>
      <c r="AF2363" s="649"/>
      <c r="AG2363" s="650"/>
      <c r="AH2363" s="650"/>
      <c r="AI2363" s="667"/>
    </row>
    <row r="2364" spans="12:35" ht="45" customHeight="1" thickBot="1" x14ac:dyDescent="0.25">
      <c r="L2364" s="645"/>
      <c r="M2364" s="616"/>
      <c r="N2364" s="616"/>
      <c r="O2364" s="616"/>
      <c r="P2364" s="615"/>
      <c r="Q2364" s="616"/>
      <c r="R2364" s="663"/>
      <c r="S2364" s="459"/>
      <c r="T2364" s="459"/>
      <c r="U2364" s="459"/>
      <c r="V2364" s="459"/>
      <c r="W2364" s="459"/>
      <c r="X2364" s="459"/>
      <c r="Y2364" s="666"/>
      <c r="Z2364" s="664"/>
      <c r="AA2364" s="665"/>
      <c r="AB2364" s="665"/>
      <c r="AC2364" s="665"/>
      <c r="AD2364" s="665"/>
      <c r="AE2364" s="665"/>
      <c r="AF2364" s="649"/>
      <c r="AG2364" s="650"/>
      <c r="AH2364" s="650"/>
      <c r="AI2364" s="667"/>
    </row>
    <row r="2365" spans="12:35" ht="45" customHeight="1" thickBot="1" x14ac:dyDescent="0.25">
      <c r="L2365" s="645"/>
      <c r="M2365" s="616"/>
      <c r="N2365" s="616"/>
      <c r="O2365" s="616"/>
      <c r="P2365" s="615"/>
      <c r="Q2365" s="616"/>
      <c r="R2365" s="663"/>
      <c r="S2365" s="459"/>
      <c r="T2365" s="459"/>
      <c r="U2365" s="459"/>
      <c r="V2365" s="459"/>
      <c r="W2365" s="459"/>
      <c r="X2365" s="459"/>
      <c r="Y2365" s="666"/>
      <c r="Z2365" s="664"/>
      <c r="AA2365" s="665"/>
      <c r="AB2365" s="665"/>
      <c r="AC2365" s="665"/>
      <c r="AD2365" s="665"/>
      <c r="AE2365" s="665"/>
      <c r="AF2365" s="649"/>
      <c r="AG2365" s="650"/>
      <c r="AH2365" s="650"/>
      <c r="AI2365" s="667"/>
    </row>
    <row r="2366" spans="12:35" ht="45" customHeight="1" thickBot="1" x14ac:dyDescent="0.25">
      <c r="L2366" s="645"/>
      <c r="M2366" s="616"/>
      <c r="N2366" s="616"/>
      <c r="O2366" s="616"/>
      <c r="P2366" s="615"/>
      <c r="Q2366" s="616"/>
      <c r="R2366" s="663"/>
      <c r="S2366" s="459"/>
      <c r="T2366" s="459"/>
      <c r="U2366" s="459"/>
      <c r="V2366" s="459"/>
      <c r="W2366" s="459"/>
      <c r="X2366" s="459"/>
      <c r="Y2366" s="666"/>
      <c r="Z2366" s="664"/>
      <c r="AA2366" s="665"/>
      <c r="AB2366" s="665"/>
      <c r="AC2366" s="665"/>
      <c r="AD2366" s="665"/>
      <c r="AE2366" s="665"/>
      <c r="AF2366" s="649"/>
      <c r="AG2366" s="650"/>
      <c r="AH2366" s="650"/>
      <c r="AI2366" s="667"/>
    </row>
    <row r="2367" spans="12:35" ht="45" customHeight="1" thickBot="1" x14ac:dyDescent="0.25">
      <c r="L2367" s="645"/>
      <c r="M2367" s="616"/>
      <c r="N2367" s="616"/>
      <c r="O2367" s="616"/>
      <c r="P2367" s="615"/>
      <c r="Q2367" s="616"/>
      <c r="R2367" s="663"/>
      <c r="S2367" s="459"/>
      <c r="T2367" s="459"/>
      <c r="U2367" s="459"/>
      <c r="V2367" s="459"/>
      <c r="W2367" s="459"/>
      <c r="X2367" s="459"/>
      <c r="Y2367" s="666"/>
      <c r="Z2367" s="664"/>
      <c r="AA2367" s="665"/>
      <c r="AB2367" s="665"/>
      <c r="AC2367" s="665"/>
      <c r="AD2367" s="665"/>
      <c r="AE2367" s="665"/>
      <c r="AF2367" s="649"/>
      <c r="AG2367" s="650"/>
      <c r="AH2367" s="650"/>
      <c r="AI2367" s="667"/>
    </row>
    <row r="2368" spans="12:35" ht="45" customHeight="1" thickBot="1" x14ac:dyDescent="0.25">
      <c r="L2368" s="645"/>
      <c r="M2368" s="616"/>
      <c r="N2368" s="616"/>
      <c r="O2368" s="616"/>
      <c r="P2368" s="615"/>
      <c r="Q2368" s="616"/>
      <c r="R2368" s="663"/>
      <c r="S2368" s="459"/>
      <c r="T2368" s="459"/>
      <c r="U2368" s="459"/>
      <c r="V2368" s="459"/>
      <c r="W2368" s="459"/>
      <c r="X2368" s="459"/>
      <c r="Y2368" s="666"/>
      <c r="Z2368" s="664"/>
      <c r="AA2368" s="665"/>
      <c r="AB2368" s="665"/>
      <c r="AC2368" s="665"/>
      <c r="AD2368" s="665"/>
      <c r="AE2368" s="665"/>
      <c r="AF2368" s="649"/>
      <c r="AG2368" s="650"/>
      <c r="AH2368" s="650"/>
      <c r="AI2368" s="667"/>
    </row>
    <row r="2369" spans="12:35" ht="45" customHeight="1" thickBot="1" x14ac:dyDescent="0.25">
      <c r="L2369" s="645"/>
      <c r="M2369" s="616"/>
      <c r="N2369" s="616"/>
      <c r="O2369" s="616"/>
      <c r="P2369" s="615"/>
      <c r="Q2369" s="616"/>
      <c r="R2369" s="663"/>
      <c r="S2369" s="459"/>
      <c r="T2369" s="459"/>
      <c r="U2369" s="459"/>
      <c r="V2369" s="459"/>
      <c r="W2369" s="459"/>
      <c r="X2369" s="459"/>
      <c r="Y2369" s="666"/>
      <c r="Z2369" s="664"/>
      <c r="AA2369" s="665"/>
      <c r="AB2369" s="665"/>
      <c r="AC2369" s="665"/>
      <c r="AD2369" s="665"/>
      <c r="AE2369" s="665"/>
      <c r="AF2369" s="649"/>
      <c r="AG2369" s="650"/>
      <c r="AH2369" s="650"/>
      <c r="AI2369" s="667"/>
    </row>
    <row r="2370" spans="12:35" ht="45" customHeight="1" thickBot="1" x14ac:dyDescent="0.25">
      <c r="L2370" s="645"/>
      <c r="M2370" s="616"/>
      <c r="N2370" s="616"/>
      <c r="O2370" s="616"/>
      <c r="P2370" s="615"/>
      <c r="Q2370" s="616"/>
      <c r="R2370" s="663"/>
      <c r="S2370" s="459"/>
      <c r="T2370" s="459"/>
      <c r="U2370" s="459"/>
      <c r="V2370" s="459"/>
      <c r="W2370" s="459"/>
      <c r="X2370" s="459"/>
      <c r="Y2370" s="666"/>
      <c r="Z2370" s="664"/>
      <c r="AA2370" s="665"/>
      <c r="AB2370" s="665"/>
      <c r="AC2370" s="665"/>
      <c r="AD2370" s="665"/>
      <c r="AE2370" s="665"/>
      <c r="AF2370" s="649"/>
      <c r="AG2370" s="650"/>
      <c r="AH2370" s="650"/>
      <c r="AI2370" s="667"/>
    </row>
    <row r="2371" spans="12:35" ht="45" customHeight="1" thickBot="1" x14ac:dyDescent="0.25">
      <c r="L2371" s="645"/>
      <c r="M2371" s="616"/>
      <c r="N2371" s="616"/>
      <c r="O2371" s="616"/>
      <c r="P2371" s="615"/>
      <c r="Q2371" s="616"/>
      <c r="R2371" s="663"/>
      <c r="S2371" s="459"/>
      <c r="T2371" s="459"/>
      <c r="U2371" s="459"/>
      <c r="V2371" s="459"/>
      <c r="W2371" s="459"/>
      <c r="X2371" s="459"/>
      <c r="Y2371" s="666"/>
      <c r="Z2371" s="664"/>
      <c r="AA2371" s="665"/>
      <c r="AB2371" s="665"/>
      <c r="AC2371" s="665"/>
      <c r="AD2371" s="665"/>
      <c r="AE2371" s="665"/>
      <c r="AF2371" s="649"/>
      <c r="AG2371" s="650"/>
      <c r="AH2371" s="650"/>
      <c r="AI2371" s="667"/>
    </row>
    <row r="2372" spans="12:35" ht="45" customHeight="1" thickBot="1" x14ac:dyDescent="0.25">
      <c r="L2372" s="645"/>
      <c r="M2372" s="616"/>
      <c r="N2372" s="616"/>
      <c r="O2372" s="616"/>
      <c r="P2372" s="615"/>
      <c r="Q2372" s="616"/>
      <c r="R2372" s="663"/>
      <c r="S2372" s="459"/>
      <c r="T2372" s="459"/>
      <c r="U2372" s="459"/>
      <c r="V2372" s="459"/>
      <c r="W2372" s="459"/>
      <c r="X2372" s="459"/>
      <c r="Y2372" s="666"/>
      <c r="Z2372" s="664"/>
      <c r="AA2372" s="665"/>
      <c r="AB2372" s="665"/>
      <c r="AC2372" s="665"/>
      <c r="AD2372" s="665"/>
      <c r="AE2372" s="665"/>
      <c r="AF2372" s="649"/>
      <c r="AG2372" s="650"/>
      <c r="AH2372" s="650"/>
      <c r="AI2372" s="667"/>
    </row>
    <row r="2373" spans="12:35" ht="45" customHeight="1" thickBot="1" x14ac:dyDescent="0.25">
      <c r="L2373" s="645"/>
      <c r="M2373" s="616"/>
      <c r="N2373" s="616"/>
      <c r="O2373" s="616"/>
      <c r="P2373" s="615"/>
      <c r="Q2373" s="616"/>
      <c r="R2373" s="663"/>
      <c r="S2373" s="459"/>
      <c r="T2373" s="459"/>
      <c r="U2373" s="459"/>
      <c r="V2373" s="459"/>
      <c r="W2373" s="459"/>
      <c r="X2373" s="459"/>
      <c r="Y2373" s="666"/>
      <c r="Z2373" s="664"/>
      <c r="AA2373" s="665"/>
      <c r="AB2373" s="665"/>
      <c r="AC2373" s="665"/>
      <c r="AD2373" s="665"/>
      <c r="AE2373" s="665"/>
      <c r="AF2373" s="649"/>
      <c r="AG2373" s="650"/>
      <c r="AH2373" s="650"/>
      <c r="AI2373" s="667"/>
    </row>
    <row r="2374" spans="12:35" ht="45" customHeight="1" thickBot="1" x14ac:dyDescent="0.25">
      <c r="L2374" s="645"/>
      <c r="M2374" s="616"/>
      <c r="N2374" s="616"/>
      <c r="O2374" s="616"/>
      <c r="P2374" s="615"/>
      <c r="Q2374" s="616"/>
      <c r="R2374" s="663"/>
      <c r="S2374" s="459"/>
      <c r="T2374" s="459"/>
      <c r="U2374" s="459"/>
      <c r="V2374" s="459"/>
      <c r="W2374" s="459"/>
      <c r="X2374" s="459"/>
      <c r="Y2374" s="666"/>
      <c r="Z2374" s="664"/>
      <c r="AA2374" s="665"/>
      <c r="AB2374" s="665"/>
      <c r="AC2374" s="665"/>
      <c r="AD2374" s="665"/>
      <c r="AE2374" s="665"/>
      <c r="AF2374" s="649"/>
      <c r="AG2374" s="650"/>
      <c r="AH2374" s="650"/>
      <c r="AI2374" s="667"/>
    </row>
    <row r="2375" spans="12:35" ht="45" customHeight="1" thickBot="1" x14ac:dyDescent="0.25">
      <c r="L2375" s="645"/>
      <c r="M2375" s="616"/>
      <c r="N2375" s="616"/>
      <c r="O2375" s="616"/>
      <c r="P2375" s="615"/>
      <c r="Q2375" s="616"/>
      <c r="R2375" s="663"/>
      <c r="S2375" s="459"/>
      <c r="T2375" s="459"/>
      <c r="U2375" s="459"/>
      <c r="V2375" s="459"/>
      <c r="W2375" s="459"/>
      <c r="X2375" s="459"/>
      <c r="Y2375" s="666"/>
      <c r="Z2375" s="664"/>
      <c r="AA2375" s="665"/>
      <c r="AB2375" s="665"/>
      <c r="AC2375" s="665"/>
      <c r="AD2375" s="665"/>
      <c r="AE2375" s="665"/>
      <c r="AF2375" s="649"/>
      <c r="AG2375" s="650"/>
      <c r="AH2375" s="650"/>
      <c r="AI2375" s="667"/>
    </row>
    <row r="2376" spans="12:35" ht="45" customHeight="1" thickBot="1" x14ac:dyDescent="0.25">
      <c r="L2376" s="645"/>
      <c r="M2376" s="616"/>
      <c r="N2376" s="616"/>
      <c r="O2376" s="616"/>
      <c r="P2376" s="615"/>
      <c r="Q2376" s="616"/>
      <c r="R2376" s="663"/>
      <c r="S2376" s="459"/>
      <c r="T2376" s="459"/>
      <c r="U2376" s="459"/>
      <c r="V2376" s="459"/>
      <c r="W2376" s="459"/>
      <c r="X2376" s="459"/>
      <c r="Y2376" s="666"/>
      <c r="Z2376" s="664"/>
      <c r="AA2376" s="665"/>
      <c r="AB2376" s="665"/>
      <c r="AC2376" s="665"/>
      <c r="AD2376" s="665"/>
      <c r="AE2376" s="665"/>
      <c r="AF2376" s="649"/>
      <c r="AG2376" s="650"/>
      <c r="AH2376" s="650"/>
      <c r="AI2376" s="667"/>
    </row>
    <row r="2377" spans="12:35" ht="45" customHeight="1" thickBot="1" x14ac:dyDescent="0.25">
      <c r="L2377" s="645"/>
      <c r="M2377" s="616"/>
      <c r="N2377" s="616"/>
      <c r="O2377" s="616"/>
      <c r="P2377" s="615"/>
      <c r="Q2377" s="616"/>
      <c r="R2377" s="663"/>
      <c r="S2377" s="459"/>
      <c r="T2377" s="459"/>
      <c r="U2377" s="459"/>
      <c r="V2377" s="459"/>
      <c r="W2377" s="459"/>
      <c r="X2377" s="459"/>
      <c r="Y2377" s="666"/>
      <c r="Z2377" s="664"/>
      <c r="AA2377" s="665"/>
      <c r="AB2377" s="665"/>
      <c r="AC2377" s="665"/>
      <c r="AD2377" s="665"/>
      <c r="AE2377" s="665"/>
      <c r="AF2377" s="649"/>
      <c r="AG2377" s="650"/>
      <c r="AH2377" s="650"/>
      <c r="AI2377" s="667"/>
    </row>
    <row r="2378" spans="12:35" ht="45" customHeight="1" thickBot="1" x14ac:dyDescent="0.25">
      <c r="L2378" s="645"/>
      <c r="M2378" s="616"/>
      <c r="N2378" s="616"/>
      <c r="O2378" s="616"/>
      <c r="P2378" s="615"/>
      <c r="Q2378" s="616"/>
      <c r="R2378" s="663"/>
      <c r="S2378" s="459"/>
      <c r="T2378" s="459"/>
      <c r="U2378" s="459"/>
      <c r="V2378" s="459"/>
      <c r="W2378" s="459"/>
      <c r="X2378" s="459"/>
      <c r="Y2378" s="666"/>
      <c r="Z2378" s="664"/>
      <c r="AA2378" s="665"/>
      <c r="AB2378" s="665"/>
      <c r="AC2378" s="665"/>
      <c r="AD2378" s="665"/>
      <c r="AE2378" s="665"/>
      <c r="AF2378" s="649"/>
      <c r="AG2378" s="650"/>
      <c r="AH2378" s="650"/>
      <c r="AI2378" s="667"/>
    </row>
    <row r="2379" spans="12:35" ht="45" customHeight="1" thickBot="1" x14ac:dyDescent="0.25">
      <c r="L2379" s="645"/>
      <c r="M2379" s="616"/>
      <c r="N2379" s="616"/>
      <c r="O2379" s="616"/>
      <c r="P2379" s="615"/>
      <c r="Q2379" s="616"/>
      <c r="R2379" s="663"/>
      <c r="S2379" s="459"/>
      <c r="T2379" s="459"/>
      <c r="U2379" s="459"/>
      <c r="V2379" s="459"/>
      <c r="W2379" s="459"/>
      <c r="X2379" s="459"/>
      <c r="Y2379" s="666"/>
      <c r="Z2379" s="664"/>
      <c r="AA2379" s="665"/>
      <c r="AB2379" s="665"/>
      <c r="AC2379" s="665"/>
      <c r="AD2379" s="665"/>
      <c r="AE2379" s="665"/>
      <c r="AF2379" s="649"/>
      <c r="AG2379" s="650"/>
      <c r="AH2379" s="650"/>
      <c r="AI2379" s="667"/>
    </row>
    <row r="2380" spans="12:35" ht="45" customHeight="1" thickBot="1" x14ac:dyDescent="0.25">
      <c r="L2380" s="645"/>
      <c r="M2380" s="616"/>
      <c r="N2380" s="616"/>
      <c r="O2380" s="616"/>
      <c r="P2380" s="615"/>
      <c r="Q2380" s="616"/>
      <c r="R2380" s="663"/>
      <c r="S2380" s="459"/>
      <c r="T2380" s="459"/>
      <c r="U2380" s="459"/>
      <c r="V2380" s="459"/>
      <c r="W2380" s="459"/>
      <c r="X2380" s="459"/>
      <c r="Y2380" s="666"/>
      <c r="Z2380" s="664"/>
      <c r="AA2380" s="665"/>
      <c r="AB2380" s="665"/>
      <c r="AC2380" s="665"/>
      <c r="AD2380" s="665"/>
      <c r="AE2380" s="665"/>
      <c r="AF2380" s="649"/>
      <c r="AG2380" s="650"/>
      <c r="AH2380" s="650"/>
      <c r="AI2380" s="667"/>
    </row>
    <row r="2381" spans="12:35" ht="45" customHeight="1" thickBot="1" x14ac:dyDescent="0.25">
      <c r="L2381" s="645"/>
      <c r="M2381" s="616"/>
      <c r="N2381" s="616"/>
      <c r="O2381" s="616"/>
      <c r="P2381" s="615"/>
      <c r="Q2381" s="616"/>
      <c r="R2381" s="663"/>
      <c r="S2381" s="459"/>
      <c r="T2381" s="459"/>
      <c r="U2381" s="459"/>
      <c r="V2381" s="459"/>
      <c r="W2381" s="459"/>
      <c r="X2381" s="459"/>
      <c r="Y2381" s="666"/>
      <c r="Z2381" s="664"/>
      <c r="AA2381" s="665"/>
      <c r="AB2381" s="665"/>
      <c r="AC2381" s="665"/>
      <c r="AD2381" s="665"/>
      <c r="AE2381" s="665"/>
      <c r="AF2381" s="649"/>
      <c r="AG2381" s="650"/>
      <c r="AH2381" s="650"/>
      <c r="AI2381" s="667"/>
    </row>
    <row r="2382" spans="12:35" ht="45" customHeight="1" thickBot="1" x14ac:dyDescent="0.25">
      <c r="L2382" s="645"/>
      <c r="M2382" s="616"/>
      <c r="N2382" s="616"/>
      <c r="O2382" s="616"/>
      <c r="P2382" s="615"/>
      <c r="Q2382" s="616"/>
      <c r="R2382" s="663"/>
      <c r="S2382" s="459"/>
      <c r="T2382" s="459"/>
      <c r="U2382" s="459"/>
      <c r="V2382" s="459"/>
      <c r="W2382" s="459"/>
      <c r="X2382" s="459"/>
      <c r="Y2382" s="666"/>
      <c r="Z2382" s="664"/>
      <c r="AA2382" s="665"/>
      <c r="AB2382" s="665"/>
      <c r="AC2382" s="665"/>
      <c r="AD2382" s="665"/>
      <c r="AE2382" s="665"/>
      <c r="AF2382" s="649"/>
      <c r="AG2382" s="650"/>
      <c r="AH2382" s="650"/>
      <c r="AI2382" s="667"/>
    </row>
    <row r="2383" spans="12:35" ht="45" customHeight="1" thickBot="1" x14ac:dyDescent="0.25">
      <c r="L2383" s="645"/>
      <c r="M2383" s="616"/>
      <c r="N2383" s="616"/>
      <c r="O2383" s="616"/>
      <c r="P2383" s="615"/>
      <c r="Q2383" s="616"/>
      <c r="R2383" s="663"/>
      <c r="S2383" s="459"/>
      <c r="T2383" s="459"/>
      <c r="U2383" s="459"/>
      <c r="V2383" s="459"/>
      <c r="W2383" s="459"/>
      <c r="X2383" s="459"/>
      <c r="Y2383" s="666"/>
      <c r="Z2383" s="664"/>
      <c r="AA2383" s="665"/>
      <c r="AB2383" s="665"/>
      <c r="AC2383" s="665"/>
      <c r="AD2383" s="665"/>
      <c r="AE2383" s="665"/>
      <c r="AF2383" s="649"/>
      <c r="AG2383" s="650"/>
      <c r="AH2383" s="650"/>
      <c r="AI2383" s="667"/>
    </row>
    <row r="2384" spans="12:35" ht="45" customHeight="1" thickBot="1" x14ac:dyDescent="0.25">
      <c r="L2384" s="645"/>
      <c r="M2384" s="616"/>
      <c r="N2384" s="616"/>
      <c r="O2384" s="616"/>
      <c r="P2384" s="615"/>
      <c r="Q2384" s="616"/>
      <c r="R2384" s="663"/>
      <c r="S2384" s="459"/>
      <c r="T2384" s="459"/>
      <c r="U2384" s="459"/>
      <c r="V2384" s="459"/>
      <c r="W2384" s="459"/>
      <c r="X2384" s="459"/>
      <c r="Y2384" s="666"/>
      <c r="Z2384" s="664"/>
      <c r="AA2384" s="665"/>
      <c r="AB2384" s="665"/>
      <c r="AC2384" s="665"/>
      <c r="AD2384" s="665"/>
      <c r="AE2384" s="665"/>
      <c r="AF2384" s="649"/>
      <c r="AG2384" s="650"/>
      <c r="AH2384" s="650"/>
      <c r="AI2384" s="667"/>
    </row>
    <row r="2385" spans="12:35" ht="45" customHeight="1" thickBot="1" x14ac:dyDescent="0.25">
      <c r="L2385" s="645"/>
      <c r="M2385" s="616"/>
      <c r="N2385" s="616"/>
      <c r="O2385" s="616"/>
      <c r="P2385" s="615"/>
      <c r="Q2385" s="616"/>
      <c r="R2385" s="663"/>
      <c r="S2385" s="459"/>
      <c r="T2385" s="459"/>
      <c r="U2385" s="459"/>
      <c r="V2385" s="459"/>
      <c r="W2385" s="459"/>
      <c r="X2385" s="459"/>
      <c r="Y2385" s="666"/>
      <c r="Z2385" s="664"/>
      <c r="AA2385" s="665"/>
      <c r="AB2385" s="665"/>
      <c r="AC2385" s="665"/>
      <c r="AD2385" s="665"/>
      <c r="AE2385" s="665"/>
      <c r="AF2385" s="649"/>
      <c r="AG2385" s="650"/>
      <c r="AH2385" s="650"/>
      <c r="AI2385" s="667"/>
    </row>
    <row r="2386" spans="12:35" ht="45" customHeight="1" thickBot="1" x14ac:dyDescent="0.25">
      <c r="L2386" s="645"/>
      <c r="M2386" s="616"/>
      <c r="N2386" s="616"/>
      <c r="O2386" s="616"/>
      <c r="P2386" s="615"/>
      <c r="Q2386" s="616"/>
      <c r="R2386" s="663"/>
      <c r="S2386" s="459"/>
      <c r="T2386" s="459"/>
      <c r="U2386" s="459"/>
      <c r="V2386" s="459"/>
      <c r="W2386" s="459"/>
      <c r="X2386" s="459"/>
      <c r="Y2386" s="666"/>
      <c r="Z2386" s="664"/>
      <c r="AA2386" s="665"/>
      <c r="AB2386" s="665"/>
      <c r="AC2386" s="665"/>
      <c r="AD2386" s="665"/>
      <c r="AE2386" s="665"/>
      <c r="AF2386" s="649"/>
      <c r="AG2386" s="650"/>
      <c r="AH2386" s="650"/>
      <c r="AI2386" s="667"/>
    </row>
    <row r="2387" spans="12:35" ht="45" customHeight="1" thickBot="1" x14ac:dyDescent="0.25">
      <c r="L2387" s="645"/>
      <c r="M2387" s="616"/>
      <c r="N2387" s="616"/>
      <c r="O2387" s="616"/>
      <c r="P2387" s="615"/>
      <c r="Q2387" s="616"/>
      <c r="R2387" s="663"/>
      <c r="S2387" s="459"/>
      <c r="T2387" s="459"/>
      <c r="U2387" s="459"/>
      <c r="V2387" s="459"/>
      <c r="W2387" s="459"/>
      <c r="X2387" s="459"/>
      <c r="Y2387" s="666"/>
      <c r="Z2387" s="664"/>
      <c r="AA2387" s="665"/>
      <c r="AB2387" s="665"/>
      <c r="AC2387" s="665"/>
      <c r="AD2387" s="665"/>
      <c r="AE2387" s="665"/>
      <c r="AF2387" s="649"/>
      <c r="AG2387" s="650"/>
      <c r="AH2387" s="650"/>
      <c r="AI2387" s="667"/>
    </row>
    <row r="2388" spans="12:35" ht="45" customHeight="1" thickBot="1" x14ac:dyDescent="0.25">
      <c r="L2388" s="645"/>
      <c r="M2388" s="616"/>
      <c r="N2388" s="616"/>
      <c r="O2388" s="616"/>
      <c r="P2388" s="615"/>
      <c r="Q2388" s="616"/>
      <c r="R2388" s="663"/>
      <c r="S2388" s="459"/>
      <c r="T2388" s="459"/>
      <c r="U2388" s="459"/>
      <c r="V2388" s="459"/>
      <c r="W2388" s="459"/>
      <c r="X2388" s="459"/>
      <c r="Y2388" s="666"/>
      <c r="Z2388" s="664"/>
      <c r="AA2388" s="665"/>
      <c r="AB2388" s="665"/>
      <c r="AC2388" s="665"/>
      <c r="AD2388" s="665"/>
      <c r="AE2388" s="665"/>
      <c r="AF2388" s="649"/>
      <c r="AG2388" s="650"/>
      <c r="AH2388" s="650"/>
      <c r="AI2388" s="667"/>
    </row>
    <row r="2389" spans="12:35" ht="45" customHeight="1" thickBot="1" x14ac:dyDescent="0.25">
      <c r="L2389" s="645"/>
      <c r="M2389" s="616"/>
      <c r="N2389" s="616"/>
      <c r="O2389" s="616"/>
      <c r="P2389" s="615"/>
      <c r="Q2389" s="616"/>
      <c r="R2389" s="663"/>
      <c r="S2389" s="459"/>
      <c r="T2389" s="459"/>
      <c r="U2389" s="459"/>
      <c r="V2389" s="459"/>
      <c r="W2389" s="459"/>
      <c r="X2389" s="459"/>
      <c r="Y2389" s="666"/>
      <c r="Z2389" s="664"/>
      <c r="AA2389" s="665"/>
      <c r="AB2389" s="665"/>
      <c r="AC2389" s="665"/>
      <c r="AD2389" s="665"/>
      <c r="AE2389" s="665"/>
      <c r="AF2389" s="649"/>
      <c r="AG2389" s="650"/>
      <c r="AH2389" s="650"/>
      <c r="AI2389" s="667"/>
    </row>
    <row r="2390" spans="12:35" ht="45" customHeight="1" thickBot="1" x14ac:dyDescent="0.25">
      <c r="L2390" s="645"/>
      <c r="M2390" s="616"/>
      <c r="N2390" s="616"/>
      <c r="O2390" s="616"/>
      <c r="P2390" s="615"/>
      <c r="Q2390" s="616"/>
      <c r="R2390" s="663"/>
      <c r="S2390" s="459"/>
      <c r="T2390" s="459"/>
      <c r="U2390" s="459"/>
      <c r="V2390" s="459"/>
      <c r="W2390" s="459"/>
      <c r="X2390" s="459"/>
      <c r="Y2390" s="666"/>
      <c r="Z2390" s="664"/>
      <c r="AA2390" s="665"/>
      <c r="AB2390" s="665"/>
      <c r="AC2390" s="665"/>
      <c r="AD2390" s="665"/>
      <c r="AE2390" s="665"/>
      <c r="AF2390" s="649"/>
      <c r="AG2390" s="650"/>
      <c r="AH2390" s="650"/>
      <c r="AI2390" s="667"/>
    </row>
    <row r="2391" spans="12:35" ht="45" customHeight="1" thickBot="1" x14ac:dyDescent="0.25">
      <c r="L2391" s="645"/>
      <c r="M2391" s="616"/>
      <c r="N2391" s="616"/>
      <c r="O2391" s="616"/>
      <c r="P2391" s="615"/>
      <c r="Q2391" s="616"/>
      <c r="R2391" s="663"/>
      <c r="S2391" s="459"/>
      <c r="T2391" s="459"/>
      <c r="U2391" s="459"/>
      <c r="V2391" s="459"/>
      <c r="W2391" s="459"/>
      <c r="X2391" s="459"/>
      <c r="Y2391" s="666"/>
      <c r="Z2391" s="664"/>
      <c r="AA2391" s="665"/>
      <c r="AB2391" s="665"/>
      <c r="AC2391" s="665"/>
      <c r="AD2391" s="665"/>
      <c r="AE2391" s="665"/>
      <c r="AF2391" s="649"/>
      <c r="AG2391" s="650"/>
      <c r="AH2391" s="650"/>
      <c r="AI2391" s="667"/>
    </row>
    <row r="2392" spans="12:35" ht="45" customHeight="1" thickBot="1" x14ac:dyDescent="0.25">
      <c r="L2392" s="645"/>
      <c r="M2392" s="616"/>
      <c r="N2392" s="616"/>
      <c r="O2392" s="616"/>
      <c r="P2392" s="615"/>
      <c r="Q2392" s="616"/>
      <c r="R2392" s="663"/>
      <c r="S2392" s="459"/>
      <c r="T2392" s="459"/>
      <c r="U2392" s="459"/>
      <c r="V2392" s="459"/>
      <c r="W2392" s="459"/>
      <c r="X2392" s="459"/>
      <c r="Y2392" s="666"/>
      <c r="Z2392" s="664"/>
      <c r="AA2392" s="665"/>
      <c r="AB2392" s="665"/>
      <c r="AC2392" s="665"/>
      <c r="AD2392" s="665"/>
      <c r="AE2392" s="665"/>
      <c r="AF2392" s="649"/>
      <c r="AG2392" s="650"/>
      <c r="AH2392" s="650"/>
      <c r="AI2392" s="667"/>
    </row>
    <row r="2393" spans="12:35" ht="45" customHeight="1" thickBot="1" x14ac:dyDescent="0.25">
      <c r="L2393" s="645"/>
      <c r="M2393" s="616"/>
      <c r="N2393" s="616"/>
      <c r="O2393" s="616"/>
      <c r="P2393" s="615"/>
      <c r="Q2393" s="616"/>
      <c r="R2393" s="663"/>
      <c r="S2393" s="459"/>
      <c r="T2393" s="459"/>
      <c r="U2393" s="459"/>
      <c r="V2393" s="459"/>
      <c r="W2393" s="459"/>
      <c r="X2393" s="459"/>
      <c r="Y2393" s="666"/>
      <c r="Z2393" s="664"/>
      <c r="AA2393" s="665"/>
      <c r="AB2393" s="665"/>
      <c r="AC2393" s="665"/>
      <c r="AD2393" s="665"/>
      <c r="AE2393" s="665"/>
      <c r="AF2393" s="649"/>
      <c r="AG2393" s="650"/>
      <c r="AH2393" s="650"/>
      <c r="AI2393" s="667"/>
    </row>
    <row r="2394" spans="12:35" ht="45" customHeight="1" thickBot="1" x14ac:dyDescent="0.25">
      <c r="L2394" s="645"/>
      <c r="M2394" s="616"/>
      <c r="N2394" s="616"/>
      <c r="O2394" s="616"/>
      <c r="P2394" s="615"/>
      <c r="Q2394" s="616"/>
      <c r="R2394" s="663"/>
      <c r="S2394" s="459"/>
      <c r="T2394" s="459"/>
      <c r="U2394" s="459"/>
      <c r="V2394" s="459"/>
      <c r="W2394" s="459"/>
      <c r="X2394" s="459"/>
      <c r="Y2394" s="666"/>
      <c r="Z2394" s="664"/>
      <c r="AA2394" s="665"/>
      <c r="AB2394" s="665"/>
      <c r="AC2394" s="665"/>
      <c r="AD2394" s="665"/>
      <c r="AE2394" s="665"/>
      <c r="AF2394" s="649"/>
      <c r="AG2394" s="650"/>
      <c r="AH2394" s="650"/>
      <c r="AI2394" s="667"/>
    </row>
    <row r="2395" spans="12:35" ht="45" customHeight="1" thickBot="1" x14ac:dyDescent="0.25">
      <c r="L2395" s="645"/>
      <c r="M2395" s="616"/>
      <c r="N2395" s="616"/>
      <c r="O2395" s="616"/>
      <c r="P2395" s="615"/>
      <c r="Q2395" s="616"/>
      <c r="R2395" s="663"/>
      <c r="S2395" s="459"/>
      <c r="T2395" s="459"/>
      <c r="U2395" s="459"/>
      <c r="V2395" s="459"/>
      <c r="W2395" s="459"/>
      <c r="X2395" s="459"/>
      <c r="Y2395" s="666"/>
      <c r="Z2395" s="664"/>
      <c r="AA2395" s="665"/>
      <c r="AB2395" s="665"/>
      <c r="AC2395" s="665"/>
      <c r="AD2395" s="665"/>
      <c r="AE2395" s="665"/>
      <c r="AF2395" s="649"/>
      <c r="AG2395" s="650"/>
      <c r="AH2395" s="650"/>
      <c r="AI2395" s="667"/>
    </row>
    <row r="2396" spans="12:35" ht="45" customHeight="1" thickBot="1" x14ac:dyDescent="0.25">
      <c r="L2396" s="645"/>
      <c r="M2396" s="616"/>
      <c r="N2396" s="616"/>
      <c r="O2396" s="616"/>
      <c r="P2396" s="615"/>
      <c r="Q2396" s="616"/>
      <c r="R2396" s="663"/>
      <c r="S2396" s="459"/>
      <c r="T2396" s="459"/>
      <c r="U2396" s="459"/>
      <c r="V2396" s="459"/>
      <c r="W2396" s="459"/>
      <c r="X2396" s="459"/>
      <c r="Y2396" s="666"/>
      <c r="Z2396" s="664"/>
      <c r="AA2396" s="665"/>
      <c r="AB2396" s="665"/>
      <c r="AC2396" s="665"/>
      <c r="AD2396" s="665"/>
      <c r="AE2396" s="665"/>
      <c r="AF2396" s="649"/>
      <c r="AG2396" s="650"/>
      <c r="AH2396" s="650"/>
      <c r="AI2396" s="667"/>
    </row>
    <row r="2397" spans="12:35" ht="45" customHeight="1" thickBot="1" x14ac:dyDescent="0.25">
      <c r="L2397" s="645"/>
      <c r="M2397" s="616"/>
      <c r="N2397" s="616"/>
      <c r="O2397" s="616"/>
      <c r="P2397" s="615"/>
      <c r="Q2397" s="616"/>
      <c r="R2397" s="663"/>
      <c r="S2397" s="459"/>
      <c r="T2397" s="459"/>
      <c r="U2397" s="459"/>
      <c r="V2397" s="459"/>
      <c r="W2397" s="459"/>
      <c r="X2397" s="459"/>
      <c r="Y2397" s="666"/>
      <c r="Z2397" s="664"/>
      <c r="AA2397" s="665"/>
      <c r="AB2397" s="665"/>
      <c r="AC2397" s="665"/>
      <c r="AD2397" s="665"/>
      <c r="AE2397" s="665"/>
      <c r="AF2397" s="649"/>
      <c r="AG2397" s="650"/>
      <c r="AH2397" s="650"/>
      <c r="AI2397" s="667"/>
    </row>
    <row r="2398" spans="12:35" ht="45" customHeight="1" thickBot="1" x14ac:dyDescent="0.25">
      <c r="L2398" s="645"/>
      <c r="M2398" s="616"/>
      <c r="N2398" s="616"/>
      <c r="O2398" s="616"/>
      <c r="P2398" s="615"/>
      <c r="Q2398" s="616"/>
      <c r="R2398" s="663"/>
      <c r="S2398" s="459"/>
      <c r="T2398" s="459"/>
      <c r="U2398" s="459"/>
      <c r="V2398" s="459"/>
      <c r="W2398" s="459"/>
      <c r="X2398" s="459"/>
      <c r="Y2398" s="666"/>
      <c r="Z2398" s="664"/>
      <c r="AA2398" s="665"/>
      <c r="AB2398" s="665"/>
      <c r="AC2398" s="665"/>
      <c r="AD2398" s="665"/>
      <c r="AE2398" s="665"/>
      <c r="AF2398" s="649"/>
      <c r="AG2398" s="650"/>
      <c r="AH2398" s="650"/>
      <c r="AI2398" s="667"/>
    </row>
    <row r="2399" spans="12:35" ht="45" customHeight="1" thickBot="1" x14ac:dyDescent="0.25">
      <c r="L2399" s="645"/>
      <c r="M2399" s="616"/>
      <c r="N2399" s="616"/>
      <c r="O2399" s="616"/>
      <c r="P2399" s="615"/>
      <c r="Q2399" s="616"/>
      <c r="R2399" s="663"/>
      <c r="S2399" s="459"/>
      <c r="T2399" s="459"/>
      <c r="U2399" s="459"/>
      <c r="V2399" s="459"/>
      <c r="W2399" s="459"/>
      <c r="X2399" s="459"/>
      <c r="Y2399" s="666"/>
      <c r="Z2399" s="664"/>
      <c r="AA2399" s="665"/>
      <c r="AB2399" s="665"/>
      <c r="AC2399" s="665"/>
      <c r="AD2399" s="665"/>
      <c r="AE2399" s="665"/>
      <c r="AF2399" s="649"/>
      <c r="AG2399" s="650"/>
      <c r="AH2399" s="650"/>
      <c r="AI2399" s="667"/>
    </row>
    <row r="2400" spans="12:35" ht="45" customHeight="1" thickBot="1" x14ac:dyDescent="0.25">
      <c r="L2400" s="645"/>
      <c r="M2400" s="616"/>
      <c r="N2400" s="616"/>
      <c r="O2400" s="616"/>
      <c r="P2400" s="615"/>
      <c r="Q2400" s="616"/>
      <c r="R2400" s="663"/>
      <c r="S2400" s="459"/>
      <c r="T2400" s="459"/>
      <c r="U2400" s="459"/>
      <c r="V2400" s="459"/>
      <c r="W2400" s="459"/>
      <c r="X2400" s="459"/>
      <c r="Y2400" s="666"/>
      <c r="Z2400" s="664"/>
      <c r="AA2400" s="665"/>
      <c r="AB2400" s="665"/>
      <c r="AC2400" s="665"/>
      <c r="AD2400" s="665"/>
      <c r="AE2400" s="665"/>
      <c r="AF2400" s="649"/>
      <c r="AG2400" s="650"/>
      <c r="AH2400" s="650"/>
      <c r="AI2400" s="667"/>
    </row>
    <row r="2401" spans="12:35" ht="45" customHeight="1" thickBot="1" x14ac:dyDescent="0.25">
      <c r="L2401" s="645"/>
      <c r="M2401" s="616"/>
      <c r="N2401" s="616"/>
      <c r="O2401" s="616"/>
      <c r="P2401" s="615"/>
      <c r="Q2401" s="616"/>
      <c r="R2401" s="663"/>
      <c r="S2401" s="459"/>
      <c r="T2401" s="459"/>
      <c r="U2401" s="459"/>
      <c r="V2401" s="459"/>
      <c r="W2401" s="459"/>
      <c r="X2401" s="459"/>
      <c r="Y2401" s="666"/>
      <c r="Z2401" s="664"/>
      <c r="AA2401" s="665"/>
      <c r="AB2401" s="665"/>
      <c r="AC2401" s="665"/>
      <c r="AD2401" s="665"/>
      <c r="AE2401" s="665"/>
      <c r="AF2401" s="649"/>
      <c r="AG2401" s="650"/>
      <c r="AH2401" s="650"/>
      <c r="AI2401" s="667"/>
    </row>
    <row r="2402" spans="12:35" ht="45" customHeight="1" thickBot="1" x14ac:dyDescent="0.25">
      <c r="L2402" s="645"/>
      <c r="M2402" s="616"/>
      <c r="N2402" s="616"/>
      <c r="O2402" s="616"/>
      <c r="P2402" s="615"/>
      <c r="Q2402" s="616"/>
      <c r="R2402" s="663"/>
      <c r="S2402" s="459"/>
      <c r="T2402" s="459"/>
      <c r="U2402" s="459"/>
      <c r="V2402" s="459"/>
      <c r="W2402" s="459"/>
      <c r="X2402" s="459"/>
      <c r="Y2402" s="666"/>
      <c r="Z2402" s="664"/>
      <c r="AA2402" s="665"/>
      <c r="AB2402" s="665"/>
      <c r="AC2402" s="665"/>
      <c r="AD2402" s="665"/>
      <c r="AE2402" s="665"/>
      <c r="AF2402" s="649"/>
      <c r="AG2402" s="650"/>
      <c r="AH2402" s="650"/>
      <c r="AI2402" s="667"/>
    </row>
    <row r="2403" spans="12:35" ht="45" customHeight="1" thickBot="1" x14ac:dyDescent="0.25">
      <c r="L2403" s="645"/>
      <c r="M2403" s="616"/>
      <c r="N2403" s="616"/>
      <c r="O2403" s="616"/>
      <c r="P2403" s="615"/>
      <c r="Q2403" s="616"/>
      <c r="R2403" s="663"/>
      <c r="S2403" s="459"/>
      <c r="T2403" s="459"/>
      <c r="U2403" s="459"/>
      <c r="V2403" s="459"/>
      <c r="W2403" s="459"/>
      <c r="X2403" s="459"/>
      <c r="Y2403" s="666"/>
      <c r="Z2403" s="664"/>
      <c r="AA2403" s="665"/>
      <c r="AB2403" s="665"/>
      <c r="AC2403" s="665"/>
      <c r="AD2403" s="665"/>
      <c r="AE2403" s="665"/>
      <c r="AF2403" s="649"/>
      <c r="AG2403" s="650"/>
      <c r="AH2403" s="650"/>
      <c r="AI2403" s="667"/>
    </row>
    <row r="2404" spans="12:35" ht="45" customHeight="1" thickBot="1" x14ac:dyDescent="0.25">
      <c r="L2404" s="645"/>
      <c r="M2404" s="616"/>
      <c r="N2404" s="616"/>
      <c r="O2404" s="616"/>
      <c r="P2404" s="615"/>
      <c r="Q2404" s="616"/>
      <c r="R2404" s="663"/>
      <c r="S2404" s="459"/>
      <c r="T2404" s="459"/>
      <c r="U2404" s="459"/>
      <c r="V2404" s="459"/>
      <c r="W2404" s="459"/>
      <c r="X2404" s="459"/>
      <c r="Y2404" s="666"/>
      <c r="Z2404" s="664"/>
      <c r="AA2404" s="665"/>
      <c r="AB2404" s="665"/>
      <c r="AC2404" s="665"/>
      <c r="AD2404" s="665"/>
      <c r="AE2404" s="665"/>
      <c r="AF2404" s="649"/>
      <c r="AG2404" s="650"/>
      <c r="AH2404" s="650"/>
      <c r="AI2404" s="667"/>
    </row>
    <row r="2405" spans="12:35" ht="45" customHeight="1" thickBot="1" x14ac:dyDescent="0.25">
      <c r="L2405" s="645"/>
      <c r="M2405" s="616"/>
      <c r="N2405" s="616"/>
      <c r="O2405" s="616"/>
      <c r="P2405" s="615"/>
      <c r="Q2405" s="616"/>
      <c r="R2405" s="663"/>
      <c r="S2405" s="459"/>
      <c r="T2405" s="459"/>
      <c r="U2405" s="459"/>
      <c r="V2405" s="459"/>
      <c r="W2405" s="459"/>
      <c r="X2405" s="459"/>
      <c r="Y2405" s="666"/>
      <c r="Z2405" s="664"/>
      <c r="AA2405" s="665"/>
      <c r="AB2405" s="665"/>
      <c r="AC2405" s="665"/>
      <c r="AD2405" s="665"/>
      <c r="AE2405" s="665"/>
      <c r="AF2405" s="649"/>
      <c r="AG2405" s="650"/>
      <c r="AH2405" s="650"/>
      <c r="AI2405" s="667"/>
    </row>
    <row r="2406" spans="12:35" ht="45" customHeight="1" thickBot="1" x14ac:dyDescent="0.25">
      <c r="L2406" s="645"/>
      <c r="M2406" s="616"/>
      <c r="N2406" s="616"/>
      <c r="O2406" s="616"/>
      <c r="P2406" s="615"/>
      <c r="Q2406" s="616"/>
      <c r="R2406" s="663"/>
      <c r="S2406" s="459"/>
      <c r="T2406" s="459"/>
      <c r="U2406" s="459"/>
      <c r="V2406" s="459"/>
      <c r="W2406" s="459"/>
      <c r="X2406" s="459"/>
      <c r="Y2406" s="666"/>
      <c r="Z2406" s="664"/>
      <c r="AA2406" s="665"/>
      <c r="AB2406" s="665"/>
      <c r="AC2406" s="665"/>
      <c r="AD2406" s="665"/>
      <c r="AE2406" s="665"/>
      <c r="AF2406" s="649"/>
      <c r="AG2406" s="650"/>
      <c r="AH2406" s="650"/>
      <c r="AI2406" s="667"/>
    </row>
    <row r="2407" spans="12:35" ht="45" customHeight="1" thickBot="1" x14ac:dyDescent="0.25">
      <c r="L2407" s="645"/>
      <c r="M2407" s="616"/>
      <c r="N2407" s="616"/>
      <c r="O2407" s="616"/>
      <c r="P2407" s="615"/>
      <c r="Q2407" s="616"/>
      <c r="R2407" s="663"/>
      <c r="S2407" s="459"/>
      <c r="T2407" s="459"/>
      <c r="U2407" s="459"/>
      <c r="V2407" s="459"/>
      <c r="W2407" s="459"/>
      <c r="X2407" s="459"/>
      <c r="Y2407" s="666"/>
      <c r="Z2407" s="664"/>
      <c r="AA2407" s="665"/>
      <c r="AB2407" s="665"/>
      <c r="AC2407" s="665"/>
      <c r="AD2407" s="665"/>
      <c r="AE2407" s="665"/>
      <c r="AF2407" s="649"/>
      <c r="AG2407" s="650"/>
      <c r="AH2407" s="650"/>
      <c r="AI2407" s="667"/>
    </row>
    <row r="2408" spans="12:35" ht="45" customHeight="1" thickBot="1" x14ac:dyDescent="0.25">
      <c r="L2408" s="645"/>
      <c r="M2408" s="616"/>
      <c r="N2408" s="616"/>
      <c r="O2408" s="616"/>
      <c r="P2408" s="615"/>
      <c r="Q2408" s="616"/>
      <c r="R2408" s="663"/>
      <c r="S2408" s="459"/>
      <c r="T2408" s="459"/>
      <c r="U2408" s="459"/>
      <c r="V2408" s="459"/>
      <c r="W2408" s="459"/>
      <c r="X2408" s="459"/>
      <c r="Y2408" s="666"/>
      <c r="Z2408" s="664"/>
      <c r="AA2408" s="665"/>
      <c r="AB2408" s="665"/>
      <c r="AC2408" s="665"/>
      <c r="AD2408" s="665"/>
      <c r="AE2408" s="665"/>
      <c r="AF2408" s="649"/>
      <c r="AG2408" s="650"/>
      <c r="AH2408" s="650"/>
      <c r="AI2408" s="667"/>
    </row>
    <row r="2409" spans="12:35" ht="45" customHeight="1" thickBot="1" x14ac:dyDescent="0.25">
      <c r="L2409" s="645"/>
      <c r="M2409" s="616"/>
      <c r="N2409" s="616"/>
      <c r="O2409" s="616"/>
      <c r="P2409" s="615"/>
      <c r="Q2409" s="616"/>
      <c r="R2409" s="663"/>
      <c r="S2409" s="459"/>
      <c r="T2409" s="459"/>
      <c r="U2409" s="459"/>
      <c r="V2409" s="459"/>
      <c r="W2409" s="459"/>
      <c r="X2409" s="459"/>
      <c r="Y2409" s="666"/>
      <c r="Z2409" s="664"/>
      <c r="AA2409" s="665"/>
      <c r="AB2409" s="665"/>
      <c r="AC2409" s="665"/>
      <c r="AD2409" s="665"/>
      <c r="AE2409" s="665"/>
      <c r="AF2409" s="649"/>
      <c r="AG2409" s="650"/>
      <c r="AH2409" s="650"/>
      <c r="AI2409" s="667"/>
    </row>
    <row r="2410" spans="12:35" ht="45" customHeight="1" thickBot="1" x14ac:dyDescent="0.25">
      <c r="L2410" s="645"/>
      <c r="M2410" s="616"/>
      <c r="N2410" s="616"/>
      <c r="O2410" s="616"/>
      <c r="P2410" s="615"/>
      <c r="Q2410" s="616"/>
      <c r="R2410" s="663"/>
      <c r="S2410" s="459"/>
      <c r="T2410" s="459"/>
      <c r="U2410" s="459"/>
      <c r="V2410" s="459"/>
      <c r="W2410" s="459"/>
      <c r="X2410" s="459"/>
      <c r="Y2410" s="666"/>
      <c r="Z2410" s="664"/>
      <c r="AA2410" s="665"/>
      <c r="AB2410" s="665"/>
      <c r="AC2410" s="665"/>
      <c r="AD2410" s="665"/>
      <c r="AE2410" s="665"/>
      <c r="AF2410" s="649"/>
      <c r="AG2410" s="650"/>
      <c r="AH2410" s="650"/>
      <c r="AI2410" s="667"/>
    </row>
    <row r="2411" spans="12:35" ht="45" customHeight="1" thickBot="1" x14ac:dyDescent="0.25">
      <c r="L2411" s="645"/>
      <c r="M2411" s="616"/>
      <c r="N2411" s="616"/>
      <c r="O2411" s="616"/>
      <c r="P2411" s="615"/>
      <c r="Q2411" s="616"/>
      <c r="R2411" s="663"/>
      <c r="S2411" s="459"/>
      <c r="T2411" s="459"/>
      <c r="U2411" s="459"/>
      <c r="V2411" s="459"/>
      <c r="W2411" s="459"/>
      <c r="X2411" s="459"/>
      <c r="Y2411" s="666"/>
      <c r="Z2411" s="664"/>
      <c r="AA2411" s="665"/>
      <c r="AB2411" s="665"/>
      <c r="AC2411" s="665"/>
      <c r="AD2411" s="665"/>
      <c r="AE2411" s="665"/>
      <c r="AF2411" s="649"/>
      <c r="AG2411" s="650"/>
      <c r="AH2411" s="650"/>
      <c r="AI2411" s="667"/>
    </row>
    <row r="2412" spans="12:35" ht="45" customHeight="1" thickBot="1" x14ac:dyDescent="0.25">
      <c r="L2412" s="645"/>
      <c r="M2412" s="616"/>
      <c r="N2412" s="616"/>
      <c r="O2412" s="616"/>
      <c r="P2412" s="615"/>
      <c r="Q2412" s="616"/>
      <c r="R2412" s="663"/>
      <c r="S2412" s="459"/>
      <c r="T2412" s="459"/>
      <c r="U2412" s="459"/>
      <c r="V2412" s="459"/>
      <c r="W2412" s="459"/>
      <c r="X2412" s="459"/>
      <c r="Y2412" s="666"/>
      <c r="Z2412" s="664"/>
      <c r="AA2412" s="665"/>
      <c r="AB2412" s="665"/>
      <c r="AC2412" s="665"/>
      <c r="AD2412" s="665"/>
      <c r="AE2412" s="665"/>
      <c r="AF2412" s="649"/>
      <c r="AG2412" s="650"/>
      <c r="AH2412" s="650"/>
      <c r="AI2412" s="667"/>
    </row>
    <row r="2413" spans="12:35" ht="45" customHeight="1" thickBot="1" x14ac:dyDescent="0.25">
      <c r="L2413" s="645"/>
      <c r="M2413" s="616"/>
      <c r="N2413" s="616"/>
      <c r="O2413" s="616"/>
      <c r="P2413" s="615"/>
      <c r="Q2413" s="616"/>
      <c r="R2413" s="663"/>
      <c r="S2413" s="459"/>
      <c r="T2413" s="459"/>
      <c r="U2413" s="459"/>
      <c r="V2413" s="459"/>
      <c r="W2413" s="459"/>
      <c r="X2413" s="459"/>
      <c r="Y2413" s="666"/>
      <c r="Z2413" s="664"/>
      <c r="AA2413" s="665"/>
      <c r="AB2413" s="665"/>
      <c r="AC2413" s="665"/>
      <c r="AD2413" s="665"/>
      <c r="AE2413" s="665"/>
      <c r="AF2413" s="649"/>
      <c r="AG2413" s="650"/>
      <c r="AH2413" s="650"/>
      <c r="AI2413" s="667"/>
    </row>
    <row r="2414" spans="12:35" ht="45" customHeight="1" thickBot="1" x14ac:dyDescent="0.25">
      <c r="L2414" s="645"/>
      <c r="M2414" s="616"/>
      <c r="N2414" s="616"/>
      <c r="O2414" s="616"/>
      <c r="P2414" s="615"/>
      <c r="Q2414" s="616"/>
      <c r="R2414" s="663"/>
      <c r="S2414" s="459"/>
      <c r="T2414" s="459"/>
      <c r="U2414" s="459"/>
      <c r="V2414" s="459"/>
      <c r="W2414" s="459"/>
      <c r="X2414" s="459"/>
      <c r="Y2414" s="666"/>
      <c r="Z2414" s="664"/>
      <c r="AA2414" s="665"/>
      <c r="AB2414" s="665"/>
      <c r="AC2414" s="665"/>
      <c r="AD2414" s="665"/>
      <c r="AE2414" s="665"/>
      <c r="AF2414" s="649"/>
      <c r="AG2414" s="650"/>
      <c r="AH2414" s="650"/>
      <c r="AI2414" s="667"/>
    </row>
    <row r="2415" spans="12:35" ht="45" customHeight="1" thickBot="1" x14ac:dyDescent="0.25">
      <c r="L2415" s="645"/>
      <c r="M2415" s="616"/>
      <c r="N2415" s="616"/>
      <c r="O2415" s="616"/>
      <c r="P2415" s="615"/>
      <c r="Q2415" s="616"/>
      <c r="R2415" s="663"/>
      <c r="S2415" s="459"/>
      <c r="T2415" s="459"/>
      <c r="U2415" s="459"/>
      <c r="V2415" s="459"/>
      <c r="W2415" s="459"/>
      <c r="X2415" s="459"/>
      <c r="Y2415" s="666"/>
      <c r="Z2415" s="664"/>
      <c r="AA2415" s="665"/>
      <c r="AB2415" s="665"/>
      <c r="AC2415" s="665"/>
      <c r="AD2415" s="665"/>
      <c r="AE2415" s="665"/>
      <c r="AF2415" s="649"/>
      <c r="AG2415" s="650"/>
      <c r="AH2415" s="650"/>
      <c r="AI2415" s="667"/>
    </row>
    <row r="2416" spans="12:35" ht="45" customHeight="1" thickBot="1" x14ac:dyDescent="0.25">
      <c r="L2416" s="645"/>
      <c r="M2416" s="616"/>
      <c r="N2416" s="616"/>
      <c r="O2416" s="616"/>
      <c r="P2416" s="615"/>
      <c r="Q2416" s="616"/>
      <c r="R2416" s="663"/>
      <c r="S2416" s="459"/>
      <c r="T2416" s="459"/>
      <c r="U2416" s="459"/>
      <c r="V2416" s="459"/>
      <c r="W2416" s="459"/>
      <c r="X2416" s="459"/>
      <c r="Y2416" s="666"/>
      <c r="Z2416" s="664"/>
      <c r="AA2416" s="665"/>
      <c r="AB2416" s="665"/>
      <c r="AC2416" s="665"/>
      <c r="AD2416" s="665"/>
      <c r="AE2416" s="665"/>
      <c r="AF2416" s="649"/>
      <c r="AG2416" s="650"/>
      <c r="AH2416" s="650"/>
      <c r="AI2416" s="667"/>
    </row>
    <row r="2417" spans="12:35" ht="45" customHeight="1" thickBot="1" x14ac:dyDescent="0.25">
      <c r="L2417" s="645"/>
      <c r="M2417" s="616"/>
      <c r="N2417" s="616"/>
      <c r="O2417" s="616"/>
      <c r="P2417" s="615"/>
      <c r="Q2417" s="616"/>
      <c r="R2417" s="663"/>
      <c r="S2417" s="459"/>
      <c r="T2417" s="459"/>
      <c r="U2417" s="459"/>
      <c r="V2417" s="459"/>
      <c r="W2417" s="459"/>
      <c r="X2417" s="459"/>
      <c r="Y2417" s="666"/>
      <c r="Z2417" s="664"/>
      <c r="AA2417" s="665"/>
      <c r="AB2417" s="665"/>
      <c r="AC2417" s="665"/>
      <c r="AD2417" s="665"/>
      <c r="AE2417" s="665"/>
      <c r="AF2417" s="649"/>
      <c r="AG2417" s="650"/>
      <c r="AH2417" s="650"/>
      <c r="AI2417" s="667"/>
    </row>
    <row r="2418" spans="12:35" ht="45" customHeight="1" thickBot="1" x14ac:dyDescent="0.25">
      <c r="L2418" s="645"/>
      <c r="M2418" s="616"/>
      <c r="N2418" s="616"/>
      <c r="O2418" s="616"/>
      <c r="P2418" s="615"/>
      <c r="Q2418" s="616"/>
      <c r="R2418" s="663"/>
      <c r="S2418" s="459"/>
      <c r="T2418" s="459"/>
      <c r="U2418" s="459"/>
      <c r="V2418" s="459"/>
      <c r="W2418" s="459"/>
      <c r="X2418" s="459"/>
      <c r="Y2418" s="666"/>
      <c r="Z2418" s="664"/>
      <c r="AA2418" s="665"/>
      <c r="AB2418" s="665"/>
      <c r="AC2418" s="665"/>
      <c r="AD2418" s="665"/>
      <c r="AE2418" s="665"/>
      <c r="AF2418" s="649"/>
      <c r="AG2418" s="650"/>
      <c r="AH2418" s="650"/>
      <c r="AI2418" s="667"/>
    </row>
    <row r="2419" spans="12:35" ht="45" customHeight="1" thickBot="1" x14ac:dyDescent="0.25">
      <c r="L2419" s="645"/>
      <c r="M2419" s="616"/>
      <c r="N2419" s="616"/>
      <c r="O2419" s="616"/>
      <c r="P2419" s="615"/>
      <c r="Q2419" s="616"/>
      <c r="R2419" s="663"/>
      <c r="S2419" s="459"/>
      <c r="T2419" s="459"/>
      <c r="U2419" s="459"/>
      <c r="V2419" s="459"/>
      <c r="W2419" s="459"/>
      <c r="X2419" s="459"/>
      <c r="Y2419" s="666"/>
      <c r="Z2419" s="664"/>
      <c r="AA2419" s="665"/>
      <c r="AB2419" s="665"/>
      <c r="AC2419" s="665"/>
      <c r="AD2419" s="665"/>
      <c r="AE2419" s="665"/>
      <c r="AF2419" s="649"/>
      <c r="AG2419" s="650"/>
      <c r="AH2419" s="650"/>
      <c r="AI2419" s="667"/>
    </row>
    <row r="2420" spans="12:35" ht="45" customHeight="1" thickBot="1" x14ac:dyDescent="0.25">
      <c r="L2420" s="645"/>
      <c r="M2420" s="616"/>
      <c r="N2420" s="616"/>
      <c r="O2420" s="616"/>
      <c r="P2420" s="615"/>
      <c r="Q2420" s="616"/>
      <c r="R2420" s="663"/>
      <c r="S2420" s="459"/>
      <c r="T2420" s="459"/>
      <c r="U2420" s="459"/>
      <c r="V2420" s="459"/>
      <c r="W2420" s="459"/>
      <c r="X2420" s="459"/>
      <c r="Y2420" s="666"/>
      <c r="Z2420" s="664"/>
      <c r="AA2420" s="665"/>
      <c r="AB2420" s="665"/>
      <c r="AC2420" s="665"/>
      <c r="AD2420" s="665"/>
      <c r="AE2420" s="665"/>
      <c r="AF2420" s="649"/>
      <c r="AG2420" s="650"/>
      <c r="AH2420" s="650"/>
      <c r="AI2420" s="667"/>
    </row>
    <row r="2421" spans="12:35" ht="45" customHeight="1" thickBot="1" x14ac:dyDescent="0.25">
      <c r="L2421" s="645"/>
      <c r="M2421" s="616"/>
      <c r="N2421" s="616"/>
      <c r="O2421" s="616"/>
      <c r="P2421" s="615"/>
      <c r="Q2421" s="616"/>
      <c r="R2421" s="663"/>
      <c r="S2421" s="459"/>
      <c r="T2421" s="459"/>
      <c r="U2421" s="459"/>
      <c r="V2421" s="459"/>
      <c r="W2421" s="459"/>
      <c r="X2421" s="459"/>
      <c r="Y2421" s="666"/>
      <c r="Z2421" s="664"/>
      <c r="AA2421" s="665"/>
      <c r="AB2421" s="665"/>
      <c r="AC2421" s="665"/>
      <c r="AD2421" s="665"/>
      <c r="AE2421" s="665"/>
      <c r="AF2421" s="649"/>
      <c r="AG2421" s="650"/>
      <c r="AH2421" s="650"/>
      <c r="AI2421" s="667"/>
    </row>
    <row r="2422" spans="12:35" ht="45" customHeight="1" thickBot="1" x14ac:dyDescent="0.25">
      <c r="L2422" s="645"/>
      <c r="M2422" s="616"/>
      <c r="N2422" s="616"/>
      <c r="O2422" s="616"/>
      <c r="P2422" s="615"/>
      <c r="Q2422" s="616"/>
      <c r="R2422" s="663"/>
      <c r="S2422" s="459"/>
      <c r="T2422" s="459"/>
      <c r="U2422" s="459"/>
      <c r="V2422" s="459"/>
      <c r="W2422" s="459"/>
      <c r="X2422" s="459"/>
      <c r="Y2422" s="666"/>
      <c r="Z2422" s="664"/>
      <c r="AA2422" s="665"/>
      <c r="AB2422" s="665"/>
      <c r="AC2422" s="665"/>
      <c r="AD2422" s="665"/>
      <c r="AE2422" s="665"/>
      <c r="AF2422" s="649"/>
      <c r="AG2422" s="650"/>
      <c r="AH2422" s="650"/>
      <c r="AI2422" s="667"/>
    </row>
    <row r="2423" spans="12:35" ht="45" customHeight="1" thickBot="1" x14ac:dyDescent="0.25">
      <c r="L2423" s="645"/>
      <c r="M2423" s="616"/>
      <c r="N2423" s="616"/>
      <c r="O2423" s="616"/>
      <c r="P2423" s="615"/>
      <c r="Q2423" s="616"/>
      <c r="R2423" s="663"/>
      <c r="S2423" s="459"/>
      <c r="T2423" s="459"/>
      <c r="U2423" s="459"/>
      <c r="V2423" s="459"/>
      <c r="W2423" s="459"/>
      <c r="X2423" s="459"/>
      <c r="Y2423" s="666"/>
      <c r="Z2423" s="664"/>
      <c r="AA2423" s="665"/>
      <c r="AB2423" s="665"/>
      <c r="AC2423" s="665"/>
      <c r="AD2423" s="665"/>
      <c r="AE2423" s="665"/>
      <c r="AF2423" s="649"/>
      <c r="AG2423" s="650"/>
      <c r="AH2423" s="650"/>
      <c r="AI2423" s="667"/>
    </row>
    <row r="2424" spans="12:35" ht="45" customHeight="1" thickBot="1" x14ac:dyDescent="0.25">
      <c r="L2424" s="645"/>
      <c r="M2424" s="616"/>
      <c r="N2424" s="616"/>
      <c r="O2424" s="616"/>
      <c r="P2424" s="615"/>
      <c r="Q2424" s="616"/>
      <c r="R2424" s="663"/>
      <c r="S2424" s="459"/>
      <c r="T2424" s="459"/>
      <c r="U2424" s="459"/>
      <c r="V2424" s="459"/>
      <c r="W2424" s="459"/>
      <c r="X2424" s="459"/>
      <c r="Y2424" s="666"/>
      <c r="Z2424" s="664"/>
      <c r="AA2424" s="665"/>
      <c r="AB2424" s="665"/>
      <c r="AC2424" s="665"/>
      <c r="AD2424" s="665"/>
      <c r="AE2424" s="665"/>
      <c r="AF2424" s="649"/>
      <c r="AG2424" s="650"/>
      <c r="AH2424" s="650"/>
      <c r="AI2424" s="667"/>
    </row>
    <row r="2425" spans="12:35" ht="45" customHeight="1" thickBot="1" x14ac:dyDescent="0.25">
      <c r="L2425" s="645"/>
      <c r="M2425" s="616"/>
      <c r="N2425" s="616"/>
      <c r="O2425" s="616"/>
      <c r="P2425" s="615"/>
      <c r="Q2425" s="616"/>
      <c r="R2425" s="663"/>
      <c r="S2425" s="459"/>
      <c r="T2425" s="459"/>
      <c r="U2425" s="459"/>
      <c r="V2425" s="459"/>
      <c r="W2425" s="459"/>
      <c r="X2425" s="459"/>
      <c r="Y2425" s="666"/>
      <c r="Z2425" s="664"/>
      <c r="AA2425" s="665"/>
      <c r="AB2425" s="665"/>
      <c r="AC2425" s="665"/>
      <c r="AD2425" s="665"/>
      <c r="AE2425" s="665"/>
      <c r="AF2425" s="649"/>
      <c r="AG2425" s="650"/>
      <c r="AH2425" s="650"/>
      <c r="AI2425" s="667"/>
    </row>
    <row r="2426" spans="12:35" ht="45" customHeight="1" thickBot="1" x14ac:dyDescent="0.25">
      <c r="L2426" s="645"/>
      <c r="M2426" s="616"/>
      <c r="N2426" s="616"/>
      <c r="O2426" s="616"/>
      <c r="P2426" s="615"/>
      <c r="Q2426" s="616"/>
      <c r="R2426" s="663"/>
      <c r="S2426" s="459"/>
      <c r="T2426" s="459"/>
      <c r="U2426" s="459"/>
      <c r="V2426" s="459"/>
      <c r="W2426" s="459"/>
      <c r="X2426" s="459"/>
      <c r="Y2426" s="666"/>
      <c r="Z2426" s="664"/>
      <c r="AA2426" s="665"/>
      <c r="AB2426" s="665"/>
      <c r="AC2426" s="665"/>
      <c r="AD2426" s="665"/>
      <c r="AE2426" s="665"/>
      <c r="AF2426" s="649"/>
      <c r="AG2426" s="650"/>
      <c r="AH2426" s="650"/>
      <c r="AI2426" s="667"/>
    </row>
    <row r="2427" spans="12:35" ht="45" customHeight="1" thickBot="1" x14ac:dyDescent="0.25">
      <c r="L2427" s="645"/>
      <c r="M2427" s="616"/>
      <c r="N2427" s="616"/>
      <c r="O2427" s="616"/>
      <c r="P2427" s="615"/>
      <c r="Q2427" s="616"/>
      <c r="R2427" s="663"/>
      <c r="S2427" s="459"/>
      <c r="T2427" s="459"/>
      <c r="U2427" s="459"/>
      <c r="V2427" s="459"/>
      <c r="W2427" s="459"/>
      <c r="X2427" s="459"/>
      <c r="Y2427" s="666"/>
      <c r="Z2427" s="664"/>
      <c r="AA2427" s="665"/>
      <c r="AB2427" s="665"/>
      <c r="AC2427" s="665"/>
      <c r="AD2427" s="665"/>
      <c r="AE2427" s="665"/>
      <c r="AF2427" s="649"/>
      <c r="AG2427" s="650"/>
      <c r="AH2427" s="650"/>
      <c r="AI2427" s="667"/>
    </row>
    <row r="2428" spans="12:35" ht="45" customHeight="1" thickBot="1" x14ac:dyDescent="0.25">
      <c r="L2428" s="645"/>
      <c r="M2428" s="616"/>
      <c r="N2428" s="616"/>
      <c r="O2428" s="616"/>
      <c r="P2428" s="615"/>
      <c r="Q2428" s="616"/>
      <c r="R2428" s="663"/>
      <c r="S2428" s="459"/>
      <c r="T2428" s="459"/>
      <c r="U2428" s="459"/>
      <c r="V2428" s="459"/>
      <c r="W2428" s="459"/>
      <c r="X2428" s="459"/>
      <c r="Y2428" s="666"/>
      <c r="Z2428" s="664"/>
      <c r="AA2428" s="665"/>
      <c r="AB2428" s="665"/>
      <c r="AC2428" s="665"/>
      <c r="AD2428" s="665"/>
      <c r="AE2428" s="665"/>
      <c r="AF2428" s="649"/>
      <c r="AG2428" s="650"/>
      <c r="AH2428" s="650"/>
      <c r="AI2428" s="667"/>
    </row>
    <row r="2429" spans="12:35" ht="45" customHeight="1" thickBot="1" x14ac:dyDescent="0.25">
      <c r="L2429" s="645"/>
      <c r="M2429" s="616"/>
      <c r="N2429" s="616"/>
      <c r="O2429" s="616"/>
      <c r="P2429" s="615"/>
      <c r="Q2429" s="616"/>
      <c r="R2429" s="663"/>
      <c r="S2429" s="459"/>
      <c r="T2429" s="459"/>
      <c r="U2429" s="459"/>
      <c r="V2429" s="459"/>
      <c r="W2429" s="459"/>
      <c r="X2429" s="459"/>
      <c r="Y2429" s="666"/>
      <c r="Z2429" s="664"/>
      <c r="AA2429" s="665"/>
      <c r="AB2429" s="665"/>
      <c r="AC2429" s="665"/>
      <c r="AD2429" s="665"/>
      <c r="AE2429" s="665"/>
      <c r="AF2429" s="649"/>
      <c r="AG2429" s="650"/>
      <c r="AH2429" s="650"/>
      <c r="AI2429" s="667"/>
    </row>
    <row r="2430" spans="12:35" ht="45" customHeight="1" thickBot="1" x14ac:dyDescent="0.25">
      <c r="L2430" s="645"/>
      <c r="M2430" s="616"/>
      <c r="N2430" s="616"/>
      <c r="O2430" s="616"/>
      <c r="P2430" s="615"/>
      <c r="Q2430" s="616"/>
      <c r="R2430" s="663"/>
      <c r="S2430" s="459"/>
      <c r="T2430" s="459"/>
      <c r="U2430" s="459"/>
      <c r="V2430" s="459"/>
      <c r="W2430" s="459"/>
      <c r="X2430" s="459"/>
      <c r="Y2430" s="666"/>
      <c r="Z2430" s="664"/>
      <c r="AA2430" s="665"/>
      <c r="AB2430" s="665"/>
      <c r="AC2430" s="665"/>
      <c r="AD2430" s="665"/>
      <c r="AE2430" s="665"/>
      <c r="AF2430" s="649"/>
      <c r="AG2430" s="650"/>
      <c r="AH2430" s="650"/>
      <c r="AI2430" s="667"/>
    </row>
    <row r="2431" spans="12:35" ht="45" customHeight="1" thickBot="1" x14ac:dyDescent="0.25">
      <c r="L2431" s="645"/>
      <c r="M2431" s="616"/>
      <c r="N2431" s="616"/>
      <c r="O2431" s="616"/>
      <c r="P2431" s="615"/>
      <c r="Q2431" s="616"/>
      <c r="R2431" s="663"/>
      <c r="S2431" s="459"/>
      <c r="T2431" s="459"/>
      <c r="U2431" s="459"/>
      <c r="V2431" s="459"/>
      <c r="W2431" s="459"/>
      <c r="X2431" s="459"/>
      <c r="Y2431" s="666"/>
      <c r="Z2431" s="664"/>
      <c r="AA2431" s="665"/>
      <c r="AB2431" s="665"/>
      <c r="AC2431" s="665"/>
      <c r="AD2431" s="665"/>
      <c r="AE2431" s="665"/>
      <c r="AF2431" s="649"/>
      <c r="AG2431" s="650"/>
      <c r="AH2431" s="650"/>
      <c r="AI2431" s="667"/>
    </row>
    <row r="2432" spans="12:35" ht="45" customHeight="1" thickBot="1" x14ac:dyDescent="0.25">
      <c r="L2432" s="645"/>
      <c r="M2432" s="616"/>
      <c r="N2432" s="616"/>
      <c r="O2432" s="616"/>
      <c r="P2432" s="615"/>
      <c r="Q2432" s="616"/>
      <c r="R2432" s="663"/>
      <c r="S2432" s="459"/>
      <c r="T2432" s="459"/>
      <c r="U2432" s="459"/>
      <c r="V2432" s="459"/>
      <c r="W2432" s="459"/>
      <c r="X2432" s="459"/>
      <c r="Y2432" s="666"/>
      <c r="Z2432" s="664"/>
      <c r="AA2432" s="665"/>
      <c r="AB2432" s="665"/>
      <c r="AC2432" s="665"/>
      <c r="AD2432" s="665"/>
      <c r="AE2432" s="665"/>
      <c r="AF2432" s="649"/>
      <c r="AG2432" s="650"/>
      <c r="AH2432" s="650"/>
      <c r="AI2432" s="667"/>
    </row>
    <row r="2433" spans="12:35" ht="45" customHeight="1" thickBot="1" x14ac:dyDescent="0.25">
      <c r="L2433" s="645"/>
      <c r="M2433" s="616"/>
      <c r="N2433" s="616"/>
      <c r="O2433" s="616"/>
      <c r="P2433" s="615"/>
      <c r="Q2433" s="616"/>
      <c r="R2433" s="663"/>
      <c r="S2433" s="459"/>
      <c r="T2433" s="459"/>
      <c r="U2433" s="459"/>
      <c r="V2433" s="459"/>
      <c r="W2433" s="459"/>
      <c r="X2433" s="459"/>
      <c r="Y2433" s="666"/>
      <c r="Z2433" s="664"/>
      <c r="AA2433" s="665"/>
      <c r="AB2433" s="665"/>
      <c r="AC2433" s="665"/>
      <c r="AD2433" s="665"/>
      <c r="AE2433" s="665"/>
      <c r="AF2433" s="649"/>
      <c r="AG2433" s="650"/>
      <c r="AH2433" s="650"/>
      <c r="AI2433" s="667"/>
    </row>
    <row r="2434" spans="12:35" ht="45" customHeight="1" thickBot="1" x14ac:dyDescent="0.25">
      <c r="L2434" s="645"/>
      <c r="M2434" s="616"/>
      <c r="N2434" s="616"/>
      <c r="O2434" s="616"/>
      <c r="P2434" s="615"/>
      <c r="Q2434" s="616"/>
      <c r="R2434" s="663"/>
      <c r="S2434" s="459"/>
      <c r="T2434" s="459"/>
      <c r="U2434" s="459"/>
      <c r="V2434" s="459"/>
      <c r="W2434" s="459"/>
      <c r="X2434" s="459"/>
      <c r="Y2434" s="666"/>
      <c r="Z2434" s="664"/>
      <c r="AA2434" s="665"/>
      <c r="AB2434" s="665"/>
      <c r="AC2434" s="665"/>
      <c r="AD2434" s="665"/>
      <c r="AE2434" s="665"/>
      <c r="AF2434" s="649"/>
      <c r="AG2434" s="650"/>
      <c r="AH2434" s="650"/>
      <c r="AI2434" s="667"/>
    </row>
    <row r="2435" spans="12:35" ht="45" customHeight="1" thickBot="1" x14ac:dyDescent="0.25">
      <c r="L2435" s="645"/>
      <c r="M2435" s="616"/>
      <c r="N2435" s="616"/>
      <c r="O2435" s="616"/>
      <c r="P2435" s="615"/>
      <c r="Q2435" s="616"/>
      <c r="R2435" s="663"/>
      <c r="S2435" s="459"/>
      <c r="T2435" s="459"/>
      <c r="U2435" s="459"/>
      <c r="V2435" s="459"/>
      <c r="W2435" s="459"/>
      <c r="X2435" s="459"/>
      <c r="Y2435" s="666"/>
      <c r="Z2435" s="664"/>
      <c r="AA2435" s="665"/>
      <c r="AB2435" s="665"/>
      <c r="AC2435" s="665"/>
      <c r="AD2435" s="665"/>
      <c r="AE2435" s="665"/>
      <c r="AF2435" s="649"/>
      <c r="AG2435" s="650"/>
      <c r="AH2435" s="650"/>
      <c r="AI2435" s="667"/>
    </row>
    <row r="2436" spans="12:35" ht="45" customHeight="1" thickBot="1" x14ac:dyDescent="0.25">
      <c r="L2436" s="645"/>
      <c r="M2436" s="616"/>
      <c r="N2436" s="616"/>
      <c r="O2436" s="616"/>
      <c r="P2436" s="615"/>
      <c r="Q2436" s="616"/>
      <c r="R2436" s="663"/>
      <c r="S2436" s="459"/>
      <c r="T2436" s="459"/>
      <c r="U2436" s="459"/>
      <c r="V2436" s="459"/>
      <c r="W2436" s="459"/>
      <c r="X2436" s="459"/>
      <c r="Y2436" s="666"/>
      <c r="Z2436" s="664"/>
      <c r="AA2436" s="665"/>
      <c r="AB2436" s="665"/>
      <c r="AC2436" s="665"/>
      <c r="AD2436" s="665"/>
      <c r="AE2436" s="665"/>
      <c r="AF2436" s="649"/>
      <c r="AG2436" s="650"/>
      <c r="AH2436" s="650"/>
      <c r="AI2436" s="667"/>
    </row>
    <row r="2437" spans="12:35" ht="45" customHeight="1" thickBot="1" x14ac:dyDescent="0.25">
      <c r="L2437" s="645"/>
      <c r="M2437" s="616"/>
      <c r="N2437" s="616"/>
      <c r="O2437" s="616"/>
      <c r="P2437" s="615"/>
      <c r="Q2437" s="616"/>
      <c r="R2437" s="663"/>
      <c r="S2437" s="459"/>
      <c r="T2437" s="459"/>
      <c r="U2437" s="459"/>
      <c r="V2437" s="459"/>
      <c r="W2437" s="459"/>
      <c r="X2437" s="459"/>
      <c r="Y2437" s="666"/>
      <c r="Z2437" s="664"/>
      <c r="AA2437" s="665"/>
      <c r="AB2437" s="665"/>
      <c r="AC2437" s="665"/>
      <c r="AD2437" s="665"/>
      <c r="AE2437" s="665"/>
      <c r="AF2437" s="649"/>
      <c r="AG2437" s="650"/>
      <c r="AH2437" s="650"/>
      <c r="AI2437" s="667"/>
    </row>
    <row r="2438" spans="12:35" ht="45" customHeight="1" thickBot="1" x14ac:dyDescent="0.25">
      <c r="L2438" s="645"/>
      <c r="M2438" s="616"/>
      <c r="N2438" s="616"/>
      <c r="O2438" s="616"/>
      <c r="P2438" s="615"/>
      <c r="Q2438" s="616"/>
      <c r="R2438" s="663"/>
      <c r="S2438" s="459"/>
      <c r="T2438" s="459"/>
      <c r="U2438" s="459"/>
      <c r="V2438" s="459"/>
      <c r="W2438" s="459"/>
      <c r="X2438" s="459"/>
      <c r="Y2438" s="666"/>
      <c r="Z2438" s="664"/>
      <c r="AA2438" s="665"/>
      <c r="AB2438" s="665"/>
      <c r="AC2438" s="665"/>
      <c r="AD2438" s="665"/>
      <c r="AE2438" s="665"/>
      <c r="AF2438" s="649"/>
      <c r="AG2438" s="650"/>
      <c r="AH2438" s="650"/>
      <c r="AI2438" s="667"/>
    </row>
    <row r="2439" spans="12:35" ht="45" customHeight="1" thickBot="1" x14ac:dyDescent="0.25">
      <c r="L2439" s="645"/>
      <c r="M2439" s="616"/>
      <c r="N2439" s="616"/>
      <c r="O2439" s="616"/>
      <c r="P2439" s="615"/>
      <c r="Q2439" s="616"/>
      <c r="R2439" s="663"/>
      <c r="S2439" s="459"/>
      <c r="T2439" s="459"/>
      <c r="U2439" s="459"/>
      <c r="V2439" s="459"/>
      <c r="W2439" s="459"/>
      <c r="X2439" s="459"/>
      <c r="Y2439" s="666"/>
      <c r="Z2439" s="664"/>
      <c r="AA2439" s="665"/>
      <c r="AB2439" s="665"/>
      <c r="AC2439" s="665"/>
      <c r="AD2439" s="665"/>
      <c r="AE2439" s="665"/>
      <c r="AF2439" s="649"/>
      <c r="AG2439" s="650"/>
      <c r="AH2439" s="650"/>
      <c r="AI2439" s="667"/>
    </row>
    <row r="2440" spans="12:35" ht="45" customHeight="1" thickBot="1" x14ac:dyDescent="0.25">
      <c r="L2440" s="645"/>
      <c r="M2440" s="616"/>
      <c r="N2440" s="616"/>
      <c r="O2440" s="616"/>
      <c r="P2440" s="615"/>
      <c r="Q2440" s="616"/>
      <c r="R2440" s="663"/>
      <c r="S2440" s="459"/>
      <c r="T2440" s="459"/>
      <c r="U2440" s="459"/>
      <c r="V2440" s="459"/>
      <c r="W2440" s="459"/>
      <c r="X2440" s="459"/>
      <c r="Y2440" s="666"/>
      <c r="Z2440" s="664"/>
      <c r="AA2440" s="665"/>
      <c r="AB2440" s="665"/>
      <c r="AC2440" s="665"/>
      <c r="AD2440" s="665"/>
      <c r="AE2440" s="665"/>
      <c r="AF2440" s="649"/>
      <c r="AG2440" s="650"/>
      <c r="AH2440" s="650"/>
      <c r="AI2440" s="667"/>
    </row>
    <row r="2441" spans="12:35" ht="45" customHeight="1" thickBot="1" x14ac:dyDescent="0.25">
      <c r="L2441" s="645"/>
      <c r="M2441" s="616"/>
      <c r="N2441" s="616"/>
      <c r="O2441" s="616"/>
      <c r="P2441" s="615"/>
      <c r="Q2441" s="616"/>
      <c r="R2441" s="663"/>
      <c r="S2441" s="459"/>
      <c r="T2441" s="459"/>
      <c r="U2441" s="459"/>
      <c r="V2441" s="459"/>
      <c r="W2441" s="459"/>
      <c r="X2441" s="459"/>
      <c r="Y2441" s="666"/>
      <c r="Z2441" s="664"/>
      <c r="AA2441" s="665"/>
      <c r="AB2441" s="665"/>
      <c r="AC2441" s="665"/>
      <c r="AD2441" s="665"/>
      <c r="AE2441" s="665"/>
      <c r="AF2441" s="649"/>
      <c r="AG2441" s="650"/>
      <c r="AH2441" s="650"/>
      <c r="AI2441" s="667"/>
    </row>
    <row r="2442" spans="12:35" ht="45" customHeight="1" thickBot="1" x14ac:dyDescent="0.25">
      <c r="L2442" s="645"/>
      <c r="M2442" s="616"/>
      <c r="N2442" s="616"/>
      <c r="O2442" s="616"/>
      <c r="P2442" s="615"/>
      <c r="Q2442" s="616"/>
      <c r="R2442" s="663"/>
      <c r="S2442" s="459"/>
      <c r="T2442" s="459"/>
      <c r="U2442" s="459"/>
      <c r="V2442" s="459"/>
      <c r="W2442" s="459"/>
      <c r="X2442" s="459"/>
      <c r="Y2442" s="666"/>
      <c r="Z2442" s="664"/>
      <c r="AA2442" s="665"/>
      <c r="AB2442" s="665"/>
      <c r="AC2442" s="665"/>
      <c r="AD2442" s="665"/>
      <c r="AE2442" s="665"/>
      <c r="AF2442" s="649"/>
      <c r="AG2442" s="650"/>
      <c r="AH2442" s="650"/>
      <c r="AI2442" s="667"/>
    </row>
    <row r="2443" spans="12:35" ht="45" customHeight="1" thickBot="1" x14ac:dyDescent="0.25">
      <c r="L2443" s="645"/>
      <c r="M2443" s="616"/>
      <c r="N2443" s="616"/>
      <c r="O2443" s="616"/>
      <c r="P2443" s="615"/>
      <c r="Q2443" s="616"/>
      <c r="R2443" s="663"/>
      <c r="S2443" s="459"/>
      <c r="T2443" s="459"/>
      <c r="U2443" s="459"/>
      <c r="V2443" s="459"/>
      <c r="W2443" s="459"/>
      <c r="X2443" s="459"/>
      <c r="Y2443" s="666"/>
      <c r="Z2443" s="664"/>
      <c r="AA2443" s="665"/>
      <c r="AB2443" s="665"/>
      <c r="AC2443" s="665"/>
      <c r="AD2443" s="665"/>
      <c r="AE2443" s="665"/>
      <c r="AF2443" s="649"/>
      <c r="AG2443" s="650"/>
      <c r="AH2443" s="650"/>
      <c r="AI2443" s="667"/>
    </row>
    <row r="2444" spans="12:35" ht="45" customHeight="1" thickBot="1" x14ac:dyDescent="0.25">
      <c r="L2444" s="645"/>
      <c r="M2444" s="616"/>
      <c r="N2444" s="616"/>
      <c r="O2444" s="616"/>
      <c r="P2444" s="615"/>
      <c r="Q2444" s="616"/>
      <c r="R2444" s="663"/>
      <c r="S2444" s="459"/>
      <c r="T2444" s="459"/>
      <c r="U2444" s="459"/>
      <c r="V2444" s="459"/>
      <c r="W2444" s="459"/>
      <c r="X2444" s="459"/>
      <c r="Y2444" s="666"/>
      <c r="Z2444" s="664"/>
      <c r="AA2444" s="665"/>
      <c r="AB2444" s="665"/>
      <c r="AC2444" s="665"/>
      <c r="AD2444" s="665"/>
      <c r="AE2444" s="665"/>
      <c r="AF2444" s="649"/>
      <c r="AG2444" s="650"/>
      <c r="AH2444" s="650"/>
      <c r="AI2444" s="667"/>
    </row>
    <row r="2445" spans="12:35" ht="45" customHeight="1" thickBot="1" x14ac:dyDescent="0.25">
      <c r="L2445" s="645"/>
      <c r="M2445" s="616"/>
      <c r="N2445" s="616"/>
      <c r="O2445" s="616"/>
      <c r="P2445" s="615"/>
      <c r="Q2445" s="616"/>
      <c r="R2445" s="663"/>
      <c r="S2445" s="459"/>
      <c r="T2445" s="459"/>
      <c r="U2445" s="459"/>
      <c r="V2445" s="459"/>
      <c r="W2445" s="459"/>
      <c r="X2445" s="459"/>
      <c r="Y2445" s="666"/>
      <c r="Z2445" s="664"/>
      <c r="AA2445" s="665"/>
      <c r="AB2445" s="665"/>
      <c r="AC2445" s="665"/>
      <c r="AD2445" s="665"/>
      <c r="AE2445" s="665"/>
      <c r="AF2445" s="649"/>
      <c r="AG2445" s="650"/>
      <c r="AH2445" s="650"/>
      <c r="AI2445" s="667"/>
    </row>
    <row r="2446" spans="12:35" ht="45" customHeight="1" thickBot="1" x14ac:dyDescent="0.25">
      <c r="L2446" s="645"/>
      <c r="M2446" s="616"/>
      <c r="N2446" s="616"/>
      <c r="O2446" s="616"/>
      <c r="P2446" s="615"/>
      <c r="Q2446" s="616"/>
      <c r="R2446" s="663"/>
      <c r="S2446" s="459"/>
      <c r="T2446" s="459"/>
      <c r="U2446" s="459"/>
      <c r="V2446" s="459"/>
      <c r="W2446" s="459"/>
      <c r="X2446" s="459"/>
      <c r="Y2446" s="666"/>
      <c r="Z2446" s="664"/>
      <c r="AA2446" s="665"/>
      <c r="AB2446" s="665"/>
      <c r="AC2446" s="665"/>
      <c r="AD2446" s="665"/>
      <c r="AE2446" s="665"/>
      <c r="AF2446" s="649"/>
      <c r="AG2446" s="650"/>
      <c r="AH2446" s="650"/>
      <c r="AI2446" s="667"/>
    </row>
    <row r="2447" spans="12:35" ht="45" customHeight="1" thickBot="1" x14ac:dyDescent="0.25">
      <c r="L2447" s="645"/>
      <c r="M2447" s="616"/>
      <c r="N2447" s="616"/>
      <c r="O2447" s="616"/>
      <c r="P2447" s="615"/>
      <c r="Q2447" s="616"/>
      <c r="R2447" s="663"/>
      <c r="S2447" s="459"/>
      <c r="T2447" s="459"/>
      <c r="U2447" s="459"/>
      <c r="V2447" s="459"/>
      <c r="W2447" s="459"/>
      <c r="X2447" s="459"/>
      <c r="Y2447" s="666"/>
      <c r="Z2447" s="664"/>
      <c r="AA2447" s="665"/>
      <c r="AB2447" s="665"/>
      <c r="AC2447" s="665"/>
      <c r="AD2447" s="665"/>
      <c r="AE2447" s="665"/>
      <c r="AF2447" s="649"/>
      <c r="AG2447" s="650"/>
      <c r="AH2447" s="650"/>
      <c r="AI2447" s="667"/>
    </row>
    <row r="2448" spans="12:35" ht="45" customHeight="1" thickBot="1" x14ac:dyDescent="0.25">
      <c r="L2448" s="645"/>
      <c r="M2448" s="616"/>
      <c r="N2448" s="616"/>
      <c r="O2448" s="616"/>
      <c r="P2448" s="615"/>
      <c r="Q2448" s="616"/>
      <c r="R2448" s="663"/>
      <c r="S2448" s="459"/>
      <c r="T2448" s="459"/>
      <c r="U2448" s="459"/>
      <c r="V2448" s="459"/>
      <c r="W2448" s="459"/>
      <c r="X2448" s="459"/>
      <c r="Y2448" s="666"/>
      <c r="Z2448" s="664"/>
      <c r="AA2448" s="665"/>
      <c r="AB2448" s="665"/>
      <c r="AC2448" s="665"/>
      <c r="AD2448" s="665"/>
      <c r="AE2448" s="665"/>
      <c r="AF2448" s="649"/>
      <c r="AG2448" s="650"/>
      <c r="AH2448" s="650"/>
      <c r="AI2448" s="667"/>
    </row>
    <row r="2449" spans="12:35" ht="45" customHeight="1" thickBot="1" x14ac:dyDescent="0.25">
      <c r="L2449" s="645"/>
      <c r="M2449" s="616"/>
      <c r="N2449" s="616"/>
      <c r="O2449" s="616"/>
      <c r="P2449" s="615"/>
      <c r="Q2449" s="616"/>
      <c r="R2449" s="663"/>
      <c r="S2449" s="459"/>
      <c r="T2449" s="459"/>
      <c r="U2449" s="459"/>
      <c r="V2449" s="459"/>
      <c r="W2449" s="459"/>
      <c r="X2449" s="459"/>
      <c r="Y2449" s="666"/>
      <c r="Z2449" s="664"/>
      <c r="AA2449" s="665"/>
      <c r="AB2449" s="665"/>
      <c r="AC2449" s="665"/>
      <c r="AD2449" s="665"/>
      <c r="AE2449" s="665"/>
      <c r="AF2449" s="649"/>
      <c r="AG2449" s="650"/>
      <c r="AH2449" s="650"/>
      <c r="AI2449" s="667"/>
    </row>
    <row r="2450" spans="12:35" ht="45" customHeight="1" thickBot="1" x14ac:dyDescent="0.25">
      <c r="L2450" s="645"/>
      <c r="M2450" s="616"/>
      <c r="N2450" s="616"/>
      <c r="O2450" s="616"/>
      <c r="P2450" s="615"/>
      <c r="Q2450" s="616"/>
      <c r="R2450" s="663"/>
      <c r="S2450" s="459"/>
      <c r="T2450" s="459"/>
      <c r="U2450" s="459"/>
      <c r="V2450" s="459"/>
      <c r="W2450" s="459"/>
      <c r="X2450" s="459"/>
      <c r="Y2450" s="666"/>
      <c r="Z2450" s="664"/>
      <c r="AA2450" s="665"/>
      <c r="AB2450" s="665"/>
      <c r="AC2450" s="665"/>
      <c r="AD2450" s="665"/>
      <c r="AE2450" s="665"/>
      <c r="AF2450" s="649"/>
      <c r="AG2450" s="650"/>
      <c r="AH2450" s="650"/>
      <c r="AI2450" s="667"/>
    </row>
    <row r="2451" spans="12:35" ht="45" customHeight="1" thickBot="1" x14ac:dyDescent="0.25">
      <c r="L2451" s="645"/>
      <c r="M2451" s="616"/>
      <c r="N2451" s="616"/>
      <c r="O2451" s="616"/>
      <c r="P2451" s="615"/>
      <c r="Q2451" s="616"/>
      <c r="R2451" s="663"/>
      <c r="S2451" s="459"/>
      <c r="T2451" s="459"/>
      <c r="U2451" s="459"/>
      <c r="V2451" s="459"/>
      <c r="W2451" s="459"/>
      <c r="X2451" s="459"/>
      <c r="Y2451" s="666"/>
      <c r="Z2451" s="664"/>
      <c r="AA2451" s="665"/>
      <c r="AB2451" s="665"/>
      <c r="AC2451" s="665"/>
      <c r="AD2451" s="665"/>
      <c r="AE2451" s="665"/>
      <c r="AF2451" s="649"/>
      <c r="AG2451" s="650"/>
      <c r="AH2451" s="650"/>
      <c r="AI2451" s="667"/>
    </row>
    <row r="2452" spans="12:35" ht="45" customHeight="1" thickBot="1" x14ac:dyDescent="0.25">
      <c r="L2452" s="645"/>
      <c r="M2452" s="616"/>
      <c r="N2452" s="616"/>
      <c r="O2452" s="616"/>
      <c r="P2452" s="615"/>
      <c r="Q2452" s="616"/>
      <c r="R2452" s="663"/>
      <c r="S2452" s="459"/>
      <c r="T2452" s="459"/>
      <c r="U2452" s="459"/>
      <c r="V2452" s="459"/>
      <c r="W2452" s="459"/>
      <c r="X2452" s="459"/>
      <c r="Y2452" s="666"/>
      <c r="Z2452" s="664"/>
      <c r="AA2452" s="665"/>
      <c r="AB2452" s="665"/>
      <c r="AC2452" s="665"/>
      <c r="AD2452" s="665"/>
      <c r="AE2452" s="665"/>
      <c r="AF2452" s="649"/>
      <c r="AG2452" s="650"/>
      <c r="AH2452" s="650"/>
      <c r="AI2452" s="667"/>
    </row>
    <row r="2453" spans="12:35" ht="45" customHeight="1" thickBot="1" x14ac:dyDescent="0.25">
      <c r="L2453" s="645"/>
      <c r="M2453" s="616"/>
      <c r="N2453" s="616"/>
      <c r="O2453" s="616"/>
      <c r="P2453" s="615"/>
      <c r="Q2453" s="616"/>
      <c r="R2453" s="663"/>
      <c r="S2453" s="459"/>
      <c r="T2453" s="459"/>
      <c r="U2453" s="459"/>
      <c r="V2453" s="459"/>
      <c r="W2453" s="459"/>
      <c r="X2453" s="459"/>
      <c r="Y2453" s="666"/>
      <c r="Z2453" s="664"/>
      <c r="AA2453" s="665"/>
      <c r="AB2453" s="665"/>
      <c r="AC2453" s="665"/>
      <c r="AD2453" s="665"/>
      <c r="AE2453" s="665"/>
      <c r="AF2453" s="649"/>
      <c r="AG2453" s="650"/>
      <c r="AH2453" s="650"/>
      <c r="AI2453" s="667"/>
    </row>
    <row r="2454" spans="12:35" ht="45" customHeight="1" thickBot="1" x14ac:dyDescent="0.25">
      <c r="L2454" s="645"/>
      <c r="M2454" s="616"/>
      <c r="N2454" s="616"/>
      <c r="O2454" s="616"/>
      <c r="P2454" s="615"/>
      <c r="Q2454" s="616"/>
      <c r="R2454" s="663"/>
      <c r="S2454" s="459"/>
      <c r="T2454" s="459"/>
      <c r="U2454" s="459"/>
      <c r="V2454" s="459"/>
      <c r="W2454" s="459"/>
      <c r="X2454" s="459"/>
      <c r="Y2454" s="666"/>
      <c r="Z2454" s="664"/>
      <c r="AA2454" s="665"/>
      <c r="AB2454" s="665"/>
      <c r="AC2454" s="665"/>
      <c r="AD2454" s="665"/>
      <c r="AE2454" s="665"/>
      <c r="AF2454" s="649"/>
      <c r="AG2454" s="650"/>
      <c r="AH2454" s="650"/>
      <c r="AI2454" s="667"/>
    </row>
    <row r="2455" spans="12:35" ht="45" customHeight="1" thickBot="1" x14ac:dyDescent="0.25">
      <c r="L2455" s="645"/>
      <c r="M2455" s="616"/>
      <c r="N2455" s="616"/>
      <c r="O2455" s="616"/>
      <c r="P2455" s="615"/>
      <c r="Q2455" s="616"/>
      <c r="R2455" s="663"/>
      <c r="S2455" s="459"/>
      <c r="T2455" s="459"/>
      <c r="U2455" s="459"/>
      <c r="V2455" s="459"/>
      <c r="W2455" s="459"/>
      <c r="X2455" s="459"/>
      <c r="Y2455" s="666"/>
      <c r="Z2455" s="664"/>
      <c r="AA2455" s="665"/>
      <c r="AB2455" s="665"/>
      <c r="AC2455" s="665"/>
      <c r="AD2455" s="665"/>
      <c r="AE2455" s="665"/>
      <c r="AF2455" s="649"/>
      <c r="AG2455" s="650"/>
      <c r="AH2455" s="650"/>
      <c r="AI2455" s="667"/>
    </row>
    <row r="2456" spans="12:35" ht="45" customHeight="1" thickBot="1" x14ac:dyDescent="0.25">
      <c r="L2456" s="645"/>
      <c r="M2456" s="616"/>
      <c r="N2456" s="616"/>
      <c r="O2456" s="616"/>
      <c r="P2456" s="615"/>
      <c r="Q2456" s="616"/>
      <c r="R2456" s="663"/>
      <c r="S2456" s="459"/>
      <c r="T2456" s="459"/>
      <c r="U2456" s="459"/>
      <c r="V2456" s="459"/>
      <c r="W2456" s="459"/>
      <c r="X2456" s="459"/>
      <c r="Y2456" s="666"/>
      <c r="Z2456" s="664"/>
      <c r="AA2456" s="665"/>
      <c r="AB2456" s="665"/>
      <c r="AC2456" s="665"/>
      <c r="AD2456" s="665"/>
      <c r="AE2456" s="665"/>
      <c r="AF2456" s="649"/>
      <c r="AG2456" s="650"/>
      <c r="AH2456" s="650"/>
      <c r="AI2456" s="667"/>
    </row>
    <row r="2457" spans="12:35" ht="45" customHeight="1" thickBot="1" x14ac:dyDescent="0.25">
      <c r="L2457" s="645"/>
      <c r="M2457" s="616"/>
      <c r="N2457" s="616"/>
      <c r="O2457" s="616"/>
      <c r="P2457" s="615"/>
      <c r="Q2457" s="616"/>
      <c r="R2457" s="663"/>
      <c r="S2457" s="459"/>
      <c r="T2457" s="459"/>
      <c r="U2457" s="459"/>
      <c r="V2457" s="459"/>
      <c r="W2457" s="459"/>
      <c r="X2457" s="459"/>
      <c r="Y2457" s="666"/>
      <c r="Z2457" s="664"/>
      <c r="AA2457" s="665"/>
      <c r="AB2457" s="665"/>
      <c r="AC2457" s="665"/>
      <c r="AD2457" s="665"/>
      <c r="AE2457" s="665"/>
      <c r="AF2457" s="649"/>
      <c r="AG2457" s="650"/>
      <c r="AH2457" s="650"/>
      <c r="AI2457" s="667"/>
    </row>
    <row r="2458" spans="12:35" ht="45" customHeight="1" thickBot="1" x14ac:dyDescent="0.25">
      <c r="L2458" s="645"/>
      <c r="M2458" s="616"/>
      <c r="N2458" s="616"/>
      <c r="O2458" s="616"/>
      <c r="P2458" s="615"/>
      <c r="Q2458" s="616"/>
      <c r="R2458" s="663"/>
      <c r="S2458" s="459"/>
      <c r="T2458" s="459"/>
      <c r="U2458" s="459"/>
      <c r="V2458" s="459"/>
      <c r="W2458" s="459"/>
      <c r="X2458" s="459"/>
      <c r="Y2458" s="666"/>
      <c r="Z2458" s="664"/>
      <c r="AA2458" s="665"/>
      <c r="AB2458" s="665"/>
      <c r="AC2458" s="665"/>
      <c r="AD2458" s="665"/>
      <c r="AE2458" s="665"/>
      <c r="AF2458" s="649"/>
      <c r="AG2458" s="650"/>
      <c r="AH2458" s="650"/>
      <c r="AI2458" s="667"/>
    </row>
    <row r="2459" spans="12:35" ht="45" customHeight="1" thickBot="1" x14ac:dyDescent="0.25">
      <c r="L2459" s="645"/>
      <c r="M2459" s="616"/>
      <c r="N2459" s="616"/>
      <c r="O2459" s="616"/>
      <c r="P2459" s="615"/>
      <c r="Q2459" s="616"/>
      <c r="R2459" s="663"/>
      <c r="S2459" s="459"/>
      <c r="T2459" s="459"/>
      <c r="U2459" s="459"/>
      <c r="V2459" s="459"/>
      <c r="W2459" s="459"/>
      <c r="X2459" s="459"/>
      <c r="Y2459" s="666"/>
      <c r="Z2459" s="664"/>
      <c r="AA2459" s="665"/>
      <c r="AB2459" s="665"/>
      <c r="AC2459" s="665"/>
      <c r="AD2459" s="665"/>
      <c r="AE2459" s="665"/>
      <c r="AF2459" s="649"/>
      <c r="AG2459" s="650"/>
      <c r="AH2459" s="650"/>
      <c r="AI2459" s="667"/>
    </row>
    <row r="2460" spans="12:35" ht="45" customHeight="1" thickBot="1" x14ac:dyDescent="0.25">
      <c r="L2460" s="645"/>
      <c r="M2460" s="616"/>
      <c r="N2460" s="616"/>
      <c r="O2460" s="616"/>
      <c r="P2460" s="615"/>
      <c r="Q2460" s="616"/>
      <c r="R2460" s="663"/>
      <c r="S2460" s="459"/>
      <c r="T2460" s="459"/>
      <c r="U2460" s="459"/>
      <c r="V2460" s="459"/>
      <c r="W2460" s="459"/>
      <c r="X2460" s="459"/>
      <c r="Y2460" s="666"/>
      <c r="Z2460" s="664"/>
      <c r="AA2460" s="665"/>
      <c r="AB2460" s="665"/>
      <c r="AC2460" s="665"/>
      <c r="AD2460" s="665"/>
      <c r="AE2460" s="665"/>
      <c r="AF2460" s="649"/>
      <c r="AG2460" s="650"/>
      <c r="AH2460" s="650"/>
      <c r="AI2460" s="667"/>
    </row>
    <row r="2461" spans="12:35" ht="45" customHeight="1" thickBot="1" x14ac:dyDescent="0.25">
      <c r="L2461" s="645"/>
      <c r="M2461" s="616"/>
      <c r="N2461" s="616"/>
      <c r="O2461" s="616"/>
      <c r="P2461" s="615"/>
      <c r="Q2461" s="616"/>
      <c r="R2461" s="663"/>
      <c r="S2461" s="459"/>
      <c r="T2461" s="459"/>
      <c r="U2461" s="459"/>
      <c r="V2461" s="459"/>
      <c r="W2461" s="459"/>
      <c r="X2461" s="459"/>
      <c r="Y2461" s="666"/>
      <c r="Z2461" s="664"/>
      <c r="AA2461" s="665"/>
      <c r="AB2461" s="665"/>
      <c r="AC2461" s="665"/>
      <c r="AD2461" s="665"/>
      <c r="AE2461" s="665"/>
      <c r="AF2461" s="649"/>
      <c r="AG2461" s="650"/>
      <c r="AH2461" s="650"/>
      <c r="AI2461" s="667"/>
    </row>
    <row r="2462" spans="12:35" ht="45" customHeight="1" thickBot="1" x14ac:dyDescent="0.25">
      <c r="L2462" s="645"/>
      <c r="M2462" s="616"/>
      <c r="N2462" s="616"/>
      <c r="O2462" s="616"/>
      <c r="P2462" s="615"/>
      <c r="Q2462" s="616"/>
      <c r="R2462" s="663"/>
      <c r="S2462" s="459"/>
      <c r="T2462" s="459"/>
      <c r="U2462" s="459"/>
      <c r="V2462" s="459"/>
      <c r="W2462" s="459"/>
      <c r="X2462" s="459"/>
      <c r="Y2462" s="666"/>
      <c r="Z2462" s="664"/>
      <c r="AA2462" s="665"/>
      <c r="AB2462" s="665"/>
      <c r="AC2462" s="665"/>
      <c r="AD2462" s="665"/>
      <c r="AE2462" s="665"/>
      <c r="AF2462" s="649"/>
      <c r="AG2462" s="650"/>
      <c r="AH2462" s="650"/>
      <c r="AI2462" s="667"/>
    </row>
    <row r="2463" spans="12:35" ht="45" customHeight="1" thickBot="1" x14ac:dyDescent="0.25">
      <c r="L2463" s="645"/>
      <c r="M2463" s="616"/>
      <c r="N2463" s="616"/>
      <c r="O2463" s="616"/>
      <c r="P2463" s="615"/>
      <c r="Q2463" s="616"/>
      <c r="R2463" s="663"/>
      <c r="S2463" s="459"/>
      <c r="T2463" s="459"/>
      <c r="U2463" s="459"/>
      <c r="V2463" s="459"/>
      <c r="W2463" s="459"/>
      <c r="X2463" s="459"/>
      <c r="Y2463" s="666"/>
      <c r="Z2463" s="664"/>
      <c r="AA2463" s="665"/>
      <c r="AB2463" s="665"/>
      <c r="AC2463" s="665"/>
      <c r="AD2463" s="665"/>
      <c r="AE2463" s="665"/>
      <c r="AF2463" s="649"/>
      <c r="AG2463" s="650"/>
      <c r="AH2463" s="650"/>
      <c r="AI2463" s="667"/>
    </row>
    <row r="2464" spans="12:35" ht="45" customHeight="1" thickBot="1" x14ac:dyDescent="0.25">
      <c r="L2464" s="645"/>
      <c r="M2464" s="616"/>
      <c r="N2464" s="616"/>
      <c r="O2464" s="616"/>
      <c r="P2464" s="615"/>
      <c r="Q2464" s="616"/>
      <c r="R2464" s="663"/>
      <c r="S2464" s="459"/>
      <c r="T2464" s="459"/>
      <c r="U2464" s="459"/>
      <c r="V2464" s="459"/>
      <c r="W2464" s="459"/>
      <c r="X2464" s="459"/>
      <c r="Y2464" s="666"/>
      <c r="Z2464" s="664"/>
      <c r="AA2464" s="665"/>
      <c r="AB2464" s="665"/>
      <c r="AC2464" s="665"/>
      <c r="AD2464" s="665"/>
      <c r="AE2464" s="665"/>
      <c r="AF2464" s="649"/>
      <c r="AG2464" s="650"/>
      <c r="AH2464" s="650"/>
      <c r="AI2464" s="667"/>
    </row>
    <row r="2465" spans="12:35" ht="45" customHeight="1" thickBot="1" x14ac:dyDescent="0.25">
      <c r="L2465" s="645"/>
      <c r="M2465" s="616"/>
      <c r="N2465" s="616"/>
      <c r="O2465" s="616"/>
      <c r="P2465" s="615"/>
      <c r="Q2465" s="616"/>
      <c r="R2465" s="663"/>
      <c r="S2465" s="459"/>
      <c r="T2465" s="459"/>
      <c r="U2465" s="459"/>
      <c r="V2465" s="459"/>
      <c r="W2465" s="459"/>
      <c r="X2465" s="459"/>
      <c r="Y2465" s="666"/>
      <c r="Z2465" s="664"/>
      <c r="AA2465" s="665"/>
      <c r="AB2465" s="665"/>
      <c r="AC2465" s="665"/>
      <c r="AD2465" s="665"/>
      <c r="AE2465" s="665"/>
      <c r="AF2465" s="649"/>
      <c r="AG2465" s="650"/>
      <c r="AH2465" s="650"/>
      <c r="AI2465" s="667"/>
    </row>
    <row r="2466" spans="12:35" ht="45" customHeight="1" thickBot="1" x14ac:dyDescent="0.25">
      <c r="L2466" s="645"/>
      <c r="M2466" s="616"/>
      <c r="N2466" s="616"/>
      <c r="O2466" s="616"/>
      <c r="P2466" s="615"/>
      <c r="Q2466" s="616"/>
      <c r="R2466" s="663"/>
      <c r="S2466" s="459"/>
      <c r="T2466" s="459"/>
      <c r="U2466" s="459"/>
      <c r="V2466" s="459"/>
      <c r="W2466" s="459"/>
      <c r="X2466" s="459"/>
      <c r="Y2466" s="666"/>
      <c r="Z2466" s="664"/>
      <c r="AA2466" s="665"/>
      <c r="AB2466" s="665"/>
      <c r="AC2466" s="665"/>
      <c r="AD2466" s="665"/>
      <c r="AE2466" s="665"/>
      <c r="AF2466" s="649"/>
      <c r="AG2466" s="650"/>
      <c r="AH2466" s="650"/>
      <c r="AI2466" s="667"/>
    </row>
    <row r="2467" spans="12:35" ht="45" customHeight="1" thickBot="1" x14ac:dyDescent="0.25">
      <c r="L2467" s="645"/>
      <c r="M2467" s="616"/>
      <c r="N2467" s="616"/>
      <c r="O2467" s="616"/>
      <c r="P2467" s="615"/>
      <c r="Q2467" s="616"/>
      <c r="R2467" s="663"/>
      <c r="S2467" s="459"/>
      <c r="T2467" s="459"/>
      <c r="U2467" s="459"/>
      <c r="V2467" s="459"/>
      <c r="W2467" s="459"/>
      <c r="X2467" s="459"/>
      <c r="Y2467" s="666"/>
      <c r="Z2467" s="664"/>
      <c r="AA2467" s="665"/>
      <c r="AB2467" s="665"/>
      <c r="AC2467" s="665"/>
      <c r="AD2467" s="665"/>
      <c r="AE2467" s="665"/>
      <c r="AF2467" s="649"/>
      <c r="AG2467" s="650"/>
      <c r="AH2467" s="650"/>
      <c r="AI2467" s="667"/>
    </row>
    <row r="2468" spans="12:35" ht="45" customHeight="1" thickBot="1" x14ac:dyDescent="0.25">
      <c r="L2468" s="645"/>
      <c r="M2468" s="616"/>
      <c r="N2468" s="616"/>
      <c r="O2468" s="616"/>
      <c r="P2468" s="615"/>
      <c r="Q2468" s="616"/>
      <c r="R2468" s="663"/>
      <c r="S2468" s="459"/>
      <c r="T2468" s="459"/>
      <c r="U2468" s="459"/>
      <c r="V2468" s="459"/>
      <c r="W2468" s="459"/>
      <c r="X2468" s="459"/>
      <c r="Y2468" s="666"/>
      <c r="Z2468" s="664"/>
      <c r="AA2468" s="665"/>
      <c r="AB2468" s="665"/>
      <c r="AC2468" s="665"/>
      <c r="AD2468" s="665"/>
      <c r="AE2468" s="665"/>
      <c r="AF2468" s="649"/>
      <c r="AG2468" s="650"/>
      <c r="AH2468" s="650"/>
      <c r="AI2468" s="667"/>
    </row>
    <row r="2469" spans="12:35" ht="45" customHeight="1" thickBot="1" x14ac:dyDescent="0.25">
      <c r="L2469" s="645"/>
      <c r="M2469" s="616"/>
      <c r="N2469" s="616"/>
      <c r="O2469" s="616"/>
      <c r="P2469" s="615"/>
      <c r="Q2469" s="616"/>
      <c r="R2469" s="663"/>
      <c r="S2469" s="459"/>
      <c r="T2469" s="459"/>
      <c r="U2469" s="459"/>
      <c r="V2469" s="459"/>
      <c r="W2469" s="459"/>
      <c r="X2469" s="459"/>
      <c r="Y2469" s="666"/>
      <c r="Z2469" s="664"/>
      <c r="AA2469" s="665"/>
      <c r="AB2469" s="665"/>
      <c r="AC2469" s="665"/>
      <c r="AD2469" s="665"/>
      <c r="AE2469" s="665"/>
      <c r="AF2469" s="649"/>
      <c r="AG2469" s="650"/>
      <c r="AH2469" s="650"/>
      <c r="AI2469" s="667"/>
    </row>
    <row r="2470" spans="12:35" ht="45" customHeight="1" thickBot="1" x14ac:dyDescent="0.25">
      <c r="L2470" s="645"/>
      <c r="M2470" s="616"/>
      <c r="N2470" s="616"/>
      <c r="O2470" s="616"/>
      <c r="P2470" s="615"/>
      <c r="Q2470" s="616"/>
      <c r="R2470" s="663"/>
      <c r="S2470" s="459"/>
      <c r="T2470" s="459"/>
      <c r="U2470" s="459"/>
      <c r="V2470" s="459"/>
      <c r="W2470" s="459"/>
      <c r="X2470" s="459"/>
      <c r="Y2470" s="666"/>
      <c r="Z2470" s="664"/>
      <c r="AA2470" s="665"/>
      <c r="AB2470" s="665"/>
      <c r="AC2470" s="665"/>
      <c r="AD2470" s="665"/>
      <c r="AE2470" s="665"/>
      <c r="AF2470" s="649"/>
      <c r="AG2470" s="650"/>
      <c r="AH2470" s="650"/>
      <c r="AI2470" s="667"/>
    </row>
    <row r="2471" spans="12:35" ht="45" customHeight="1" thickBot="1" x14ac:dyDescent="0.25">
      <c r="L2471" s="645"/>
      <c r="M2471" s="616"/>
      <c r="N2471" s="616"/>
      <c r="O2471" s="616"/>
      <c r="P2471" s="615"/>
      <c r="Q2471" s="616"/>
      <c r="R2471" s="663"/>
      <c r="S2471" s="459"/>
      <c r="T2471" s="459"/>
      <c r="U2471" s="459"/>
      <c r="V2471" s="459"/>
      <c r="W2471" s="459"/>
      <c r="X2471" s="459"/>
      <c r="Y2471" s="666"/>
      <c r="Z2471" s="664"/>
      <c r="AA2471" s="665"/>
      <c r="AB2471" s="665"/>
      <c r="AC2471" s="665"/>
      <c r="AD2471" s="665"/>
      <c r="AE2471" s="665"/>
      <c r="AF2471" s="649"/>
      <c r="AG2471" s="650"/>
      <c r="AH2471" s="650"/>
      <c r="AI2471" s="667"/>
    </row>
    <row r="2472" spans="12:35" ht="45" customHeight="1" thickBot="1" x14ac:dyDescent="0.25">
      <c r="L2472" s="645"/>
      <c r="M2472" s="616"/>
      <c r="N2472" s="616"/>
      <c r="O2472" s="616"/>
      <c r="P2472" s="615"/>
      <c r="Q2472" s="616"/>
      <c r="R2472" s="663"/>
      <c r="S2472" s="459"/>
      <c r="T2472" s="459"/>
      <c r="U2472" s="459"/>
      <c r="V2472" s="459"/>
      <c r="W2472" s="459"/>
      <c r="X2472" s="459"/>
      <c r="Y2472" s="666"/>
      <c r="Z2472" s="664"/>
      <c r="AA2472" s="665"/>
      <c r="AB2472" s="665"/>
      <c r="AC2472" s="665"/>
      <c r="AD2472" s="665"/>
      <c r="AE2472" s="665"/>
      <c r="AF2472" s="649"/>
      <c r="AG2472" s="650"/>
      <c r="AH2472" s="650"/>
      <c r="AI2472" s="667"/>
    </row>
    <row r="2473" spans="12:35" ht="45" customHeight="1" thickBot="1" x14ac:dyDescent="0.25">
      <c r="L2473" s="645"/>
      <c r="M2473" s="616"/>
      <c r="N2473" s="616"/>
      <c r="O2473" s="616"/>
      <c r="P2473" s="615"/>
      <c r="Q2473" s="616"/>
      <c r="R2473" s="663"/>
      <c r="S2473" s="459"/>
      <c r="T2473" s="459"/>
      <c r="U2473" s="459"/>
      <c r="V2473" s="459"/>
      <c r="W2473" s="459"/>
      <c r="X2473" s="459"/>
      <c r="Y2473" s="666"/>
      <c r="Z2473" s="664"/>
      <c r="AA2473" s="665"/>
      <c r="AB2473" s="665"/>
      <c r="AC2473" s="665"/>
      <c r="AD2473" s="665"/>
      <c r="AE2473" s="665"/>
      <c r="AF2473" s="649"/>
      <c r="AG2473" s="650"/>
      <c r="AH2473" s="650"/>
      <c r="AI2473" s="667"/>
    </row>
    <row r="2474" spans="12:35" ht="45" customHeight="1" thickBot="1" x14ac:dyDescent="0.25">
      <c r="L2474" s="645"/>
      <c r="M2474" s="616"/>
      <c r="N2474" s="616"/>
      <c r="O2474" s="616"/>
      <c r="P2474" s="615"/>
      <c r="Q2474" s="616"/>
      <c r="R2474" s="663"/>
      <c r="S2474" s="459"/>
      <c r="T2474" s="459"/>
      <c r="U2474" s="459"/>
      <c r="V2474" s="459"/>
      <c r="W2474" s="459"/>
      <c r="X2474" s="459"/>
      <c r="Y2474" s="666"/>
      <c r="Z2474" s="664"/>
      <c r="AA2474" s="665"/>
      <c r="AB2474" s="665"/>
      <c r="AC2474" s="665"/>
      <c r="AD2474" s="665"/>
      <c r="AE2474" s="665"/>
      <c r="AF2474" s="649"/>
      <c r="AG2474" s="650"/>
      <c r="AH2474" s="650"/>
      <c r="AI2474" s="667"/>
    </row>
    <row r="2475" spans="12:35" ht="45" customHeight="1" thickBot="1" x14ac:dyDescent="0.25">
      <c r="L2475" s="645"/>
      <c r="M2475" s="616"/>
      <c r="N2475" s="616"/>
      <c r="O2475" s="616"/>
      <c r="P2475" s="615"/>
      <c r="Q2475" s="616"/>
      <c r="R2475" s="663"/>
      <c r="S2475" s="459"/>
      <c r="T2475" s="459"/>
      <c r="U2475" s="459"/>
      <c r="V2475" s="459"/>
      <c r="W2475" s="459"/>
      <c r="X2475" s="459"/>
      <c r="Y2475" s="666"/>
      <c r="Z2475" s="664"/>
      <c r="AA2475" s="665"/>
      <c r="AB2475" s="665"/>
      <c r="AC2475" s="665"/>
      <c r="AD2475" s="665"/>
      <c r="AE2475" s="665"/>
      <c r="AF2475" s="649"/>
      <c r="AG2475" s="650"/>
      <c r="AH2475" s="650"/>
      <c r="AI2475" s="667"/>
    </row>
    <row r="2476" spans="12:35" ht="45" customHeight="1" thickBot="1" x14ac:dyDescent="0.25">
      <c r="L2476" s="645"/>
      <c r="M2476" s="616"/>
      <c r="N2476" s="616"/>
      <c r="O2476" s="616"/>
      <c r="P2476" s="615"/>
      <c r="Q2476" s="616"/>
      <c r="R2476" s="663"/>
      <c r="S2476" s="459"/>
      <c r="T2476" s="459"/>
      <c r="U2476" s="459"/>
      <c r="V2476" s="459"/>
      <c r="W2476" s="459"/>
      <c r="X2476" s="459"/>
      <c r="Y2476" s="666"/>
      <c r="Z2476" s="664"/>
      <c r="AA2476" s="665"/>
      <c r="AB2476" s="665"/>
      <c r="AC2476" s="665"/>
      <c r="AD2476" s="665"/>
      <c r="AE2476" s="665"/>
      <c r="AF2476" s="649"/>
      <c r="AG2476" s="650"/>
      <c r="AH2476" s="650"/>
      <c r="AI2476" s="667"/>
    </row>
    <row r="2477" spans="12:35" ht="45" customHeight="1" thickBot="1" x14ac:dyDescent="0.25">
      <c r="L2477" s="645"/>
      <c r="M2477" s="616"/>
      <c r="N2477" s="616"/>
      <c r="O2477" s="616"/>
      <c r="P2477" s="615"/>
      <c r="Q2477" s="616"/>
      <c r="R2477" s="663"/>
      <c r="S2477" s="459"/>
      <c r="T2477" s="459"/>
      <c r="U2477" s="459"/>
      <c r="V2477" s="459"/>
      <c r="W2477" s="459"/>
      <c r="X2477" s="459"/>
      <c r="Y2477" s="666"/>
      <c r="Z2477" s="664"/>
      <c r="AA2477" s="665"/>
      <c r="AB2477" s="665"/>
      <c r="AC2477" s="665"/>
      <c r="AD2477" s="665"/>
      <c r="AE2477" s="665"/>
      <c r="AF2477" s="649"/>
      <c r="AG2477" s="650"/>
      <c r="AH2477" s="650"/>
      <c r="AI2477" s="667"/>
    </row>
    <row r="2478" spans="12:35" ht="45" customHeight="1" thickBot="1" x14ac:dyDescent="0.25">
      <c r="L2478" s="645"/>
      <c r="M2478" s="616"/>
      <c r="N2478" s="616"/>
      <c r="O2478" s="616"/>
      <c r="P2478" s="615"/>
      <c r="Q2478" s="616"/>
      <c r="R2478" s="663"/>
      <c r="S2478" s="459"/>
      <c r="T2478" s="459"/>
      <c r="U2478" s="459"/>
      <c r="V2478" s="459"/>
      <c r="W2478" s="459"/>
      <c r="X2478" s="459"/>
      <c r="Y2478" s="666"/>
      <c r="Z2478" s="664"/>
      <c r="AA2478" s="665"/>
      <c r="AB2478" s="665"/>
      <c r="AC2478" s="665"/>
      <c r="AD2478" s="665"/>
      <c r="AE2478" s="665"/>
      <c r="AF2478" s="649"/>
      <c r="AG2478" s="650"/>
      <c r="AH2478" s="650"/>
      <c r="AI2478" s="667"/>
    </row>
    <row r="2479" spans="12:35" ht="45" customHeight="1" thickBot="1" x14ac:dyDescent="0.25">
      <c r="L2479" s="645"/>
      <c r="M2479" s="616"/>
      <c r="N2479" s="616"/>
      <c r="O2479" s="616"/>
      <c r="P2479" s="615"/>
      <c r="Q2479" s="616"/>
      <c r="R2479" s="663"/>
      <c r="S2479" s="459"/>
      <c r="T2479" s="459"/>
      <c r="U2479" s="459"/>
      <c r="V2479" s="459"/>
      <c r="W2479" s="459"/>
      <c r="X2479" s="459"/>
      <c r="Y2479" s="666"/>
      <c r="Z2479" s="664"/>
      <c r="AA2479" s="665"/>
      <c r="AB2479" s="665"/>
      <c r="AC2479" s="665"/>
      <c r="AD2479" s="665"/>
      <c r="AE2479" s="665"/>
      <c r="AF2479" s="649"/>
      <c r="AG2479" s="650"/>
      <c r="AH2479" s="650"/>
      <c r="AI2479" s="667"/>
    </row>
    <row r="2480" spans="12:35" ht="45" customHeight="1" thickBot="1" x14ac:dyDescent="0.25">
      <c r="L2480" s="645"/>
      <c r="M2480" s="616"/>
      <c r="N2480" s="616"/>
      <c r="O2480" s="616"/>
      <c r="P2480" s="615"/>
      <c r="Q2480" s="616"/>
      <c r="R2480" s="663"/>
      <c r="S2480" s="459"/>
      <c r="T2480" s="459"/>
      <c r="U2480" s="459"/>
      <c r="V2480" s="459"/>
      <c r="W2480" s="459"/>
      <c r="X2480" s="459"/>
      <c r="Y2480" s="666"/>
      <c r="Z2480" s="664"/>
      <c r="AA2480" s="665"/>
      <c r="AB2480" s="665"/>
      <c r="AC2480" s="665"/>
      <c r="AD2480" s="665"/>
      <c r="AE2480" s="665"/>
      <c r="AF2480" s="649"/>
      <c r="AG2480" s="650"/>
      <c r="AH2480" s="650"/>
      <c r="AI2480" s="667"/>
    </row>
    <row r="2481" spans="12:35" ht="45" customHeight="1" thickBot="1" x14ac:dyDescent="0.25">
      <c r="L2481" s="645"/>
      <c r="M2481" s="616"/>
      <c r="N2481" s="616"/>
      <c r="O2481" s="616"/>
      <c r="P2481" s="615"/>
      <c r="Q2481" s="616"/>
      <c r="R2481" s="663"/>
      <c r="S2481" s="459"/>
      <c r="T2481" s="459"/>
      <c r="U2481" s="459"/>
      <c r="V2481" s="459"/>
      <c r="W2481" s="459"/>
      <c r="X2481" s="459"/>
      <c r="Y2481" s="666"/>
      <c r="Z2481" s="664"/>
      <c r="AA2481" s="665"/>
      <c r="AB2481" s="665"/>
      <c r="AC2481" s="665"/>
      <c r="AD2481" s="665"/>
      <c r="AE2481" s="665"/>
      <c r="AF2481" s="649"/>
      <c r="AG2481" s="650"/>
      <c r="AH2481" s="650"/>
      <c r="AI2481" s="667"/>
    </row>
    <row r="2482" spans="12:35" ht="45" customHeight="1" thickBot="1" x14ac:dyDescent="0.25">
      <c r="L2482" s="645"/>
      <c r="M2482" s="616"/>
      <c r="N2482" s="616"/>
      <c r="O2482" s="616"/>
      <c r="P2482" s="615"/>
      <c r="Q2482" s="616"/>
      <c r="R2482" s="663"/>
      <c r="S2482" s="459"/>
      <c r="T2482" s="459"/>
      <c r="U2482" s="459"/>
      <c r="V2482" s="459"/>
      <c r="W2482" s="459"/>
      <c r="X2482" s="459"/>
      <c r="Y2482" s="666"/>
      <c r="Z2482" s="664"/>
      <c r="AA2482" s="665"/>
      <c r="AB2482" s="665"/>
      <c r="AC2482" s="665"/>
      <c r="AD2482" s="665"/>
      <c r="AE2482" s="665"/>
      <c r="AF2482" s="649"/>
      <c r="AG2482" s="650"/>
      <c r="AH2482" s="650"/>
      <c r="AI2482" s="667"/>
    </row>
    <row r="2483" spans="12:35" ht="45" customHeight="1" thickBot="1" x14ac:dyDescent="0.25">
      <c r="L2483" s="645"/>
      <c r="M2483" s="616"/>
      <c r="N2483" s="616"/>
      <c r="O2483" s="616"/>
      <c r="P2483" s="615"/>
      <c r="Q2483" s="616"/>
      <c r="R2483" s="663"/>
      <c r="S2483" s="459"/>
      <c r="T2483" s="459"/>
      <c r="U2483" s="459"/>
      <c r="V2483" s="459"/>
      <c r="W2483" s="459"/>
      <c r="X2483" s="459"/>
      <c r="Y2483" s="666"/>
      <c r="Z2483" s="664"/>
      <c r="AA2483" s="665"/>
      <c r="AB2483" s="665"/>
      <c r="AC2483" s="665"/>
      <c r="AD2483" s="665"/>
      <c r="AE2483" s="665"/>
      <c r="AF2483" s="649"/>
      <c r="AG2483" s="650"/>
      <c r="AH2483" s="650"/>
      <c r="AI2483" s="667"/>
    </row>
    <row r="2484" spans="12:35" ht="45" customHeight="1" thickBot="1" x14ac:dyDescent="0.25">
      <c r="L2484" s="645"/>
      <c r="M2484" s="616"/>
      <c r="N2484" s="616"/>
      <c r="O2484" s="616"/>
      <c r="P2484" s="615"/>
      <c r="Q2484" s="616"/>
      <c r="R2484" s="663"/>
      <c r="S2484" s="459"/>
      <c r="T2484" s="459"/>
      <c r="U2484" s="459"/>
      <c r="V2484" s="459"/>
      <c r="W2484" s="459"/>
      <c r="X2484" s="459"/>
      <c r="Y2484" s="666"/>
      <c r="Z2484" s="664"/>
      <c r="AA2484" s="665"/>
      <c r="AB2484" s="665"/>
      <c r="AC2484" s="665"/>
      <c r="AD2484" s="665"/>
      <c r="AE2484" s="665"/>
      <c r="AF2484" s="649"/>
      <c r="AG2484" s="650"/>
      <c r="AH2484" s="650"/>
      <c r="AI2484" s="667"/>
    </row>
    <row r="2485" spans="12:35" ht="45" customHeight="1" thickBot="1" x14ac:dyDescent="0.25">
      <c r="L2485" s="645"/>
      <c r="M2485" s="616"/>
      <c r="N2485" s="616"/>
      <c r="O2485" s="616"/>
      <c r="P2485" s="615"/>
      <c r="Q2485" s="616"/>
      <c r="R2485" s="663"/>
      <c r="S2485" s="459"/>
      <c r="T2485" s="459"/>
      <c r="U2485" s="459"/>
      <c r="V2485" s="459"/>
      <c r="W2485" s="459"/>
      <c r="X2485" s="459"/>
      <c r="Y2485" s="666"/>
      <c r="Z2485" s="664"/>
      <c r="AA2485" s="665"/>
      <c r="AB2485" s="665"/>
      <c r="AC2485" s="665"/>
      <c r="AD2485" s="665"/>
      <c r="AE2485" s="665"/>
      <c r="AF2485" s="649"/>
      <c r="AG2485" s="650"/>
      <c r="AH2485" s="650"/>
      <c r="AI2485" s="667"/>
    </row>
    <row r="2486" spans="12:35" ht="45" customHeight="1" thickBot="1" x14ac:dyDescent="0.25">
      <c r="L2486" s="645"/>
      <c r="M2486" s="616"/>
      <c r="N2486" s="616"/>
      <c r="O2486" s="616"/>
      <c r="P2486" s="615"/>
      <c r="Q2486" s="616"/>
      <c r="R2486" s="663"/>
      <c r="S2486" s="459"/>
      <c r="T2486" s="459"/>
      <c r="U2486" s="459"/>
      <c r="V2486" s="459"/>
      <c r="W2486" s="459"/>
      <c r="X2486" s="459"/>
      <c r="Y2486" s="666"/>
      <c r="Z2486" s="664"/>
      <c r="AA2486" s="665"/>
      <c r="AB2486" s="665"/>
      <c r="AC2486" s="665"/>
      <c r="AD2486" s="665"/>
      <c r="AE2486" s="665"/>
      <c r="AF2486" s="649"/>
      <c r="AG2486" s="650"/>
      <c r="AH2486" s="650"/>
      <c r="AI2486" s="667"/>
    </row>
    <row r="2487" spans="12:35" ht="45" customHeight="1" thickBot="1" x14ac:dyDescent="0.25">
      <c r="L2487" s="645"/>
      <c r="M2487" s="616"/>
      <c r="N2487" s="616"/>
      <c r="O2487" s="616"/>
      <c r="P2487" s="615"/>
      <c r="Q2487" s="616"/>
      <c r="R2487" s="663"/>
      <c r="S2487" s="459"/>
      <c r="T2487" s="459"/>
      <c r="U2487" s="459"/>
      <c r="V2487" s="459"/>
      <c r="W2487" s="459"/>
      <c r="X2487" s="459"/>
      <c r="Y2487" s="666"/>
      <c r="Z2487" s="664"/>
      <c r="AA2487" s="665"/>
      <c r="AB2487" s="665"/>
      <c r="AC2487" s="665"/>
      <c r="AD2487" s="665"/>
      <c r="AE2487" s="665"/>
      <c r="AF2487" s="649"/>
      <c r="AG2487" s="650"/>
      <c r="AH2487" s="650"/>
      <c r="AI2487" s="667"/>
    </row>
    <row r="2488" spans="12:35" ht="45" customHeight="1" thickBot="1" x14ac:dyDescent="0.25">
      <c r="L2488" s="645"/>
      <c r="M2488" s="616"/>
      <c r="N2488" s="616"/>
      <c r="O2488" s="616"/>
      <c r="P2488" s="615"/>
      <c r="Q2488" s="616"/>
      <c r="R2488" s="663"/>
      <c r="S2488" s="459"/>
      <c r="T2488" s="459"/>
      <c r="U2488" s="459"/>
      <c r="V2488" s="459"/>
      <c r="W2488" s="459"/>
      <c r="X2488" s="459"/>
      <c r="Y2488" s="666"/>
      <c r="Z2488" s="664"/>
      <c r="AA2488" s="665"/>
      <c r="AB2488" s="665"/>
      <c r="AC2488" s="665"/>
      <c r="AD2488" s="665"/>
      <c r="AE2488" s="665"/>
      <c r="AF2488" s="649"/>
      <c r="AG2488" s="650"/>
      <c r="AH2488" s="650"/>
      <c r="AI2488" s="667"/>
    </row>
    <row r="2489" spans="12:35" ht="45" customHeight="1" thickBot="1" x14ac:dyDescent="0.25">
      <c r="L2489" s="645"/>
      <c r="M2489" s="616"/>
      <c r="N2489" s="616"/>
      <c r="O2489" s="616"/>
      <c r="P2489" s="615"/>
      <c r="Q2489" s="616"/>
      <c r="R2489" s="663"/>
      <c r="S2489" s="459"/>
      <c r="T2489" s="459"/>
      <c r="U2489" s="459"/>
      <c r="V2489" s="459"/>
      <c r="W2489" s="459"/>
      <c r="X2489" s="459"/>
      <c r="Y2489" s="666"/>
      <c r="Z2489" s="664"/>
      <c r="AA2489" s="665"/>
      <c r="AB2489" s="665"/>
      <c r="AC2489" s="665"/>
      <c r="AD2489" s="665"/>
      <c r="AE2489" s="665"/>
      <c r="AF2489" s="649"/>
      <c r="AG2489" s="650"/>
      <c r="AH2489" s="650"/>
      <c r="AI2489" s="667"/>
    </row>
    <row r="2490" spans="12:35" ht="45" customHeight="1" thickBot="1" x14ac:dyDescent="0.25">
      <c r="L2490" s="645"/>
      <c r="M2490" s="616"/>
      <c r="N2490" s="616"/>
      <c r="O2490" s="616"/>
      <c r="P2490" s="615"/>
      <c r="Q2490" s="616"/>
      <c r="R2490" s="663"/>
      <c r="S2490" s="459"/>
      <c r="T2490" s="459"/>
      <c r="U2490" s="459"/>
      <c r="V2490" s="459"/>
      <c r="W2490" s="459"/>
      <c r="X2490" s="459"/>
      <c r="Y2490" s="666"/>
      <c r="Z2490" s="664"/>
      <c r="AA2490" s="665"/>
      <c r="AB2490" s="665"/>
      <c r="AC2490" s="665"/>
      <c r="AD2490" s="665"/>
      <c r="AE2490" s="665"/>
      <c r="AF2490" s="649"/>
      <c r="AG2490" s="650"/>
      <c r="AH2490" s="650"/>
      <c r="AI2490" s="667"/>
    </row>
    <row r="2491" spans="12:35" ht="45" customHeight="1" thickBot="1" x14ac:dyDescent="0.25">
      <c r="L2491" s="645"/>
      <c r="M2491" s="616"/>
      <c r="N2491" s="616"/>
      <c r="O2491" s="616"/>
      <c r="P2491" s="615"/>
      <c r="Q2491" s="616"/>
      <c r="R2491" s="663"/>
      <c r="S2491" s="459"/>
      <c r="T2491" s="459"/>
      <c r="U2491" s="459"/>
      <c r="V2491" s="459"/>
      <c r="W2491" s="459"/>
      <c r="X2491" s="459"/>
      <c r="Y2491" s="666"/>
      <c r="Z2491" s="664"/>
      <c r="AA2491" s="665"/>
      <c r="AB2491" s="665"/>
      <c r="AC2491" s="665"/>
      <c r="AD2491" s="665"/>
      <c r="AE2491" s="665"/>
      <c r="AF2491" s="649"/>
      <c r="AG2491" s="650"/>
      <c r="AH2491" s="650"/>
      <c r="AI2491" s="667"/>
    </row>
    <row r="2492" spans="12:35" ht="45" customHeight="1" thickBot="1" x14ac:dyDescent="0.25">
      <c r="L2492" s="645"/>
      <c r="M2492" s="616"/>
      <c r="N2492" s="616"/>
      <c r="O2492" s="616"/>
      <c r="P2492" s="615"/>
      <c r="Q2492" s="616"/>
      <c r="R2492" s="663"/>
      <c r="S2492" s="459"/>
      <c r="T2492" s="459"/>
      <c r="U2492" s="459"/>
      <c r="V2492" s="459"/>
      <c r="W2492" s="459"/>
      <c r="X2492" s="459"/>
      <c r="Y2492" s="666"/>
      <c r="Z2492" s="664"/>
      <c r="AA2492" s="665"/>
      <c r="AB2492" s="665"/>
      <c r="AC2492" s="665"/>
      <c r="AD2492" s="665"/>
      <c r="AE2492" s="665"/>
      <c r="AF2492" s="649"/>
      <c r="AG2492" s="650"/>
      <c r="AH2492" s="650"/>
      <c r="AI2492" s="667"/>
    </row>
    <row r="2493" spans="12:35" ht="45" customHeight="1" thickBot="1" x14ac:dyDescent="0.25">
      <c r="L2493" s="645"/>
      <c r="M2493" s="616"/>
      <c r="N2493" s="616"/>
      <c r="O2493" s="616"/>
      <c r="P2493" s="615"/>
      <c r="Q2493" s="616"/>
      <c r="R2493" s="663"/>
      <c r="S2493" s="459"/>
      <c r="T2493" s="459"/>
      <c r="U2493" s="459"/>
      <c r="V2493" s="459"/>
      <c r="W2493" s="459"/>
      <c r="X2493" s="459"/>
      <c r="Y2493" s="666"/>
      <c r="Z2493" s="664"/>
      <c r="AA2493" s="665"/>
      <c r="AB2493" s="665"/>
      <c r="AC2493" s="665"/>
      <c r="AD2493" s="665"/>
      <c r="AE2493" s="665"/>
      <c r="AF2493" s="649"/>
      <c r="AG2493" s="650"/>
      <c r="AH2493" s="650"/>
      <c r="AI2493" s="667"/>
    </row>
    <row r="2494" spans="12:35" ht="45" customHeight="1" thickBot="1" x14ac:dyDescent="0.25">
      <c r="L2494" s="645"/>
      <c r="M2494" s="616"/>
      <c r="N2494" s="616"/>
      <c r="O2494" s="616"/>
      <c r="P2494" s="615"/>
      <c r="Q2494" s="616"/>
      <c r="R2494" s="663"/>
      <c r="S2494" s="459"/>
      <c r="T2494" s="459"/>
      <c r="U2494" s="459"/>
      <c r="V2494" s="459"/>
      <c r="W2494" s="459"/>
      <c r="X2494" s="459"/>
      <c r="Y2494" s="666"/>
      <c r="Z2494" s="664"/>
      <c r="AA2494" s="665"/>
      <c r="AB2494" s="665"/>
      <c r="AC2494" s="665"/>
      <c r="AD2494" s="665"/>
      <c r="AE2494" s="665"/>
      <c r="AF2494" s="649"/>
      <c r="AG2494" s="650"/>
      <c r="AH2494" s="650"/>
      <c r="AI2494" s="667"/>
    </row>
    <row r="2495" spans="12:35" ht="45" customHeight="1" thickBot="1" x14ac:dyDescent="0.25">
      <c r="L2495" s="645"/>
      <c r="M2495" s="616"/>
      <c r="N2495" s="616"/>
      <c r="O2495" s="616"/>
      <c r="P2495" s="615"/>
      <c r="Q2495" s="616"/>
      <c r="R2495" s="663"/>
      <c r="S2495" s="459"/>
      <c r="T2495" s="459"/>
      <c r="U2495" s="459"/>
      <c r="V2495" s="459"/>
      <c r="W2495" s="459"/>
      <c r="X2495" s="459"/>
      <c r="Y2495" s="666"/>
      <c r="Z2495" s="664"/>
      <c r="AA2495" s="665"/>
      <c r="AB2495" s="665"/>
      <c r="AC2495" s="665"/>
      <c r="AD2495" s="665"/>
      <c r="AE2495" s="665"/>
      <c r="AF2495" s="649"/>
      <c r="AG2495" s="650"/>
      <c r="AH2495" s="650"/>
      <c r="AI2495" s="667"/>
    </row>
    <row r="2496" spans="12:35" ht="45" customHeight="1" thickBot="1" x14ac:dyDescent="0.25">
      <c r="L2496" s="645"/>
      <c r="M2496" s="616"/>
      <c r="N2496" s="616"/>
      <c r="O2496" s="616"/>
      <c r="P2496" s="615"/>
      <c r="Q2496" s="616"/>
      <c r="R2496" s="663"/>
      <c r="S2496" s="459"/>
      <c r="T2496" s="459"/>
      <c r="U2496" s="459"/>
      <c r="V2496" s="459"/>
      <c r="W2496" s="459"/>
      <c r="X2496" s="459"/>
      <c r="Y2496" s="666"/>
      <c r="Z2496" s="664"/>
      <c r="AA2496" s="665"/>
      <c r="AB2496" s="665"/>
      <c r="AC2496" s="665"/>
      <c r="AD2496" s="665"/>
      <c r="AE2496" s="665"/>
      <c r="AF2496" s="649"/>
      <c r="AG2496" s="650"/>
      <c r="AH2496" s="650"/>
      <c r="AI2496" s="667"/>
    </row>
    <row r="2497" spans="12:35" ht="45" customHeight="1" thickBot="1" x14ac:dyDescent="0.25">
      <c r="L2497" s="645"/>
      <c r="M2497" s="616"/>
      <c r="N2497" s="616"/>
      <c r="O2497" s="616"/>
      <c r="P2497" s="615"/>
      <c r="Q2497" s="616"/>
      <c r="R2497" s="663"/>
      <c r="S2497" s="459"/>
      <c r="T2497" s="459"/>
      <c r="U2497" s="459"/>
      <c r="V2497" s="459"/>
      <c r="W2497" s="459"/>
      <c r="X2497" s="459"/>
      <c r="Y2497" s="666"/>
      <c r="Z2497" s="664"/>
      <c r="AA2497" s="665"/>
      <c r="AB2497" s="665"/>
      <c r="AC2497" s="665"/>
      <c r="AD2497" s="665"/>
      <c r="AE2497" s="665"/>
      <c r="AF2497" s="649"/>
      <c r="AG2497" s="650"/>
      <c r="AH2497" s="650"/>
      <c r="AI2497" s="667"/>
    </row>
    <row r="2498" spans="12:35" ht="45" customHeight="1" thickBot="1" x14ac:dyDescent="0.25">
      <c r="L2498" s="645"/>
      <c r="M2498" s="616"/>
      <c r="N2498" s="616"/>
      <c r="O2498" s="616"/>
      <c r="P2498" s="615"/>
      <c r="Q2498" s="616"/>
      <c r="R2498" s="663"/>
      <c r="S2498" s="459"/>
      <c r="T2498" s="459"/>
      <c r="U2498" s="459"/>
      <c r="V2498" s="459"/>
      <c r="W2498" s="459"/>
      <c r="X2498" s="459"/>
      <c r="Y2498" s="666"/>
      <c r="Z2498" s="664"/>
      <c r="AA2498" s="665"/>
      <c r="AB2498" s="665"/>
      <c r="AC2498" s="665"/>
      <c r="AD2498" s="665"/>
      <c r="AE2498" s="665"/>
      <c r="AF2498" s="649"/>
      <c r="AG2498" s="650"/>
      <c r="AH2498" s="650"/>
      <c r="AI2498" s="667"/>
    </row>
    <row r="2499" spans="12:35" ht="45" customHeight="1" thickBot="1" x14ac:dyDescent="0.25">
      <c r="L2499" s="645"/>
      <c r="M2499" s="616"/>
      <c r="N2499" s="616"/>
      <c r="O2499" s="616"/>
      <c r="P2499" s="615"/>
      <c r="Q2499" s="616"/>
      <c r="R2499" s="663"/>
      <c r="S2499" s="459"/>
      <c r="T2499" s="459"/>
      <c r="U2499" s="459"/>
      <c r="V2499" s="459"/>
      <c r="W2499" s="459"/>
      <c r="X2499" s="459"/>
      <c r="Y2499" s="666"/>
      <c r="Z2499" s="664"/>
      <c r="AA2499" s="665"/>
      <c r="AB2499" s="665"/>
      <c r="AC2499" s="665"/>
      <c r="AD2499" s="665"/>
      <c r="AE2499" s="665"/>
      <c r="AF2499" s="649"/>
      <c r="AG2499" s="650"/>
      <c r="AH2499" s="650"/>
      <c r="AI2499" s="667"/>
    </row>
    <row r="2500" spans="12:35" ht="45" customHeight="1" thickBot="1" x14ac:dyDescent="0.25">
      <c r="L2500" s="645"/>
      <c r="M2500" s="616"/>
      <c r="N2500" s="616"/>
      <c r="O2500" s="616"/>
      <c r="P2500" s="615"/>
      <c r="Q2500" s="616"/>
      <c r="R2500" s="663"/>
      <c r="S2500" s="459"/>
      <c r="T2500" s="459"/>
      <c r="U2500" s="459"/>
      <c r="V2500" s="459"/>
      <c r="W2500" s="459"/>
      <c r="X2500" s="459"/>
      <c r="Y2500" s="666"/>
      <c r="Z2500" s="664"/>
      <c r="AA2500" s="665"/>
      <c r="AB2500" s="665"/>
      <c r="AC2500" s="665"/>
      <c r="AD2500" s="665"/>
      <c r="AE2500" s="665"/>
      <c r="AF2500" s="649"/>
      <c r="AG2500" s="650"/>
      <c r="AH2500" s="650"/>
      <c r="AI2500" s="667"/>
    </row>
    <row r="2501" spans="12:35" ht="45" customHeight="1" thickBot="1" x14ac:dyDescent="0.25">
      <c r="L2501" s="645"/>
      <c r="M2501" s="616"/>
      <c r="N2501" s="616"/>
      <c r="O2501" s="616"/>
      <c r="P2501" s="615"/>
      <c r="Q2501" s="616"/>
      <c r="R2501" s="663"/>
      <c r="S2501" s="459"/>
      <c r="T2501" s="459"/>
      <c r="U2501" s="459"/>
      <c r="V2501" s="459"/>
      <c r="W2501" s="459"/>
      <c r="X2501" s="459"/>
      <c r="Y2501" s="666"/>
      <c r="Z2501" s="664"/>
      <c r="AA2501" s="665"/>
      <c r="AB2501" s="665"/>
      <c r="AC2501" s="665"/>
      <c r="AD2501" s="665"/>
      <c r="AE2501" s="665"/>
      <c r="AF2501" s="649"/>
      <c r="AG2501" s="650"/>
      <c r="AH2501" s="650"/>
      <c r="AI2501" s="667"/>
    </row>
    <row r="2502" spans="12:35" ht="45" customHeight="1" thickBot="1" x14ac:dyDescent="0.25">
      <c r="L2502" s="645"/>
      <c r="M2502" s="616"/>
      <c r="N2502" s="616"/>
      <c r="O2502" s="616"/>
      <c r="P2502" s="615"/>
      <c r="Q2502" s="616"/>
      <c r="R2502" s="663"/>
      <c r="S2502" s="459"/>
      <c r="T2502" s="459"/>
      <c r="U2502" s="459"/>
      <c r="V2502" s="459"/>
      <c r="W2502" s="459"/>
      <c r="X2502" s="459"/>
      <c r="Y2502" s="666"/>
      <c r="Z2502" s="664"/>
      <c r="AA2502" s="665"/>
      <c r="AB2502" s="665"/>
      <c r="AC2502" s="665"/>
      <c r="AD2502" s="665"/>
      <c r="AE2502" s="665"/>
      <c r="AF2502" s="649"/>
      <c r="AG2502" s="650"/>
      <c r="AH2502" s="650"/>
      <c r="AI2502" s="667"/>
    </row>
    <row r="2503" spans="12:35" ht="45" customHeight="1" thickBot="1" x14ac:dyDescent="0.25">
      <c r="L2503" s="645"/>
      <c r="M2503" s="616"/>
      <c r="N2503" s="616"/>
      <c r="O2503" s="616"/>
      <c r="P2503" s="615"/>
      <c r="Q2503" s="616"/>
      <c r="R2503" s="663"/>
      <c r="S2503" s="459"/>
      <c r="T2503" s="459"/>
      <c r="U2503" s="459"/>
      <c r="V2503" s="459"/>
      <c r="W2503" s="459"/>
      <c r="X2503" s="459"/>
      <c r="Y2503" s="666"/>
      <c r="Z2503" s="664"/>
      <c r="AA2503" s="665"/>
      <c r="AB2503" s="665"/>
      <c r="AC2503" s="665"/>
      <c r="AD2503" s="665"/>
      <c r="AE2503" s="665"/>
      <c r="AF2503" s="649"/>
      <c r="AG2503" s="650"/>
      <c r="AH2503" s="650"/>
      <c r="AI2503" s="667"/>
    </row>
    <row r="2504" spans="12:35" ht="45" customHeight="1" thickBot="1" x14ac:dyDescent="0.25">
      <c r="L2504" s="645"/>
      <c r="M2504" s="616"/>
      <c r="N2504" s="616"/>
      <c r="O2504" s="616"/>
      <c r="P2504" s="615"/>
      <c r="Q2504" s="616"/>
      <c r="R2504" s="663"/>
      <c r="S2504" s="459"/>
      <c r="T2504" s="459"/>
      <c r="U2504" s="459"/>
      <c r="V2504" s="459"/>
      <c r="W2504" s="459"/>
      <c r="X2504" s="459"/>
      <c r="Y2504" s="666"/>
      <c r="Z2504" s="664"/>
      <c r="AA2504" s="665"/>
      <c r="AB2504" s="665"/>
      <c r="AC2504" s="665"/>
      <c r="AD2504" s="665"/>
      <c r="AE2504" s="665"/>
      <c r="AF2504" s="649"/>
      <c r="AG2504" s="650"/>
      <c r="AH2504" s="650"/>
      <c r="AI2504" s="667"/>
    </row>
    <row r="2505" spans="12:35" ht="45" customHeight="1" thickBot="1" x14ac:dyDescent="0.25">
      <c r="L2505" s="645"/>
      <c r="M2505" s="616"/>
      <c r="N2505" s="616"/>
      <c r="O2505" s="616"/>
      <c r="P2505" s="615"/>
      <c r="Q2505" s="616"/>
      <c r="R2505" s="663"/>
      <c r="S2505" s="459"/>
      <c r="T2505" s="459"/>
      <c r="U2505" s="459"/>
      <c r="V2505" s="459"/>
      <c r="W2505" s="459"/>
      <c r="X2505" s="459"/>
      <c r="Y2505" s="666"/>
      <c r="Z2505" s="664"/>
      <c r="AA2505" s="665"/>
      <c r="AB2505" s="665"/>
      <c r="AC2505" s="665"/>
      <c r="AD2505" s="665"/>
      <c r="AE2505" s="665"/>
      <c r="AF2505" s="649"/>
      <c r="AG2505" s="650"/>
      <c r="AH2505" s="650"/>
      <c r="AI2505" s="667"/>
    </row>
    <row r="2506" spans="12:35" ht="45" customHeight="1" thickBot="1" x14ac:dyDescent="0.25">
      <c r="L2506" s="645"/>
      <c r="M2506" s="616"/>
      <c r="N2506" s="616"/>
      <c r="O2506" s="616"/>
      <c r="P2506" s="615"/>
      <c r="Q2506" s="616"/>
      <c r="R2506" s="663"/>
      <c r="S2506" s="459"/>
      <c r="T2506" s="459"/>
      <c r="U2506" s="459"/>
      <c r="V2506" s="459"/>
      <c r="W2506" s="459"/>
      <c r="X2506" s="459"/>
      <c r="Y2506" s="666"/>
      <c r="Z2506" s="664"/>
      <c r="AA2506" s="665"/>
      <c r="AB2506" s="665"/>
      <c r="AC2506" s="665"/>
      <c r="AD2506" s="665"/>
      <c r="AE2506" s="665"/>
      <c r="AF2506" s="649"/>
      <c r="AG2506" s="650"/>
      <c r="AH2506" s="650"/>
      <c r="AI2506" s="667"/>
    </row>
    <row r="2507" spans="12:35" ht="45" customHeight="1" thickBot="1" x14ac:dyDescent="0.25">
      <c r="L2507" s="645"/>
      <c r="M2507" s="616"/>
      <c r="N2507" s="616"/>
      <c r="O2507" s="616"/>
      <c r="P2507" s="615"/>
      <c r="Q2507" s="616"/>
      <c r="R2507" s="663"/>
      <c r="S2507" s="459"/>
      <c r="T2507" s="459"/>
      <c r="U2507" s="459"/>
      <c r="V2507" s="459"/>
      <c r="W2507" s="459"/>
      <c r="X2507" s="459"/>
      <c r="Y2507" s="666"/>
      <c r="Z2507" s="664"/>
      <c r="AA2507" s="665"/>
      <c r="AB2507" s="665"/>
      <c r="AC2507" s="665"/>
      <c r="AD2507" s="665"/>
      <c r="AE2507" s="665"/>
      <c r="AF2507" s="649"/>
      <c r="AG2507" s="650"/>
      <c r="AH2507" s="650"/>
      <c r="AI2507" s="667"/>
    </row>
    <row r="2508" spans="12:35" ht="45" customHeight="1" thickBot="1" x14ac:dyDescent="0.25">
      <c r="L2508" s="645"/>
      <c r="M2508" s="616"/>
      <c r="N2508" s="616"/>
      <c r="O2508" s="616"/>
      <c r="P2508" s="615"/>
      <c r="Q2508" s="616"/>
      <c r="R2508" s="663"/>
      <c r="S2508" s="459"/>
      <c r="T2508" s="459"/>
      <c r="U2508" s="459"/>
      <c r="V2508" s="459"/>
      <c r="W2508" s="459"/>
      <c r="X2508" s="459"/>
      <c r="Y2508" s="666"/>
      <c r="Z2508" s="664"/>
      <c r="AA2508" s="665"/>
      <c r="AB2508" s="665"/>
      <c r="AC2508" s="665"/>
      <c r="AD2508" s="665"/>
      <c r="AE2508" s="665"/>
      <c r="AF2508" s="649"/>
      <c r="AG2508" s="650"/>
      <c r="AH2508" s="650"/>
      <c r="AI2508" s="667"/>
    </row>
    <row r="2509" spans="12:35" ht="45" customHeight="1" thickBot="1" x14ac:dyDescent="0.25">
      <c r="L2509" s="645"/>
      <c r="M2509" s="616"/>
      <c r="N2509" s="616"/>
      <c r="O2509" s="616"/>
      <c r="P2509" s="615"/>
      <c r="Q2509" s="616"/>
      <c r="R2509" s="663"/>
      <c r="S2509" s="459"/>
      <c r="T2509" s="459"/>
      <c r="U2509" s="459"/>
      <c r="V2509" s="459"/>
      <c r="W2509" s="459"/>
      <c r="X2509" s="459"/>
      <c r="Y2509" s="666"/>
      <c r="Z2509" s="664"/>
      <c r="AA2509" s="665"/>
      <c r="AB2509" s="665"/>
      <c r="AC2509" s="665"/>
      <c r="AD2509" s="665"/>
      <c r="AE2509" s="665"/>
      <c r="AF2509" s="649"/>
      <c r="AG2509" s="650"/>
      <c r="AH2509" s="650"/>
      <c r="AI2509" s="667"/>
    </row>
    <row r="2510" spans="12:35" ht="45" customHeight="1" thickBot="1" x14ac:dyDescent="0.25">
      <c r="L2510" s="645"/>
      <c r="M2510" s="616"/>
      <c r="N2510" s="616"/>
      <c r="O2510" s="616"/>
      <c r="P2510" s="615"/>
      <c r="Q2510" s="616"/>
      <c r="R2510" s="663"/>
      <c r="S2510" s="459"/>
      <c r="T2510" s="459"/>
      <c r="U2510" s="459"/>
      <c r="V2510" s="459"/>
      <c r="W2510" s="459"/>
      <c r="X2510" s="459"/>
      <c r="Y2510" s="666"/>
      <c r="Z2510" s="664"/>
      <c r="AA2510" s="665"/>
      <c r="AB2510" s="665"/>
      <c r="AC2510" s="665"/>
      <c r="AD2510" s="665"/>
      <c r="AE2510" s="665"/>
      <c r="AF2510" s="649"/>
      <c r="AG2510" s="650"/>
      <c r="AH2510" s="650"/>
      <c r="AI2510" s="667"/>
    </row>
    <row r="2511" spans="12:35" ht="45" customHeight="1" thickBot="1" x14ac:dyDescent="0.25">
      <c r="L2511" s="645"/>
      <c r="M2511" s="616"/>
      <c r="N2511" s="616"/>
      <c r="O2511" s="616"/>
      <c r="P2511" s="615"/>
      <c r="Q2511" s="616"/>
      <c r="R2511" s="663"/>
      <c r="S2511" s="459"/>
      <c r="T2511" s="459"/>
      <c r="U2511" s="459"/>
      <c r="V2511" s="459"/>
      <c r="W2511" s="459"/>
      <c r="X2511" s="459"/>
      <c r="Y2511" s="666"/>
      <c r="Z2511" s="664"/>
      <c r="AA2511" s="665"/>
      <c r="AB2511" s="665"/>
      <c r="AC2511" s="665"/>
      <c r="AD2511" s="665"/>
      <c r="AE2511" s="665"/>
      <c r="AF2511" s="649"/>
      <c r="AG2511" s="650"/>
      <c r="AH2511" s="650"/>
      <c r="AI2511" s="667"/>
    </row>
    <row r="2512" spans="12:35" ht="45" customHeight="1" thickBot="1" x14ac:dyDescent="0.25">
      <c r="L2512" s="645"/>
      <c r="M2512" s="616"/>
      <c r="N2512" s="616"/>
      <c r="O2512" s="616"/>
      <c r="P2512" s="615"/>
      <c r="Q2512" s="616"/>
      <c r="R2512" s="663"/>
      <c r="S2512" s="459"/>
      <c r="T2512" s="459"/>
      <c r="U2512" s="459"/>
      <c r="V2512" s="459"/>
      <c r="W2512" s="459"/>
      <c r="X2512" s="459"/>
      <c r="Y2512" s="666"/>
      <c r="Z2512" s="664"/>
      <c r="AA2512" s="665"/>
      <c r="AB2512" s="665"/>
      <c r="AC2512" s="665"/>
      <c r="AD2512" s="665"/>
      <c r="AE2512" s="665"/>
      <c r="AF2512" s="649"/>
      <c r="AG2512" s="650"/>
      <c r="AH2512" s="650"/>
      <c r="AI2512" s="667"/>
    </row>
    <row r="2513" spans="12:35" ht="45" customHeight="1" thickBot="1" x14ac:dyDescent="0.25">
      <c r="L2513" s="645"/>
      <c r="M2513" s="616"/>
      <c r="N2513" s="616"/>
      <c r="O2513" s="616"/>
      <c r="P2513" s="615"/>
      <c r="Q2513" s="616"/>
      <c r="R2513" s="663"/>
      <c r="S2513" s="459"/>
      <c r="T2513" s="459"/>
      <c r="U2513" s="459"/>
      <c r="V2513" s="459"/>
      <c r="W2513" s="459"/>
      <c r="X2513" s="459"/>
      <c r="Y2513" s="666"/>
      <c r="Z2513" s="664"/>
      <c r="AA2513" s="665"/>
      <c r="AB2513" s="665"/>
      <c r="AC2513" s="665"/>
      <c r="AD2513" s="665"/>
      <c r="AE2513" s="665"/>
      <c r="AF2513" s="649"/>
      <c r="AG2513" s="650"/>
      <c r="AH2513" s="650"/>
      <c r="AI2513" s="667"/>
    </row>
    <row r="2514" spans="12:35" ht="45" customHeight="1" thickBot="1" x14ac:dyDescent="0.25">
      <c r="L2514" s="645"/>
      <c r="M2514" s="616"/>
      <c r="N2514" s="616"/>
      <c r="O2514" s="616"/>
      <c r="P2514" s="615"/>
      <c r="Q2514" s="616"/>
      <c r="R2514" s="663"/>
      <c r="S2514" s="459"/>
      <c r="T2514" s="459"/>
      <c r="U2514" s="459"/>
      <c r="V2514" s="459"/>
      <c r="W2514" s="459"/>
      <c r="X2514" s="459"/>
      <c r="Y2514" s="666"/>
      <c r="Z2514" s="664"/>
      <c r="AA2514" s="665"/>
      <c r="AB2514" s="665"/>
      <c r="AC2514" s="665"/>
      <c r="AD2514" s="665"/>
      <c r="AE2514" s="665"/>
      <c r="AF2514" s="649"/>
      <c r="AG2514" s="650"/>
      <c r="AH2514" s="650"/>
      <c r="AI2514" s="667"/>
    </row>
    <row r="2515" spans="12:35" ht="45" customHeight="1" thickBot="1" x14ac:dyDescent="0.25">
      <c r="L2515" s="645"/>
      <c r="M2515" s="616"/>
      <c r="N2515" s="616"/>
      <c r="O2515" s="616"/>
      <c r="P2515" s="615"/>
      <c r="Q2515" s="616"/>
      <c r="R2515" s="663"/>
      <c r="S2515" s="459"/>
      <c r="T2515" s="459"/>
      <c r="U2515" s="459"/>
      <c r="V2515" s="459"/>
      <c r="W2515" s="459"/>
      <c r="X2515" s="459"/>
      <c r="Y2515" s="666"/>
      <c r="Z2515" s="664"/>
      <c r="AA2515" s="665"/>
      <c r="AB2515" s="665"/>
      <c r="AC2515" s="665"/>
      <c r="AD2515" s="665"/>
      <c r="AE2515" s="665"/>
      <c r="AF2515" s="649"/>
      <c r="AG2515" s="650"/>
      <c r="AH2515" s="650"/>
      <c r="AI2515" s="667"/>
    </row>
    <row r="2516" spans="12:35" ht="45" customHeight="1" thickBot="1" x14ac:dyDescent="0.25">
      <c r="L2516" s="645"/>
      <c r="M2516" s="616"/>
      <c r="N2516" s="616"/>
      <c r="O2516" s="616"/>
      <c r="P2516" s="615"/>
      <c r="Q2516" s="616"/>
      <c r="R2516" s="663"/>
      <c r="S2516" s="459"/>
      <c r="T2516" s="459"/>
      <c r="U2516" s="459"/>
      <c r="V2516" s="459"/>
      <c r="W2516" s="459"/>
      <c r="X2516" s="459"/>
      <c r="Y2516" s="666"/>
      <c r="Z2516" s="664"/>
      <c r="AA2516" s="665"/>
      <c r="AB2516" s="665"/>
      <c r="AC2516" s="665"/>
      <c r="AD2516" s="665"/>
      <c r="AE2516" s="665"/>
      <c r="AF2516" s="649"/>
      <c r="AG2516" s="650"/>
      <c r="AH2516" s="650"/>
      <c r="AI2516" s="667"/>
    </row>
    <row r="2517" spans="12:35" ht="45" customHeight="1" thickBot="1" x14ac:dyDescent="0.25">
      <c r="L2517" s="645"/>
      <c r="M2517" s="616"/>
      <c r="N2517" s="616"/>
      <c r="O2517" s="616"/>
      <c r="P2517" s="615"/>
      <c r="Q2517" s="616"/>
      <c r="R2517" s="663"/>
      <c r="S2517" s="459"/>
      <c r="T2517" s="459"/>
      <c r="U2517" s="459"/>
      <c r="V2517" s="459"/>
      <c r="W2517" s="459"/>
      <c r="X2517" s="459"/>
      <c r="Y2517" s="666"/>
      <c r="Z2517" s="664"/>
      <c r="AA2517" s="665"/>
      <c r="AB2517" s="665"/>
      <c r="AC2517" s="665"/>
      <c r="AD2517" s="665"/>
      <c r="AE2517" s="665"/>
      <c r="AF2517" s="649"/>
      <c r="AG2517" s="650"/>
      <c r="AH2517" s="650"/>
      <c r="AI2517" s="667"/>
    </row>
    <row r="2518" spans="12:35" ht="45" customHeight="1" thickBot="1" x14ac:dyDescent="0.25">
      <c r="L2518" s="645"/>
      <c r="M2518" s="616"/>
      <c r="N2518" s="616"/>
      <c r="O2518" s="616"/>
      <c r="P2518" s="615"/>
      <c r="Q2518" s="616"/>
      <c r="R2518" s="663"/>
      <c r="S2518" s="459"/>
      <c r="T2518" s="459"/>
      <c r="U2518" s="459"/>
      <c r="V2518" s="459"/>
      <c r="W2518" s="459"/>
      <c r="X2518" s="459"/>
      <c r="Y2518" s="666"/>
      <c r="Z2518" s="664"/>
      <c r="AA2518" s="665"/>
      <c r="AB2518" s="665"/>
      <c r="AC2518" s="665"/>
      <c r="AD2518" s="665"/>
      <c r="AE2518" s="665"/>
      <c r="AF2518" s="649"/>
      <c r="AG2518" s="650"/>
      <c r="AH2518" s="650"/>
      <c r="AI2518" s="667"/>
    </row>
    <row r="2519" spans="12:35" ht="45" customHeight="1" thickBot="1" x14ac:dyDescent="0.25">
      <c r="L2519" s="645"/>
      <c r="M2519" s="616"/>
      <c r="N2519" s="616"/>
      <c r="O2519" s="616"/>
      <c r="P2519" s="615"/>
      <c r="Q2519" s="616"/>
      <c r="R2519" s="663"/>
      <c r="S2519" s="459"/>
      <c r="T2519" s="459"/>
      <c r="U2519" s="459"/>
      <c r="V2519" s="459"/>
      <c r="W2519" s="459"/>
      <c r="X2519" s="459"/>
      <c r="Y2519" s="666"/>
      <c r="Z2519" s="664"/>
      <c r="AA2519" s="665"/>
      <c r="AB2519" s="665"/>
      <c r="AC2519" s="665"/>
      <c r="AD2519" s="665"/>
      <c r="AE2519" s="665"/>
      <c r="AF2519" s="649"/>
      <c r="AG2519" s="650"/>
      <c r="AH2519" s="650"/>
      <c r="AI2519" s="667"/>
    </row>
    <row r="2520" spans="12:35" ht="45" customHeight="1" thickBot="1" x14ac:dyDescent="0.25">
      <c r="L2520" s="645"/>
      <c r="M2520" s="616"/>
      <c r="N2520" s="616"/>
      <c r="O2520" s="616"/>
      <c r="P2520" s="615"/>
      <c r="Q2520" s="616"/>
      <c r="R2520" s="663"/>
      <c r="S2520" s="459"/>
      <c r="T2520" s="459"/>
      <c r="U2520" s="459"/>
      <c r="V2520" s="459"/>
      <c r="W2520" s="459"/>
      <c r="X2520" s="459"/>
      <c r="Y2520" s="666"/>
      <c r="Z2520" s="664"/>
      <c r="AA2520" s="665"/>
      <c r="AB2520" s="665"/>
      <c r="AC2520" s="665"/>
      <c r="AD2520" s="665"/>
      <c r="AE2520" s="665"/>
      <c r="AF2520" s="649"/>
      <c r="AG2520" s="650"/>
      <c r="AH2520" s="650"/>
      <c r="AI2520" s="667"/>
    </row>
    <row r="2521" spans="12:35" ht="45" customHeight="1" thickBot="1" x14ac:dyDescent="0.25">
      <c r="L2521" s="645"/>
      <c r="M2521" s="616"/>
      <c r="N2521" s="616"/>
      <c r="O2521" s="616"/>
      <c r="P2521" s="615"/>
      <c r="Q2521" s="616"/>
      <c r="R2521" s="663"/>
      <c r="S2521" s="459"/>
      <c r="T2521" s="459"/>
      <c r="U2521" s="459"/>
      <c r="V2521" s="459"/>
      <c r="W2521" s="459"/>
      <c r="X2521" s="459"/>
      <c r="Y2521" s="666"/>
      <c r="Z2521" s="664"/>
      <c r="AA2521" s="665"/>
      <c r="AB2521" s="665"/>
      <c r="AC2521" s="665"/>
      <c r="AD2521" s="665"/>
      <c r="AE2521" s="665"/>
      <c r="AF2521" s="649"/>
      <c r="AG2521" s="650"/>
      <c r="AH2521" s="650"/>
      <c r="AI2521" s="667"/>
    </row>
    <row r="2522" spans="12:35" ht="45" customHeight="1" thickBot="1" x14ac:dyDescent="0.25">
      <c r="L2522" s="645"/>
      <c r="M2522" s="616"/>
      <c r="N2522" s="616"/>
      <c r="O2522" s="616"/>
      <c r="P2522" s="615"/>
      <c r="Q2522" s="616"/>
      <c r="R2522" s="663"/>
      <c r="S2522" s="459"/>
      <c r="T2522" s="459"/>
      <c r="U2522" s="459"/>
      <c r="V2522" s="459"/>
      <c r="W2522" s="459"/>
      <c r="X2522" s="459"/>
      <c r="Y2522" s="666"/>
      <c r="Z2522" s="664"/>
      <c r="AA2522" s="665"/>
      <c r="AB2522" s="665"/>
      <c r="AC2522" s="665"/>
      <c r="AD2522" s="665"/>
      <c r="AE2522" s="665"/>
      <c r="AF2522" s="649"/>
      <c r="AG2522" s="650"/>
      <c r="AH2522" s="650"/>
      <c r="AI2522" s="667"/>
    </row>
    <row r="2523" spans="12:35" ht="45" customHeight="1" thickBot="1" x14ac:dyDescent="0.25">
      <c r="L2523" s="645"/>
      <c r="M2523" s="616"/>
      <c r="N2523" s="616"/>
      <c r="O2523" s="616"/>
      <c r="P2523" s="615"/>
      <c r="Q2523" s="616"/>
      <c r="R2523" s="663"/>
      <c r="S2523" s="459"/>
      <c r="T2523" s="459"/>
      <c r="U2523" s="459"/>
      <c r="V2523" s="459"/>
      <c r="W2523" s="459"/>
      <c r="X2523" s="459"/>
      <c r="Y2523" s="666"/>
      <c r="Z2523" s="664"/>
      <c r="AA2523" s="665"/>
      <c r="AB2523" s="665"/>
      <c r="AC2523" s="665"/>
      <c r="AD2523" s="665"/>
      <c r="AE2523" s="665"/>
      <c r="AF2523" s="649"/>
      <c r="AG2523" s="650"/>
      <c r="AH2523" s="650"/>
      <c r="AI2523" s="667"/>
    </row>
    <row r="2524" spans="12:35" ht="45" customHeight="1" thickBot="1" x14ac:dyDescent="0.25">
      <c r="L2524" s="645"/>
      <c r="M2524" s="616"/>
      <c r="N2524" s="616"/>
      <c r="O2524" s="616"/>
      <c r="P2524" s="615"/>
      <c r="Q2524" s="616"/>
      <c r="R2524" s="663"/>
      <c r="S2524" s="459"/>
      <c r="T2524" s="459"/>
      <c r="U2524" s="459"/>
      <c r="V2524" s="459"/>
      <c r="W2524" s="459"/>
      <c r="X2524" s="459"/>
      <c r="Y2524" s="666"/>
      <c r="Z2524" s="664"/>
      <c r="AA2524" s="665"/>
      <c r="AB2524" s="665"/>
      <c r="AC2524" s="665"/>
      <c r="AD2524" s="665"/>
      <c r="AE2524" s="665"/>
      <c r="AF2524" s="649"/>
      <c r="AG2524" s="650"/>
      <c r="AH2524" s="650"/>
      <c r="AI2524" s="667"/>
    </row>
    <row r="2525" spans="12:35" ht="45" customHeight="1" thickBot="1" x14ac:dyDescent="0.25">
      <c r="L2525" s="645"/>
      <c r="M2525" s="616"/>
      <c r="N2525" s="616"/>
      <c r="O2525" s="616"/>
      <c r="P2525" s="615"/>
      <c r="Q2525" s="616"/>
      <c r="R2525" s="663"/>
      <c r="S2525" s="459"/>
      <c r="T2525" s="459"/>
      <c r="U2525" s="459"/>
      <c r="V2525" s="459"/>
      <c r="W2525" s="459"/>
      <c r="X2525" s="459"/>
      <c r="Y2525" s="666"/>
      <c r="Z2525" s="664"/>
      <c r="AA2525" s="665"/>
      <c r="AB2525" s="665"/>
      <c r="AC2525" s="665"/>
      <c r="AD2525" s="665"/>
      <c r="AE2525" s="665"/>
      <c r="AF2525" s="649"/>
      <c r="AG2525" s="650"/>
      <c r="AH2525" s="650"/>
      <c r="AI2525" s="667"/>
    </row>
    <row r="2526" spans="12:35" ht="45" customHeight="1" thickBot="1" x14ac:dyDescent="0.25">
      <c r="L2526" s="645"/>
      <c r="M2526" s="616"/>
      <c r="N2526" s="616"/>
      <c r="O2526" s="616"/>
      <c r="P2526" s="615"/>
      <c r="Q2526" s="616"/>
      <c r="R2526" s="663"/>
      <c r="S2526" s="459"/>
      <c r="T2526" s="459"/>
      <c r="U2526" s="459"/>
      <c r="V2526" s="459"/>
      <c r="W2526" s="459"/>
      <c r="X2526" s="459"/>
      <c r="Y2526" s="666"/>
      <c r="Z2526" s="664"/>
      <c r="AA2526" s="665"/>
      <c r="AB2526" s="665"/>
      <c r="AC2526" s="665"/>
      <c r="AD2526" s="665"/>
      <c r="AE2526" s="665"/>
      <c r="AF2526" s="649"/>
      <c r="AG2526" s="650"/>
      <c r="AH2526" s="650"/>
      <c r="AI2526" s="667"/>
    </row>
    <row r="2527" spans="12:35" ht="45" customHeight="1" thickBot="1" x14ac:dyDescent="0.25">
      <c r="L2527" s="645"/>
      <c r="M2527" s="616"/>
      <c r="N2527" s="616"/>
      <c r="O2527" s="616"/>
      <c r="P2527" s="615"/>
      <c r="Q2527" s="616"/>
      <c r="R2527" s="663"/>
      <c r="S2527" s="459"/>
      <c r="T2527" s="459"/>
      <c r="U2527" s="459"/>
      <c r="V2527" s="459"/>
      <c r="W2527" s="459"/>
      <c r="X2527" s="459"/>
      <c r="Y2527" s="666"/>
      <c r="Z2527" s="664"/>
      <c r="AA2527" s="665"/>
      <c r="AB2527" s="665"/>
      <c r="AC2527" s="665"/>
      <c r="AD2527" s="665"/>
      <c r="AE2527" s="665"/>
      <c r="AF2527" s="649"/>
      <c r="AG2527" s="650"/>
      <c r="AH2527" s="650"/>
      <c r="AI2527" s="667"/>
    </row>
    <row r="2528" spans="12:35" ht="45" customHeight="1" thickBot="1" x14ac:dyDescent="0.25">
      <c r="L2528" s="645"/>
      <c r="M2528" s="616"/>
      <c r="N2528" s="616"/>
      <c r="O2528" s="616"/>
      <c r="P2528" s="615"/>
      <c r="Q2528" s="616"/>
      <c r="R2528" s="663"/>
      <c r="S2528" s="459"/>
      <c r="T2528" s="459"/>
      <c r="U2528" s="459"/>
      <c r="V2528" s="459"/>
      <c r="W2528" s="459"/>
      <c r="X2528" s="459"/>
      <c r="Y2528" s="666"/>
      <c r="Z2528" s="664"/>
      <c r="AA2528" s="665"/>
      <c r="AB2528" s="665"/>
      <c r="AC2528" s="665"/>
      <c r="AD2528" s="665"/>
      <c r="AE2528" s="665"/>
      <c r="AF2528" s="649"/>
      <c r="AG2528" s="650"/>
      <c r="AH2528" s="650"/>
      <c r="AI2528" s="667"/>
    </row>
    <row r="2529" spans="12:35" ht="45" customHeight="1" thickBot="1" x14ac:dyDescent="0.25">
      <c r="L2529" s="645"/>
      <c r="M2529" s="616"/>
      <c r="N2529" s="616"/>
      <c r="O2529" s="616"/>
      <c r="P2529" s="615"/>
      <c r="Q2529" s="616"/>
      <c r="R2529" s="663"/>
      <c r="S2529" s="459"/>
      <c r="T2529" s="459"/>
      <c r="U2529" s="459"/>
      <c r="V2529" s="459"/>
      <c r="W2529" s="459"/>
      <c r="X2529" s="459"/>
      <c r="Y2529" s="666"/>
      <c r="Z2529" s="664"/>
      <c r="AA2529" s="665"/>
      <c r="AB2529" s="665"/>
      <c r="AC2529" s="665"/>
      <c r="AD2529" s="665"/>
      <c r="AE2529" s="665"/>
      <c r="AF2529" s="649"/>
      <c r="AG2529" s="650"/>
      <c r="AH2529" s="650"/>
      <c r="AI2529" s="667"/>
    </row>
    <row r="2530" spans="12:35" ht="45" customHeight="1" thickBot="1" x14ac:dyDescent="0.25">
      <c r="L2530" s="645"/>
      <c r="M2530" s="616"/>
      <c r="N2530" s="616"/>
      <c r="O2530" s="616"/>
      <c r="P2530" s="615"/>
      <c r="Q2530" s="616"/>
      <c r="R2530" s="663"/>
      <c r="S2530" s="459"/>
      <c r="T2530" s="459"/>
      <c r="U2530" s="459"/>
      <c r="V2530" s="459"/>
      <c r="W2530" s="459"/>
      <c r="X2530" s="459"/>
      <c r="Y2530" s="666"/>
      <c r="Z2530" s="664"/>
      <c r="AA2530" s="665"/>
      <c r="AB2530" s="665"/>
      <c r="AC2530" s="665"/>
      <c r="AD2530" s="665"/>
      <c r="AE2530" s="665"/>
      <c r="AF2530" s="649"/>
      <c r="AG2530" s="650"/>
      <c r="AH2530" s="650"/>
      <c r="AI2530" s="667"/>
    </row>
    <row r="2531" spans="12:35" ht="45" customHeight="1" thickBot="1" x14ac:dyDescent="0.25">
      <c r="L2531" s="645"/>
      <c r="M2531" s="616"/>
      <c r="N2531" s="616"/>
      <c r="O2531" s="616"/>
      <c r="P2531" s="615"/>
      <c r="Q2531" s="616"/>
      <c r="R2531" s="663"/>
      <c r="S2531" s="459"/>
      <c r="T2531" s="459"/>
      <c r="U2531" s="459"/>
      <c r="V2531" s="459"/>
      <c r="W2531" s="459"/>
      <c r="X2531" s="459"/>
      <c r="Y2531" s="666"/>
      <c r="Z2531" s="664"/>
      <c r="AA2531" s="665"/>
      <c r="AB2531" s="665"/>
      <c r="AC2531" s="665"/>
      <c r="AD2531" s="665"/>
      <c r="AE2531" s="665"/>
      <c r="AF2531" s="649"/>
      <c r="AG2531" s="650"/>
      <c r="AH2531" s="650"/>
      <c r="AI2531" s="667"/>
    </row>
    <row r="2532" spans="12:35" ht="45" customHeight="1" thickBot="1" x14ac:dyDescent="0.25">
      <c r="L2532" s="645"/>
      <c r="M2532" s="616"/>
      <c r="N2532" s="616"/>
      <c r="O2532" s="616"/>
      <c r="P2532" s="615"/>
      <c r="Q2532" s="616"/>
      <c r="R2532" s="663"/>
      <c r="S2532" s="459"/>
      <c r="T2532" s="459"/>
      <c r="U2532" s="459"/>
      <c r="V2532" s="459"/>
      <c r="W2532" s="459"/>
      <c r="X2532" s="459"/>
      <c r="Y2532" s="666"/>
      <c r="Z2532" s="664"/>
      <c r="AA2532" s="665"/>
      <c r="AB2532" s="665"/>
      <c r="AC2532" s="665"/>
      <c r="AD2532" s="665"/>
      <c r="AE2532" s="665"/>
      <c r="AF2532" s="649"/>
      <c r="AG2532" s="650"/>
      <c r="AH2532" s="650"/>
      <c r="AI2532" s="667"/>
    </row>
    <row r="2533" spans="12:35" ht="45" customHeight="1" thickBot="1" x14ac:dyDescent="0.25">
      <c r="L2533" s="645"/>
      <c r="M2533" s="616"/>
      <c r="N2533" s="616"/>
      <c r="O2533" s="616"/>
      <c r="P2533" s="615"/>
      <c r="Q2533" s="616"/>
      <c r="R2533" s="663"/>
      <c r="S2533" s="459"/>
      <c r="T2533" s="459"/>
      <c r="U2533" s="459"/>
      <c r="V2533" s="459"/>
      <c r="W2533" s="459"/>
      <c r="X2533" s="459"/>
      <c r="Y2533" s="666"/>
      <c r="Z2533" s="664"/>
      <c r="AA2533" s="665"/>
      <c r="AB2533" s="665"/>
      <c r="AC2533" s="665"/>
      <c r="AD2533" s="665"/>
      <c r="AE2533" s="665"/>
      <c r="AF2533" s="649"/>
      <c r="AG2533" s="650"/>
      <c r="AH2533" s="650"/>
      <c r="AI2533" s="667"/>
    </row>
    <row r="2534" spans="12:35" ht="45" customHeight="1" thickBot="1" x14ac:dyDescent="0.25">
      <c r="L2534" s="645"/>
      <c r="M2534" s="616"/>
      <c r="N2534" s="616"/>
      <c r="O2534" s="616"/>
      <c r="P2534" s="615"/>
      <c r="Q2534" s="616"/>
      <c r="R2534" s="663"/>
      <c r="S2534" s="459"/>
      <c r="T2534" s="459"/>
      <c r="U2534" s="459"/>
      <c r="V2534" s="459"/>
      <c r="W2534" s="459"/>
      <c r="X2534" s="459"/>
      <c r="Y2534" s="666"/>
      <c r="Z2534" s="664"/>
      <c r="AA2534" s="665"/>
      <c r="AB2534" s="665"/>
      <c r="AC2534" s="665"/>
      <c r="AD2534" s="665"/>
      <c r="AE2534" s="665"/>
      <c r="AF2534" s="649"/>
      <c r="AG2534" s="650"/>
      <c r="AH2534" s="650"/>
      <c r="AI2534" s="667"/>
    </row>
    <row r="2535" spans="12:35" ht="45" customHeight="1" thickBot="1" x14ac:dyDescent="0.25">
      <c r="L2535" s="645"/>
      <c r="M2535" s="616"/>
      <c r="N2535" s="616"/>
      <c r="O2535" s="616"/>
      <c r="P2535" s="615"/>
      <c r="Q2535" s="616"/>
      <c r="R2535" s="663"/>
      <c r="S2535" s="459"/>
      <c r="T2535" s="459"/>
      <c r="U2535" s="459"/>
      <c r="V2535" s="459"/>
      <c r="W2535" s="459"/>
      <c r="X2535" s="459"/>
      <c r="Y2535" s="666"/>
      <c r="Z2535" s="664"/>
      <c r="AA2535" s="665"/>
      <c r="AB2535" s="665"/>
      <c r="AC2535" s="665"/>
      <c r="AD2535" s="665"/>
      <c r="AE2535" s="665"/>
      <c r="AF2535" s="649"/>
      <c r="AG2535" s="650"/>
      <c r="AH2535" s="650"/>
      <c r="AI2535" s="667"/>
    </row>
    <row r="2536" spans="12:35" ht="45" customHeight="1" thickBot="1" x14ac:dyDescent="0.25">
      <c r="L2536" s="645"/>
      <c r="M2536" s="616"/>
      <c r="N2536" s="616"/>
      <c r="O2536" s="616"/>
      <c r="P2536" s="615"/>
      <c r="Q2536" s="616"/>
      <c r="R2536" s="663"/>
      <c r="S2536" s="459"/>
      <c r="T2536" s="459"/>
      <c r="U2536" s="459"/>
      <c r="V2536" s="459"/>
      <c r="W2536" s="459"/>
      <c r="X2536" s="459"/>
      <c r="Y2536" s="666"/>
      <c r="Z2536" s="664"/>
      <c r="AA2536" s="665"/>
      <c r="AB2536" s="665"/>
      <c r="AC2536" s="665"/>
      <c r="AD2536" s="665"/>
      <c r="AE2536" s="665"/>
      <c r="AF2536" s="649"/>
      <c r="AG2536" s="650"/>
      <c r="AH2536" s="650"/>
      <c r="AI2536" s="667"/>
    </row>
    <row r="2537" spans="12:35" ht="45" customHeight="1" thickBot="1" x14ac:dyDescent="0.25">
      <c r="L2537" s="645"/>
      <c r="M2537" s="616"/>
      <c r="N2537" s="616"/>
      <c r="O2537" s="616"/>
      <c r="P2537" s="615"/>
      <c r="Q2537" s="616"/>
      <c r="R2537" s="663"/>
      <c r="S2537" s="459"/>
      <c r="T2537" s="459"/>
      <c r="U2537" s="459"/>
      <c r="V2537" s="459"/>
      <c r="W2537" s="459"/>
      <c r="X2537" s="459"/>
      <c r="Y2537" s="666"/>
      <c r="Z2537" s="664"/>
      <c r="AA2537" s="665"/>
      <c r="AB2537" s="665"/>
      <c r="AC2537" s="665"/>
      <c r="AD2537" s="665"/>
      <c r="AE2537" s="665"/>
      <c r="AF2537" s="649"/>
      <c r="AG2537" s="650"/>
      <c r="AH2537" s="650"/>
      <c r="AI2537" s="667"/>
    </row>
    <row r="2538" spans="12:35" ht="45" customHeight="1" thickBot="1" x14ac:dyDescent="0.25">
      <c r="L2538" s="645"/>
      <c r="M2538" s="616"/>
      <c r="N2538" s="616"/>
      <c r="O2538" s="616"/>
      <c r="P2538" s="615"/>
      <c r="Q2538" s="616"/>
      <c r="R2538" s="663"/>
      <c r="S2538" s="459"/>
      <c r="T2538" s="459"/>
      <c r="U2538" s="459"/>
      <c r="V2538" s="459"/>
      <c r="W2538" s="459"/>
      <c r="X2538" s="459"/>
      <c r="Y2538" s="666"/>
      <c r="Z2538" s="664"/>
      <c r="AA2538" s="665"/>
      <c r="AB2538" s="665"/>
      <c r="AC2538" s="665"/>
      <c r="AD2538" s="665"/>
      <c r="AE2538" s="665"/>
      <c r="AF2538" s="649"/>
      <c r="AG2538" s="650"/>
      <c r="AH2538" s="650"/>
      <c r="AI2538" s="667"/>
    </row>
    <row r="2539" spans="12:35" ht="45" customHeight="1" thickBot="1" x14ac:dyDescent="0.25">
      <c r="L2539" s="645"/>
      <c r="M2539" s="616"/>
      <c r="N2539" s="616"/>
      <c r="O2539" s="616"/>
      <c r="P2539" s="615"/>
      <c r="Q2539" s="616"/>
      <c r="R2539" s="663"/>
      <c r="S2539" s="459"/>
      <c r="T2539" s="459"/>
      <c r="U2539" s="459"/>
      <c r="V2539" s="459"/>
      <c r="W2539" s="459"/>
      <c r="X2539" s="459"/>
      <c r="Y2539" s="666"/>
      <c r="Z2539" s="664"/>
      <c r="AA2539" s="665"/>
      <c r="AB2539" s="665"/>
      <c r="AC2539" s="665"/>
      <c r="AD2539" s="665"/>
      <c r="AE2539" s="665"/>
      <c r="AF2539" s="649"/>
      <c r="AG2539" s="650"/>
      <c r="AH2539" s="650"/>
      <c r="AI2539" s="667"/>
    </row>
    <row r="2540" spans="12:35" ht="45" customHeight="1" thickBot="1" x14ac:dyDescent="0.25">
      <c r="L2540" s="645"/>
      <c r="M2540" s="616"/>
      <c r="N2540" s="616"/>
      <c r="O2540" s="616"/>
      <c r="P2540" s="615"/>
      <c r="Q2540" s="616"/>
      <c r="R2540" s="663"/>
      <c r="S2540" s="459"/>
      <c r="T2540" s="459"/>
      <c r="U2540" s="459"/>
      <c r="V2540" s="459"/>
      <c r="W2540" s="459"/>
      <c r="X2540" s="459"/>
      <c r="Y2540" s="666"/>
      <c r="Z2540" s="664"/>
      <c r="AA2540" s="665"/>
      <c r="AB2540" s="665"/>
      <c r="AC2540" s="665"/>
      <c r="AD2540" s="665"/>
      <c r="AE2540" s="665"/>
      <c r="AF2540" s="649"/>
      <c r="AG2540" s="650"/>
      <c r="AH2540" s="650"/>
      <c r="AI2540" s="667"/>
    </row>
    <row r="2541" spans="12:35" ht="45" customHeight="1" thickBot="1" x14ac:dyDescent="0.25">
      <c r="L2541" s="645"/>
      <c r="M2541" s="616"/>
      <c r="N2541" s="616"/>
      <c r="O2541" s="616"/>
      <c r="P2541" s="615"/>
      <c r="Q2541" s="616"/>
      <c r="R2541" s="663"/>
      <c r="S2541" s="459"/>
      <c r="T2541" s="459"/>
      <c r="U2541" s="459"/>
      <c r="V2541" s="459"/>
      <c r="W2541" s="459"/>
      <c r="X2541" s="459"/>
      <c r="Y2541" s="666"/>
      <c r="Z2541" s="664"/>
      <c r="AA2541" s="665"/>
      <c r="AB2541" s="665"/>
      <c r="AC2541" s="665"/>
      <c r="AD2541" s="665"/>
      <c r="AE2541" s="665"/>
      <c r="AF2541" s="649"/>
      <c r="AG2541" s="650"/>
      <c r="AH2541" s="650"/>
      <c r="AI2541" s="667"/>
    </row>
    <row r="2542" spans="12:35" ht="45" customHeight="1" thickBot="1" x14ac:dyDescent="0.25">
      <c r="L2542" s="645"/>
      <c r="M2542" s="616"/>
      <c r="N2542" s="616"/>
      <c r="O2542" s="616"/>
      <c r="P2542" s="615"/>
      <c r="Q2542" s="616"/>
      <c r="R2542" s="663"/>
      <c r="S2542" s="459"/>
      <c r="T2542" s="459"/>
      <c r="U2542" s="459"/>
      <c r="V2542" s="459"/>
      <c r="W2542" s="459"/>
      <c r="X2542" s="459"/>
      <c r="Y2542" s="666"/>
      <c r="Z2542" s="664"/>
      <c r="AA2542" s="665"/>
      <c r="AB2542" s="665"/>
      <c r="AC2542" s="665"/>
      <c r="AD2542" s="665"/>
      <c r="AE2542" s="665"/>
      <c r="AF2542" s="649"/>
      <c r="AG2542" s="650"/>
      <c r="AH2542" s="650"/>
      <c r="AI2542" s="667"/>
    </row>
    <row r="2543" spans="12:35" ht="45" customHeight="1" thickBot="1" x14ac:dyDescent="0.25">
      <c r="L2543" s="645"/>
      <c r="M2543" s="616"/>
      <c r="N2543" s="616"/>
      <c r="O2543" s="616"/>
      <c r="P2543" s="615"/>
      <c r="Q2543" s="616"/>
      <c r="R2543" s="663"/>
      <c r="S2543" s="459"/>
      <c r="T2543" s="459"/>
      <c r="U2543" s="459"/>
      <c r="V2543" s="459"/>
      <c r="W2543" s="459"/>
      <c r="X2543" s="459"/>
      <c r="Y2543" s="666"/>
      <c r="Z2543" s="664"/>
      <c r="AA2543" s="665"/>
      <c r="AB2543" s="665"/>
      <c r="AC2543" s="665"/>
      <c r="AD2543" s="665"/>
      <c r="AE2543" s="665"/>
      <c r="AF2543" s="649"/>
      <c r="AG2543" s="650"/>
      <c r="AH2543" s="650"/>
      <c r="AI2543" s="667"/>
    </row>
    <row r="2544" spans="12:35" ht="45" customHeight="1" thickBot="1" x14ac:dyDescent="0.25">
      <c r="L2544" s="645"/>
      <c r="M2544" s="616"/>
      <c r="N2544" s="616"/>
      <c r="O2544" s="616"/>
      <c r="P2544" s="615"/>
      <c r="Q2544" s="616"/>
      <c r="R2544" s="663"/>
      <c r="S2544" s="459"/>
      <c r="T2544" s="459"/>
      <c r="U2544" s="459"/>
      <c r="V2544" s="459"/>
      <c r="W2544" s="459"/>
      <c r="X2544" s="459"/>
      <c r="Y2544" s="666"/>
      <c r="Z2544" s="664"/>
      <c r="AA2544" s="665"/>
      <c r="AB2544" s="665"/>
      <c r="AC2544" s="665"/>
      <c r="AD2544" s="665"/>
      <c r="AE2544" s="665"/>
      <c r="AF2544" s="649"/>
      <c r="AG2544" s="650"/>
      <c r="AH2544" s="650"/>
      <c r="AI2544" s="667"/>
    </row>
    <row r="2545" spans="12:35" ht="45" customHeight="1" thickBot="1" x14ac:dyDescent="0.25">
      <c r="L2545" s="645"/>
      <c r="M2545" s="616"/>
      <c r="N2545" s="616"/>
      <c r="O2545" s="616"/>
      <c r="P2545" s="615"/>
      <c r="Q2545" s="616"/>
      <c r="R2545" s="663"/>
      <c r="S2545" s="459"/>
      <c r="T2545" s="459"/>
      <c r="U2545" s="459"/>
      <c r="V2545" s="459"/>
      <c r="W2545" s="459"/>
      <c r="X2545" s="459"/>
      <c r="Y2545" s="666"/>
      <c r="Z2545" s="664"/>
      <c r="AA2545" s="665"/>
      <c r="AB2545" s="665"/>
      <c r="AC2545" s="665"/>
      <c r="AD2545" s="665"/>
      <c r="AE2545" s="665"/>
      <c r="AF2545" s="649"/>
      <c r="AG2545" s="650"/>
      <c r="AH2545" s="650"/>
      <c r="AI2545" s="667"/>
    </row>
    <row r="2546" spans="12:35" ht="45" customHeight="1" thickBot="1" x14ac:dyDescent="0.25">
      <c r="L2546" s="645"/>
      <c r="M2546" s="616"/>
      <c r="N2546" s="616"/>
      <c r="O2546" s="616"/>
      <c r="P2546" s="615"/>
      <c r="Q2546" s="616"/>
      <c r="R2546" s="663"/>
      <c r="S2546" s="459"/>
      <c r="T2546" s="459"/>
      <c r="U2546" s="459"/>
      <c r="V2546" s="459"/>
      <c r="W2546" s="459"/>
      <c r="X2546" s="459"/>
      <c r="Y2546" s="666"/>
      <c r="Z2546" s="664"/>
      <c r="AA2546" s="665"/>
      <c r="AB2546" s="665"/>
      <c r="AC2546" s="665"/>
      <c r="AD2546" s="665"/>
      <c r="AE2546" s="665"/>
      <c r="AF2546" s="649"/>
      <c r="AG2546" s="650"/>
      <c r="AH2546" s="650"/>
      <c r="AI2546" s="667"/>
    </row>
    <row r="2547" spans="12:35" ht="45" customHeight="1" thickBot="1" x14ac:dyDescent="0.25">
      <c r="L2547" s="645"/>
      <c r="M2547" s="616"/>
      <c r="N2547" s="616"/>
      <c r="O2547" s="616"/>
      <c r="P2547" s="615"/>
      <c r="Q2547" s="616"/>
      <c r="R2547" s="663"/>
      <c r="S2547" s="459"/>
      <c r="T2547" s="459"/>
      <c r="U2547" s="459"/>
      <c r="V2547" s="459"/>
      <c r="W2547" s="459"/>
      <c r="X2547" s="459"/>
      <c r="Y2547" s="666"/>
      <c r="Z2547" s="664"/>
      <c r="AA2547" s="665"/>
      <c r="AB2547" s="665"/>
      <c r="AC2547" s="665"/>
      <c r="AD2547" s="665"/>
      <c r="AE2547" s="665"/>
      <c r="AF2547" s="649"/>
      <c r="AG2547" s="650"/>
      <c r="AH2547" s="650"/>
      <c r="AI2547" s="667"/>
    </row>
    <row r="2548" spans="12:35" ht="45" customHeight="1" thickBot="1" x14ac:dyDescent="0.25">
      <c r="L2548" s="645"/>
      <c r="M2548" s="616"/>
      <c r="N2548" s="616"/>
      <c r="O2548" s="616"/>
      <c r="P2548" s="615"/>
      <c r="Q2548" s="616"/>
      <c r="R2548" s="663"/>
      <c r="S2548" s="459"/>
      <c r="T2548" s="459"/>
      <c r="U2548" s="459"/>
      <c r="V2548" s="459"/>
      <c r="W2548" s="459"/>
      <c r="X2548" s="459"/>
      <c r="Y2548" s="666"/>
      <c r="Z2548" s="664"/>
      <c r="AA2548" s="665"/>
      <c r="AB2548" s="665"/>
      <c r="AC2548" s="665"/>
      <c r="AD2548" s="665"/>
      <c r="AE2548" s="665"/>
      <c r="AF2548" s="649"/>
      <c r="AG2548" s="650"/>
      <c r="AH2548" s="650"/>
      <c r="AI2548" s="667"/>
    </row>
    <row r="2549" spans="12:35" ht="45" customHeight="1" thickBot="1" x14ac:dyDescent="0.25">
      <c r="L2549" s="645"/>
      <c r="M2549" s="616"/>
      <c r="N2549" s="616"/>
      <c r="O2549" s="616"/>
      <c r="P2549" s="615"/>
      <c r="Q2549" s="616"/>
      <c r="R2549" s="663"/>
      <c r="S2549" s="459"/>
      <c r="T2549" s="459"/>
      <c r="U2549" s="459"/>
      <c r="V2549" s="459"/>
      <c r="W2549" s="459"/>
      <c r="X2549" s="459"/>
      <c r="Y2549" s="666"/>
      <c r="Z2549" s="664"/>
      <c r="AA2549" s="665"/>
      <c r="AB2549" s="665"/>
      <c r="AC2549" s="665"/>
      <c r="AD2549" s="665"/>
      <c r="AE2549" s="665"/>
      <c r="AF2549" s="649"/>
      <c r="AG2549" s="650"/>
      <c r="AH2549" s="650"/>
      <c r="AI2549" s="667"/>
    </row>
    <row r="2550" spans="12:35" ht="45" customHeight="1" thickBot="1" x14ac:dyDescent="0.25">
      <c r="L2550" s="645"/>
      <c r="M2550" s="616"/>
      <c r="N2550" s="616"/>
      <c r="O2550" s="616"/>
      <c r="P2550" s="615"/>
      <c r="Q2550" s="616"/>
      <c r="R2550" s="663"/>
      <c r="S2550" s="459"/>
      <c r="T2550" s="459"/>
      <c r="U2550" s="459"/>
      <c r="V2550" s="459"/>
      <c r="W2550" s="459"/>
      <c r="X2550" s="459"/>
      <c r="Y2550" s="666"/>
      <c r="Z2550" s="664"/>
      <c r="AA2550" s="665"/>
      <c r="AB2550" s="665"/>
      <c r="AC2550" s="665"/>
      <c r="AD2550" s="665"/>
      <c r="AE2550" s="665"/>
      <c r="AF2550" s="649"/>
      <c r="AG2550" s="650"/>
      <c r="AH2550" s="650"/>
      <c r="AI2550" s="667"/>
    </row>
    <row r="2551" spans="12:35" ht="45" customHeight="1" thickBot="1" x14ac:dyDescent="0.25">
      <c r="L2551" s="645"/>
      <c r="M2551" s="616"/>
      <c r="N2551" s="616"/>
      <c r="O2551" s="616"/>
      <c r="P2551" s="615"/>
      <c r="Q2551" s="616"/>
      <c r="R2551" s="663"/>
      <c r="S2551" s="459"/>
      <c r="T2551" s="459"/>
      <c r="U2551" s="459"/>
      <c r="V2551" s="459"/>
      <c r="W2551" s="459"/>
      <c r="X2551" s="459"/>
      <c r="Y2551" s="666"/>
      <c r="Z2551" s="664"/>
      <c r="AA2551" s="665"/>
      <c r="AB2551" s="665"/>
      <c r="AC2551" s="665"/>
      <c r="AD2551" s="665"/>
      <c r="AE2551" s="665"/>
      <c r="AF2551" s="649"/>
      <c r="AG2551" s="650"/>
      <c r="AH2551" s="650"/>
      <c r="AI2551" s="667"/>
    </row>
    <row r="2552" spans="12:35" ht="45" customHeight="1" thickBot="1" x14ac:dyDescent="0.25">
      <c r="L2552" s="645"/>
      <c r="M2552" s="616"/>
      <c r="N2552" s="616"/>
      <c r="O2552" s="616"/>
      <c r="P2552" s="615"/>
      <c r="Q2552" s="616"/>
      <c r="R2552" s="663"/>
      <c r="S2552" s="459"/>
      <c r="T2552" s="459"/>
      <c r="U2552" s="459"/>
      <c r="V2552" s="459"/>
      <c r="W2552" s="459"/>
      <c r="X2552" s="459"/>
      <c r="Y2552" s="666"/>
      <c r="Z2552" s="664"/>
      <c r="AA2552" s="665"/>
      <c r="AB2552" s="665"/>
      <c r="AC2552" s="665"/>
      <c r="AD2552" s="665"/>
      <c r="AE2552" s="665"/>
      <c r="AF2552" s="649"/>
      <c r="AG2552" s="650"/>
      <c r="AH2552" s="650"/>
      <c r="AI2552" s="667"/>
    </row>
    <row r="2553" spans="12:35" ht="45" customHeight="1" thickBot="1" x14ac:dyDescent="0.25">
      <c r="L2553" s="645"/>
      <c r="M2553" s="616"/>
      <c r="N2553" s="616"/>
      <c r="O2553" s="616"/>
      <c r="P2553" s="615"/>
      <c r="Q2553" s="616"/>
      <c r="R2553" s="663"/>
      <c r="S2553" s="459"/>
      <c r="T2553" s="459"/>
      <c r="U2553" s="459"/>
      <c r="V2553" s="459"/>
      <c r="W2553" s="459"/>
      <c r="X2553" s="459"/>
      <c r="Y2553" s="666"/>
      <c r="Z2553" s="664"/>
      <c r="AA2553" s="665"/>
      <c r="AB2553" s="665"/>
      <c r="AC2553" s="665"/>
      <c r="AD2553" s="665"/>
      <c r="AE2553" s="665"/>
      <c r="AF2553" s="649"/>
      <c r="AG2553" s="650"/>
      <c r="AH2553" s="650"/>
      <c r="AI2553" s="667"/>
    </row>
    <row r="2554" spans="12:35" ht="45" customHeight="1" thickBot="1" x14ac:dyDescent="0.25">
      <c r="L2554" s="645"/>
      <c r="M2554" s="616"/>
      <c r="N2554" s="616"/>
      <c r="O2554" s="616"/>
      <c r="P2554" s="615"/>
      <c r="Q2554" s="616"/>
      <c r="R2554" s="663"/>
      <c r="S2554" s="459"/>
      <c r="T2554" s="459"/>
      <c r="U2554" s="459"/>
      <c r="V2554" s="459"/>
      <c r="W2554" s="459"/>
      <c r="X2554" s="459"/>
      <c r="Y2554" s="666"/>
      <c r="Z2554" s="664"/>
      <c r="AA2554" s="665"/>
      <c r="AB2554" s="665"/>
      <c r="AC2554" s="665"/>
      <c r="AD2554" s="665"/>
      <c r="AE2554" s="665"/>
      <c r="AF2554" s="649"/>
      <c r="AG2554" s="650"/>
      <c r="AH2554" s="650"/>
      <c r="AI2554" s="667"/>
    </row>
    <row r="2555" spans="12:35" ht="45" customHeight="1" thickBot="1" x14ac:dyDescent="0.25">
      <c r="L2555" s="645"/>
      <c r="M2555" s="616"/>
      <c r="N2555" s="616"/>
      <c r="O2555" s="616"/>
      <c r="P2555" s="615"/>
      <c r="Q2555" s="616"/>
      <c r="R2555" s="663"/>
      <c r="S2555" s="459"/>
      <c r="T2555" s="459"/>
      <c r="U2555" s="459"/>
      <c r="V2555" s="459"/>
      <c r="W2555" s="459"/>
      <c r="X2555" s="459"/>
      <c r="Y2555" s="666"/>
      <c r="Z2555" s="664"/>
      <c r="AA2555" s="665"/>
      <c r="AB2555" s="665"/>
      <c r="AC2555" s="665"/>
      <c r="AD2555" s="665"/>
      <c r="AE2555" s="665"/>
      <c r="AF2555" s="649"/>
      <c r="AG2555" s="650"/>
      <c r="AH2555" s="650"/>
      <c r="AI2555" s="667"/>
    </row>
    <row r="2556" spans="12:35" ht="45" customHeight="1" thickBot="1" x14ac:dyDescent="0.25">
      <c r="L2556" s="645"/>
      <c r="M2556" s="616"/>
      <c r="N2556" s="616"/>
      <c r="O2556" s="616"/>
      <c r="P2556" s="615"/>
      <c r="Q2556" s="616"/>
      <c r="R2556" s="663"/>
      <c r="S2556" s="459"/>
      <c r="T2556" s="459"/>
      <c r="U2556" s="459"/>
      <c r="V2556" s="459"/>
      <c r="W2556" s="459"/>
      <c r="X2556" s="459"/>
      <c r="Y2556" s="666"/>
      <c r="Z2556" s="664"/>
      <c r="AA2556" s="665"/>
      <c r="AB2556" s="665"/>
      <c r="AC2556" s="665"/>
      <c r="AD2556" s="665"/>
      <c r="AE2556" s="665"/>
      <c r="AF2556" s="649"/>
      <c r="AG2556" s="650"/>
      <c r="AH2556" s="650"/>
      <c r="AI2556" s="667"/>
    </row>
    <row r="2557" spans="12:35" ht="45" customHeight="1" thickBot="1" x14ac:dyDescent="0.25">
      <c r="L2557" s="645"/>
      <c r="M2557" s="616"/>
      <c r="N2557" s="616"/>
      <c r="O2557" s="616"/>
      <c r="P2557" s="615"/>
      <c r="Q2557" s="616"/>
      <c r="R2557" s="663"/>
      <c r="S2557" s="459"/>
      <c r="T2557" s="459"/>
      <c r="U2557" s="459"/>
      <c r="V2557" s="459"/>
      <c r="W2557" s="459"/>
      <c r="X2557" s="459"/>
      <c r="Y2557" s="666"/>
      <c r="Z2557" s="664"/>
      <c r="AA2557" s="665"/>
      <c r="AB2557" s="665"/>
      <c r="AC2557" s="665"/>
      <c r="AD2557" s="665"/>
      <c r="AE2557" s="665"/>
      <c r="AF2557" s="649"/>
      <c r="AG2557" s="650"/>
      <c r="AH2557" s="650"/>
      <c r="AI2557" s="667"/>
    </row>
    <row r="2558" spans="12:35" ht="45" customHeight="1" thickBot="1" x14ac:dyDescent="0.25">
      <c r="L2558" s="645"/>
      <c r="M2558" s="616"/>
      <c r="N2558" s="616"/>
      <c r="O2558" s="616"/>
      <c r="P2558" s="615"/>
      <c r="Q2558" s="616"/>
      <c r="R2558" s="663"/>
      <c r="S2558" s="459"/>
      <c r="T2558" s="459"/>
      <c r="U2558" s="459"/>
      <c r="V2558" s="459"/>
      <c r="W2558" s="459"/>
      <c r="X2558" s="459"/>
      <c r="Y2558" s="666"/>
      <c r="Z2558" s="664"/>
      <c r="AA2558" s="665"/>
      <c r="AB2558" s="665"/>
      <c r="AC2558" s="665"/>
      <c r="AD2558" s="665"/>
      <c r="AE2558" s="665"/>
      <c r="AF2558" s="649"/>
      <c r="AG2558" s="650"/>
      <c r="AH2558" s="650"/>
      <c r="AI2558" s="667"/>
    </row>
    <row r="2559" spans="12:35" ht="45" customHeight="1" thickBot="1" x14ac:dyDescent="0.25">
      <c r="L2559" s="645"/>
      <c r="M2559" s="616"/>
      <c r="N2559" s="616"/>
      <c r="O2559" s="616"/>
      <c r="P2559" s="615"/>
      <c r="Q2559" s="616"/>
      <c r="R2559" s="663"/>
      <c r="S2559" s="459"/>
      <c r="T2559" s="459"/>
      <c r="U2559" s="459"/>
      <c r="V2559" s="459"/>
      <c r="W2559" s="459"/>
      <c r="X2559" s="459"/>
      <c r="Y2559" s="666"/>
      <c r="Z2559" s="664"/>
      <c r="AA2559" s="665"/>
      <c r="AB2559" s="665"/>
      <c r="AC2559" s="665"/>
      <c r="AD2559" s="665"/>
      <c r="AE2559" s="665"/>
      <c r="AF2559" s="649"/>
      <c r="AG2559" s="650"/>
      <c r="AH2559" s="650"/>
      <c r="AI2559" s="667"/>
    </row>
    <row r="2560" spans="12:35" ht="45" customHeight="1" thickBot="1" x14ac:dyDescent="0.25">
      <c r="L2560" s="645"/>
      <c r="M2560" s="616"/>
      <c r="N2560" s="616"/>
      <c r="O2560" s="616"/>
      <c r="P2560" s="615"/>
      <c r="Q2560" s="616"/>
      <c r="R2560" s="663"/>
      <c r="S2560" s="459"/>
      <c r="T2560" s="459"/>
      <c r="U2560" s="459"/>
      <c r="V2560" s="459"/>
      <c r="W2560" s="459"/>
      <c r="X2560" s="459"/>
      <c r="Y2560" s="666"/>
      <c r="Z2560" s="664"/>
      <c r="AA2560" s="665"/>
      <c r="AB2560" s="665"/>
      <c r="AC2560" s="665"/>
      <c r="AD2560" s="665"/>
      <c r="AE2560" s="665"/>
      <c r="AF2560" s="649"/>
      <c r="AG2560" s="650"/>
      <c r="AH2560" s="650"/>
      <c r="AI2560" s="667"/>
    </row>
    <row r="2561" spans="12:35" ht="45" customHeight="1" thickBot="1" x14ac:dyDescent="0.25">
      <c r="L2561" s="645"/>
      <c r="M2561" s="616"/>
      <c r="N2561" s="616"/>
      <c r="O2561" s="616"/>
      <c r="P2561" s="615"/>
      <c r="Q2561" s="616"/>
      <c r="R2561" s="663"/>
      <c r="S2561" s="459"/>
      <c r="T2561" s="459"/>
      <c r="U2561" s="459"/>
      <c r="V2561" s="459"/>
      <c r="W2561" s="459"/>
      <c r="X2561" s="459"/>
      <c r="Y2561" s="666"/>
      <c r="Z2561" s="664"/>
      <c r="AA2561" s="665"/>
      <c r="AB2561" s="665"/>
      <c r="AC2561" s="665"/>
      <c r="AD2561" s="665"/>
      <c r="AE2561" s="665"/>
      <c r="AF2561" s="649"/>
      <c r="AG2561" s="650"/>
      <c r="AH2561" s="650"/>
      <c r="AI2561" s="667"/>
    </row>
    <row r="2562" spans="12:35" ht="45" customHeight="1" thickBot="1" x14ac:dyDescent="0.25">
      <c r="L2562" s="645"/>
      <c r="M2562" s="616"/>
      <c r="N2562" s="616"/>
      <c r="O2562" s="616"/>
      <c r="P2562" s="615"/>
      <c r="Q2562" s="616"/>
      <c r="R2562" s="663"/>
      <c r="S2562" s="459"/>
      <c r="T2562" s="459"/>
      <c r="U2562" s="459"/>
      <c r="V2562" s="459"/>
      <c r="W2562" s="459"/>
      <c r="X2562" s="459"/>
      <c r="Y2562" s="666"/>
      <c r="Z2562" s="664"/>
      <c r="AA2562" s="665"/>
      <c r="AB2562" s="665"/>
      <c r="AC2562" s="665"/>
      <c r="AD2562" s="665"/>
      <c r="AE2562" s="665"/>
      <c r="AF2562" s="649"/>
      <c r="AG2562" s="650"/>
      <c r="AH2562" s="650"/>
      <c r="AI2562" s="667"/>
    </row>
    <row r="2563" spans="12:35" ht="45" customHeight="1" thickBot="1" x14ac:dyDescent="0.25">
      <c r="L2563" s="645"/>
      <c r="M2563" s="616"/>
      <c r="N2563" s="616"/>
      <c r="O2563" s="616"/>
      <c r="P2563" s="615"/>
      <c r="Q2563" s="616"/>
      <c r="R2563" s="663"/>
      <c r="S2563" s="459"/>
      <c r="T2563" s="459"/>
      <c r="U2563" s="459"/>
      <c r="V2563" s="459"/>
      <c r="W2563" s="459"/>
      <c r="X2563" s="459"/>
      <c r="Y2563" s="666"/>
      <c r="Z2563" s="664"/>
      <c r="AA2563" s="665"/>
      <c r="AB2563" s="665"/>
      <c r="AC2563" s="665"/>
      <c r="AD2563" s="665"/>
      <c r="AE2563" s="665"/>
      <c r="AF2563" s="649"/>
      <c r="AG2563" s="650"/>
      <c r="AH2563" s="650"/>
      <c r="AI2563" s="667"/>
    </row>
    <row r="2564" spans="12:35" ht="45" customHeight="1" thickBot="1" x14ac:dyDescent="0.25">
      <c r="L2564" s="645"/>
      <c r="M2564" s="616"/>
      <c r="N2564" s="616"/>
      <c r="O2564" s="616"/>
      <c r="P2564" s="615"/>
      <c r="Q2564" s="616"/>
      <c r="R2564" s="663"/>
      <c r="S2564" s="459"/>
      <c r="T2564" s="459"/>
      <c r="U2564" s="459"/>
      <c r="V2564" s="459"/>
      <c r="W2564" s="459"/>
      <c r="X2564" s="459"/>
      <c r="Y2564" s="666"/>
      <c r="Z2564" s="664"/>
      <c r="AA2564" s="665"/>
      <c r="AB2564" s="665"/>
      <c r="AC2564" s="665"/>
      <c r="AD2564" s="665"/>
      <c r="AE2564" s="665"/>
      <c r="AF2564" s="649"/>
      <c r="AG2564" s="650"/>
      <c r="AH2564" s="650"/>
      <c r="AI2564" s="667"/>
    </row>
    <row r="2565" spans="12:35" ht="45" customHeight="1" thickBot="1" x14ac:dyDescent="0.25">
      <c r="L2565" s="645"/>
      <c r="M2565" s="616"/>
      <c r="N2565" s="616"/>
      <c r="O2565" s="616"/>
      <c r="P2565" s="615"/>
      <c r="Q2565" s="616"/>
      <c r="R2565" s="663"/>
      <c r="S2565" s="459"/>
      <c r="T2565" s="459"/>
      <c r="U2565" s="459"/>
      <c r="V2565" s="459"/>
      <c r="W2565" s="459"/>
      <c r="X2565" s="459"/>
      <c r="Y2565" s="666"/>
      <c r="Z2565" s="664"/>
      <c r="AA2565" s="665"/>
      <c r="AB2565" s="665"/>
      <c r="AC2565" s="665"/>
      <c r="AD2565" s="665"/>
      <c r="AE2565" s="665"/>
      <c r="AF2565" s="649"/>
      <c r="AG2565" s="650"/>
      <c r="AH2565" s="650"/>
      <c r="AI2565" s="667"/>
    </row>
    <row r="2566" spans="12:35" ht="45" customHeight="1" thickBot="1" x14ac:dyDescent="0.25">
      <c r="L2566" s="645"/>
      <c r="M2566" s="616"/>
      <c r="N2566" s="616"/>
      <c r="O2566" s="616"/>
      <c r="P2566" s="615"/>
      <c r="Q2566" s="616"/>
      <c r="R2566" s="663"/>
      <c r="S2566" s="459"/>
      <c r="T2566" s="459"/>
      <c r="U2566" s="459"/>
      <c r="V2566" s="459"/>
      <c r="W2566" s="459"/>
      <c r="X2566" s="459"/>
      <c r="Y2566" s="666"/>
      <c r="Z2566" s="664"/>
      <c r="AA2566" s="665"/>
      <c r="AB2566" s="665"/>
      <c r="AC2566" s="665"/>
      <c r="AD2566" s="665"/>
      <c r="AE2566" s="665"/>
      <c r="AF2566" s="649"/>
      <c r="AG2566" s="650"/>
      <c r="AH2566" s="650"/>
      <c r="AI2566" s="667"/>
    </row>
    <row r="2567" spans="12:35" ht="45" customHeight="1" thickBot="1" x14ac:dyDescent="0.25">
      <c r="L2567" s="645"/>
      <c r="M2567" s="616"/>
      <c r="N2567" s="616"/>
      <c r="O2567" s="616"/>
      <c r="P2567" s="615"/>
      <c r="Q2567" s="616"/>
      <c r="R2567" s="663"/>
      <c r="S2567" s="459"/>
      <c r="T2567" s="459"/>
      <c r="U2567" s="459"/>
      <c r="V2567" s="459"/>
      <c r="W2567" s="459"/>
      <c r="X2567" s="459"/>
      <c r="Y2567" s="666"/>
      <c r="Z2567" s="664"/>
      <c r="AA2567" s="665"/>
      <c r="AB2567" s="665"/>
      <c r="AC2567" s="665"/>
      <c r="AD2567" s="665"/>
      <c r="AE2567" s="665"/>
      <c r="AF2567" s="649"/>
      <c r="AG2567" s="650"/>
      <c r="AH2567" s="650"/>
      <c r="AI2567" s="667"/>
    </row>
    <row r="2568" spans="12:35" ht="45" customHeight="1" thickBot="1" x14ac:dyDescent="0.25">
      <c r="L2568" s="645"/>
      <c r="M2568" s="616"/>
      <c r="N2568" s="616"/>
      <c r="O2568" s="616"/>
      <c r="P2568" s="615"/>
      <c r="Q2568" s="616"/>
      <c r="R2568" s="663"/>
      <c r="S2568" s="459"/>
      <c r="T2568" s="459"/>
      <c r="U2568" s="459"/>
      <c r="V2568" s="459"/>
      <c r="W2568" s="459"/>
      <c r="X2568" s="459"/>
      <c r="Y2568" s="666"/>
      <c r="Z2568" s="664"/>
      <c r="AA2568" s="665"/>
      <c r="AB2568" s="665"/>
      <c r="AC2568" s="665"/>
      <c r="AD2568" s="665"/>
      <c r="AE2568" s="665"/>
      <c r="AF2568" s="649"/>
      <c r="AG2568" s="650"/>
      <c r="AH2568" s="650"/>
      <c r="AI2568" s="667"/>
    </row>
    <row r="2569" spans="12:35" ht="45" customHeight="1" thickBot="1" x14ac:dyDescent="0.25">
      <c r="L2569" s="645"/>
      <c r="M2569" s="616"/>
      <c r="N2569" s="616"/>
      <c r="O2569" s="616"/>
      <c r="P2569" s="615"/>
      <c r="Q2569" s="616"/>
      <c r="R2569" s="663"/>
      <c r="S2569" s="459"/>
      <c r="T2569" s="459"/>
      <c r="U2569" s="459"/>
      <c r="V2569" s="459"/>
      <c r="W2569" s="459"/>
      <c r="X2569" s="459"/>
      <c r="Y2569" s="666"/>
      <c r="Z2569" s="664"/>
      <c r="AA2569" s="665"/>
      <c r="AB2569" s="665"/>
      <c r="AC2569" s="665"/>
      <c r="AD2569" s="665"/>
      <c r="AE2569" s="665"/>
      <c r="AF2569" s="649"/>
      <c r="AG2569" s="650"/>
      <c r="AH2569" s="650"/>
      <c r="AI2569" s="667"/>
    </row>
    <row r="2570" spans="12:35" ht="45" customHeight="1" thickBot="1" x14ac:dyDescent="0.25">
      <c r="L2570" s="645"/>
      <c r="M2570" s="616"/>
      <c r="N2570" s="616"/>
      <c r="O2570" s="616"/>
      <c r="P2570" s="615"/>
      <c r="Q2570" s="616"/>
      <c r="R2570" s="663"/>
      <c r="S2570" s="459"/>
      <c r="T2570" s="459"/>
      <c r="U2570" s="459"/>
      <c r="V2570" s="459"/>
      <c r="W2570" s="459"/>
      <c r="X2570" s="459"/>
      <c r="Y2570" s="666"/>
      <c r="Z2570" s="664"/>
      <c r="AA2570" s="665"/>
      <c r="AB2570" s="665"/>
      <c r="AC2570" s="665"/>
      <c r="AD2570" s="665"/>
      <c r="AE2570" s="665"/>
      <c r="AF2570" s="649"/>
      <c r="AG2570" s="650"/>
      <c r="AH2570" s="650"/>
      <c r="AI2570" s="667"/>
    </row>
    <row r="2571" spans="12:35" ht="45" customHeight="1" thickBot="1" x14ac:dyDescent="0.25">
      <c r="L2571" s="645"/>
      <c r="M2571" s="616"/>
      <c r="N2571" s="616"/>
      <c r="O2571" s="616"/>
      <c r="P2571" s="615"/>
      <c r="Q2571" s="616"/>
      <c r="R2571" s="663"/>
      <c r="S2571" s="459"/>
      <c r="T2571" s="459"/>
      <c r="U2571" s="459"/>
      <c r="V2571" s="459"/>
      <c r="W2571" s="459"/>
      <c r="X2571" s="459"/>
      <c r="Y2571" s="666"/>
      <c r="Z2571" s="664"/>
      <c r="AA2571" s="665"/>
      <c r="AB2571" s="665"/>
      <c r="AC2571" s="665"/>
      <c r="AD2571" s="665"/>
      <c r="AE2571" s="665"/>
      <c r="AF2571" s="649"/>
      <c r="AG2571" s="650"/>
      <c r="AH2571" s="650"/>
      <c r="AI2571" s="667"/>
    </row>
    <row r="2572" spans="12:35" ht="45" customHeight="1" thickBot="1" x14ac:dyDescent="0.25">
      <c r="L2572" s="645"/>
      <c r="M2572" s="616"/>
      <c r="N2572" s="616"/>
      <c r="O2572" s="616"/>
      <c r="P2572" s="615"/>
      <c r="Q2572" s="616"/>
      <c r="R2572" s="663"/>
      <c r="S2572" s="459"/>
      <c r="T2572" s="459"/>
      <c r="U2572" s="459"/>
      <c r="V2572" s="459"/>
      <c r="W2572" s="459"/>
      <c r="X2572" s="459"/>
      <c r="Y2572" s="666"/>
      <c r="Z2572" s="664"/>
      <c r="AA2572" s="665"/>
      <c r="AB2572" s="665"/>
      <c r="AC2572" s="665"/>
      <c r="AD2572" s="665"/>
      <c r="AE2572" s="665"/>
      <c r="AF2572" s="649"/>
      <c r="AG2572" s="650"/>
      <c r="AH2572" s="650"/>
      <c r="AI2572" s="667"/>
    </row>
    <row r="2573" spans="12:35" ht="45" customHeight="1" thickBot="1" x14ac:dyDescent="0.25">
      <c r="L2573" s="645"/>
      <c r="M2573" s="616"/>
      <c r="N2573" s="616"/>
      <c r="O2573" s="616"/>
      <c r="P2573" s="615"/>
      <c r="Q2573" s="616"/>
      <c r="R2573" s="663"/>
      <c r="S2573" s="459"/>
      <c r="T2573" s="459"/>
      <c r="U2573" s="459"/>
      <c r="V2573" s="459"/>
      <c r="W2573" s="459"/>
      <c r="X2573" s="459"/>
      <c r="Y2573" s="666"/>
      <c r="Z2573" s="664"/>
      <c r="AA2573" s="665"/>
      <c r="AB2573" s="665"/>
      <c r="AC2573" s="665"/>
      <c r="AD2573" s="665"/>
      <c r="AE2573" s="665"/>
      <c r="AF2573" s="649"/>
      <c r="AG2573" s="650"/>
      <c r="AH2573" s="650"/>
      <c r="AI2573" s="667"/>
    </row>
    <row r="2574" spans="12:35" ht="45" customHeight="1" thickBot="1" x14ac:dyDescent="0.25">
      <c r="L2574" s="645"/>
      <c r="M2574" s="616"/>
      <c r="N2574" s="616"/>
      <c r="O2574" s="616"/>
      <c r="P2574" s="615"/>
      <c r="Q2574" s="616"/>
      <c r="R2574" s="663"/>
      <c r="S2574" s="459"/>
      <c r="T2574" s="459"/>
      <c r="U2574" s="459"/>
      <c r="V2574" s="459"/>
      <c r="W2574" s="459"/>
      <c r="X2574" s="459"/>
      <c r="Y2574" s="666"/>
      <c r="Z2574" s="664"/>
      <c r="AA2574" s="665"/>
      <c r="AB2574" s="665"/>
      <c r="AC2574" s="665"/>
      <c r="AD2574" s="665"/>
      <c r="AE2574" s="665"/>
      <c r="AF2574" s="649"/>
      <c r="AG2574" s="650"/>
      <c r="AH2574" s="650"/>
      <c r="AI2574" s="667"/>
    </row>
    <row r="2575" spans="12:35" ht="45" customHeight="1" thickBot="1" x14ac:dyDescent="0.25">
      <c r="L2575" s="645"/>
      <c r="M2575" s="616"/>
      <c r="N2575" s="616"/>
      <c r="O2575" s="616"/>
      <c r="P2575" s="615"/>
      <c r="Q2575" s="616"/>
      <c r="R2575" s="663"/>
      <c r="S2575" s="459"/>
      <c r="T2575" s="459"/>
      <c r="U2575" s="459"/>
      <c r="V2575" s="459"/>
      <c r="W2575" s="459"/>
      <c r="X2575" s="459"/>
      <c r="Y2575" s="666"/>
      <c r="Z2575" s="664"/>
      <c r="AA2575" s="665"/>
      <c r="AB2575" s="665"/>
      <c r="AC2575" s="665"/>
      <c r="AD2575" s="665"/>
      <c r="AE2575" s="665"/>
      <c r="AF2575" s="649"/>
      <c r="AG2575" s="650"/>
      <c r="AH2575" s="650"/>
      <c r="AI2575" s="667"/>
    </row>
    <row r="2576" spans="12:35" ht="45" customHeight="1" thickBot="1" x14ac:dyDescent="0.25">
      <c r="L2576" s="645"/>
      <c r="M2576" s="616"/>
      <c r="N2576" s="616"/>
      <c r="O2576" s="616"/>
      <c r="P2576" s="615"/>
      <c r="Q2576" s="616"/>
      <c r="R2576" s="663"/>
      <c r="S2576" s="459"/>
      <c r="T2576" s="459"/>
      <c r="U2576" s="459"/>
      <c r="V2576" s="459"/>
      <c r="W2576" s="459"/>
      <c r="X2576" s="459"/>
      <c r="Y2576" s="666"/>
      <c r="Z2576" s="664"/>
      <c r="AA2576" s="665"/>
      <c r="AB2576" s="665"/>
      <c r="AC2576" s="665"/>
      <c r="AD2576" s="665"/>
      <c r="AE2576" s="665"/>
      <c r="AF2576" s="649"/>
      <c r="AG2576" s="650"/>
      <c r="AH2576" s="650"/>
      <c r="AI2576" s="667"/>
    </row>
    <row r="2577" spans="12:35" ht="45" customHeight="1" thickBot="1" x14ac:dyDescent="0.25">
      <c r="L2577" s="645"/>
      <c r="M2577" s="616"/>
      <c r="N2577" s="616"/>
      <c r="O2577" s="616"/>
      <c r="P2577" s="615"/>
      <c r="Q2577" s="616"/>
      <c r="R2577" s="663"/>
      <c r="S2577" s="459"/>
      <c r="T2577" s="459"/>
      <c r="U2577" s="459"/>
      <c r="V2577" s="459"/>
      <c r="W2577" s="459"/>
      <c r="X2577" s="459"/>
      <c r="Y2577" s="666"/>
      <c r="Z2577" s="664"/>
      <c r="AA2577" s="665"/>
      <c r="AB2577" s="665"/>
      <c r="AC2577" s="665"/>
      <c r="AD2577" s="665"/>
      <c r="AE2577" s="665"/>
      <c r="AF2577" s="649"/>
      <c r="AG2577" s="650"/>
      <c r="AH2577" s="650"/>
      <c r="AI2577" s="667"/>
    </row>
    <row r="2578" spans="12:35" ht="45" customHeight="1" thickBot="1" x14ac:dyDescent="0.25">
      <c r="L2578" s="645"/>
      <c r="M2578" s="616"/>
      <c r="N2578" s="616"/>
      <c r="O2578" s="616"/>
      <c r="P2578" s="615"/>
      <c r="Q2578" s="616"/>
      <c r="R2578" s="663"/>
      <c r="S2578" s="459"/>
      <c r="T2578" s="459"/>
      <c r="U2578" s="459"/>
      <c r="V2578" s="459"/>
      <c r="W2578" s="459"/>
      <c r="X2578" s="459"/>
      <c r="Y2578" s="666"/>
      <c r="Z2578" s="664"/>
      <c r="AA2578" s="665"/>
      <c r="AB2578" s="665"/>
      <c r="AC2578" s="665"/>
      <c r="AD2578" s="665"/>
      <c r="AE2578" s="665"/>
      <c r="AF2578" s="649"/>
      <c r="AG2578" s="650"/>
      <c r="AH2578" s="650"/>
      <c r="AI2578" s="667"/>
    </row>
    <row r="2579" spans="12:35" ht="45" customHeight="1" thickBot="1" x14ac:dyDescent="0.25">
      <c r="L2579" s="645"/>
      <c r="M2579" s="616"/>
      <c r="N2579" s="616"/>
      <c r="O2579" s="616"/>
      <c r="P2579" s="615"/>
      <c r="Q2579" s="616"/>
      <c r="R2579" s="663"/>
      <c r="S2579" s="459"/>
      <c r="T2579" s="459"/>
      <c r="U2579" s="459"/>
      <c r="V2579" s="459"/>
      <c r="W2579" s="459"/>
      <c r="X2579" s="459"/>
      <c r="Y2579" s="666"/>
      <c r="Z2579" s="664"/>
      <c r="AA2579" s="665"/>
      <c r="AB2579" s="665"/>
      <c r="AC2579" s="665"/>
      <c r="AD2579" s="665"/>
      <c r="AE2579" s="665"/>
      <c r="AF2579" s="649"/>
      <c r="AG2579" s="650"/>
      <c r="AH2579" s="650"/>
      <c r="AI2579" s="667"/>
    </row>
    <row r="2580" spans="12:35" ht="45" customHeight="1" thickBot="1" x14ac:dyDescent="0.25">
      <c r="L2580" s="645"/>
      <c r="M2580" s="616"/>
      <c r="N2580" s="616"/>
      <c r="O2580" s="616"/>
      <c r="P2580" s="615"/>
      <c r="Q2580" s="616"/>
      <c r="R2580" s="663"/>
      <c r="S2580" s="459"/>
      <c r="T2580" s="459"/>
      <c r="U2580" s="459"/>
      <c r="V2580" s="459"/>
      <c r="W2580" s="459"/>
      <c r="X2580" s="459"/>
      <c r="Y2580" s="666"/>
      <c r="Z2580" s="664"/>
      <c r="AA2580" s="665"/>
      <c r="AB2580" s="665"/>
      <c r="AC2580" s="665"/>
      <c r="AD2580" s="665"/>
      <c r="AE2580" s="665"/>
      <c r="AF2580" s="649"/>
      <c r="AG2580" s="650"/>
      <c r="AH2580" s="650"/>
      <c r="AI2580" s="667"/>
    </row>
    <row r="2581" spans="12:35" ht="45" customHeight="1" thickBot="1" x14ac:dyDescent="0.25">
      <c r="L2581" s="645"/>
      <c r="M2581" s="616"/>
      <c r="N2581" s="616"/>
      <c r="O2581" s="616"/>
      <c r="P2581" s="615"/>
      <c r="Q2581" s="616"/>
      <c r="R2581" s="663"/>
      <c r="S2581" s="459"/>
      <c r="T2581" s="459"/>
      <c r="U2581" s="459"/>
      <c r="V2581" s="459"/>
      <c r="W2581" s="459"/>
      <c r="X2581" s="459"/>
      <c r="Y2581" s="666"/>
      <c r="Z2581" s="664"/>
      <c r="AA2581" s="665"/>
      <c r="AB2581" s="665"/>
      <c r="AC2581" s="665"/>
      <c r="AD2581" s="665"/>
      <c r="AE2581" s="665"/>
      <c r="AF2581" s="649"/>
      <c r="AG2581" s="650"/>
      <c r="AH2581" s="650"/>
      <c r="AI2581" s="667"/>
    </row>
    <row r="2582" spans="12:35" ht="45" customHeight="1" thickBot="1" x14ac:dyDescent="0.25">
      <c r="L2582" s="645"/>
      <c r="M2582" s="616"/>
      <c r="N2582" s="616"/>
      <c r="O2582" s="616"/>
      <c r="P2582" s="615"/>
      <c r="Q2582" s="616"/>
      <c r="R2582" s="663"/>
      <c r="S2582" s="459"/>
      <c r="T2582" s="459"/>
      <c r="U2582" s="459"/>
      <c r="V2582" s="459"/>
      <c r="W2582" s="459"/>
      <c r="X2582" s="459"/>
      <c r="Y2582" s="666"/>
      <c r="Z2582" s="664"/>
      <c r="AA2582" s="665"/>
      <c r="AB2582" s="665"/>
      <c r="AC2582" s="665"/>
      <c r="AD2582" s="665"/>
      <c r="AE2582" s="665"/>
      <c r="AF2582" s="649"/>
      <c r="AG2582" s="650"/>
      <c r="AH2582" s="650"/>
      <c r="AI2582" s="667"/>
    </row>
    <row r="2583" spans="12:35" ht="45" customHeight="1" thickBot="1" x14ac:dyDescent="0.25">
      <c r="L2583" s="645"/>
      <c r="M2583" s="616"/>
      <c r="N2583" s="616"/>
      <c r="O2583" s="616"/>
      <c r="P2583" s="615"/>
      <c r="Q2583" s="616"/>
      <c r="R2583" s="663"/>
      <c r="S2583" s="459"/>
      <c r="T2583" s="459"/>
      <c r="U2583" s="459"/>
      <c r="V2583" s="459"/>
      <c r="W2583" s="459"/>
      <c r="X2583" s="459"/>
      <c r="Y2583" s="666"/>
      <c r="Z2583" s="664"/>
      <c r="AA2583" s="665"/>
      <c r="AB2583" s="665"/>
      <c r="AC2583" s="665"/>
      <c r="AD2583" s="665"/>
      <c r="AE2583" s="665"/>
      <c r="AF2583" s="649"/>
      <c r="AG2583" s="650"/>
      <c r="AH2583" s="650"/>
      <c r="AI2583" s="667"/>
    </row>
    <row r="2584" spans="12:35" ht="45" customHeight="1" thickBot="1" x14ac:dyDescent="0.25">
      <c r="L2584" s="645"/>
      <c r="M2584" s="616"/>
      <c r="N2584" s="616"/>
      <c r="O2584" s="616"/>
      <c r="P2584" s="615"/>
      <c r="Q2584" s="616"/>
      <c r="R2584" s="663"/>
      <c r="S2584" s="459"/>
      <c r="T2584" s="459"/>
      <c r="U2584" s="459"/>
      <c r="V2584" s="459"/>
      <c r="W2584" s="459"/>
      <c r="X2584" s="459"/>
      <c r="Y2584" s="666"/>
      <c r="Z2584" s="664"/>
      <c r="AA2584" s="665"/>
      <c r="AB2584" s="665"/>
      <c r="AC2584" s="665"/>
      <c r="AD2584" s="665"/>
      <c r="AE2584" s="665"/>
      <c r="AF2584" s="649"/>
      <c r="AG2584" s="650"/>
      <c r="AH2584" s="650"/>
      <c r="AI2584" s="667"/>
    </row>
    <row r="2585" spans="12:35" ht="45" customHeight="1" thickBot="1" x14ac:dyDescent="0.25">
      <c r="L2585" s="645"/>
      <c r="M2585" s="616"/>
      <c r="N2585" s="616"/>
      <c r="O2585" s="616"/>
      <c r="P2585" s="615"/>
      <c r="Q2585" s="616"/>
      <c r="R2585" s="663"/>
      <c r="S2585" s="459"/>
      <c r="T2585" s="459"/>
      <c r="U2585" s="459"/>
      <c r="V2585" s="459"/>
      <c r="W2585" s="459"/>
      <c r="X2585" s="459"/>
      <c r="Y2585" s="666"/>
      <c r="Z2585" s="664"/>
      <c r="AA2585" s="665"/>
      <c r="AB2585" s="665"/>
      <c r="AC2585" s="665"/>
      <c r="AD2585" s="665"/>
      <c r="AE2585" s="665"/>
      <c r="AF2585" s="649"/>
      <c r="AG2585" s="650"/>
      <c r="AH2585" s="650"/>
      <c r="AI2585" s="667"/>
    </row>
    <row r="2586" spans="12:35" ht="45" customHeight="1" thickBot="1" x14ac:dyDescent="0.25">
      <c r="L2586" s="645"/>
      <c r="M2586" s="616"/>
      <c r="N2586" s="616"/>
      <c r="O2586" s="616"/>
      <c r="P2586" s="615"/>
      <c r="Q2586" s="616"/>
      <c r="R2586" s="663"/>
      <c r="S2586" s="459"/>
      <c r="T2586" s="459"/>
      <c r="U2586" s="459"/>
      <c r="V2586" s="459"/>
      <c r="W2586" s="459"/>
      <c r="X2586" s="459"/>
      <c r="Y2586" s="666"/>
      <c r="Z2586" s="664"/>
      <c r="AA2586" s="665"/>
      <c r="AB2586" s="665"/>
      <c r="AC2586" s="665"/>
      <c r="AD2586" s="665"/>
      <c r="AE2586" s="665"/>
      <c r="AF2586" s="649"/>
      <c r="AG2586" s="650"/>
      <c r="AH2586" s="650"/>
      <c r="AI2586" s="667"/>
    </row>
    <row r="2587" spans="12:35" ht="45" customHeight="1" thickBot="1" x14ac:dyDescent="0.25">
      <c r="L2587" s="645"/>
      <c r="M2587" s="616"/>
      <c r="N2587" s="616"/>
      <c r="O2587" s="616"/>
      <c r="P2587" s="615"/>
      <c r="Q2587" s="616"/>
      <c r="R2587" s="663"/>
      <c r="S2587" s="459"/>
      <c r="T2587" s="459"/>
      <c r="U2587" s="459"/>
      <c r="V2587" s="459"/>
      <c r="W2587" s="459"/>
      <c r="X2587" s="459"/>
      <c r="Y2587" s="666"/>
      <c r="Z2587" s="664"/>
      <c r="AA2587" s="665"/>
      <c r="AB2587" s="665"/>
      <c r="AC2587" s="665"/>
      <c r="AD2587" s="665"/>
      <c r="AE2587" s="665"/>
      <c r="AF2587" s="649"/>
      <c r="AG2587" s="650"/>
      <c r="AH2587" s="650"/>
      <c r="AI2587" s="667"/>
    </row>
    <row r="2588" spans="12:35" ht="45" customHeight="1" thickBot="1" x14ac:dyDescent="0.25">
      <c r="L2588" s="645"/>
      <c r="M2588" s="616"/>
      <c r="N2588" s="616"/>
      <c r="O2588" s="616"/>
      <c r="P2588" s="615"/>
      <c r="Q2588" s="616"/>
      <c r="R2588" s="663"/>
      <c r="S2588" s="459"/>
      <c r="T2588" s="459"/>
      <c r="U2588" s="459"/>
      <c r="V2588" s="459"/>
      <c r="W2588" s="459"/>
      <c r="X2588" s="459"/>
      <c r="Y2588" s="666"/>
      <c r="Z2588" s="664"/>
      <c r="AA2588" s="665"/>
      <c r="AB2588" s="665"/>
      <c r="AC2588" s="665"/>
      <c r="AD2588" s="665"/>
      <c r="AE2588" s="665"/>
      <c r="AF2588" s="649"/>
      <c r="AG2588" s="650"/>
      <c r="AH2588" s="650"/>
      <c r="AI2588" s="667"/>
    </row>
    <row r="2589" spans="12:35" ht="45" customHeight="1" thickBot="1" x14ac:dyDescent="0.25">
      <c r="L2589" s="645"/>
      <c r="M2589" s="616"/>
      <c r="N2589" s="616"/>
      <c r="O2589" s="616"/>
      <c r="P2589" s="615"/>
      <c r="Q2589" s="616"/>
      <c r="R2589" s="663"/>
      <c r="S2589" s="459"/>
      <c r="T2589" s="459"/>
      <c r="U2589" s="459"/>
      <c r="V2589" s="459"/>
      <c r="W2589" s="459"/>
      <c r="X2589" s="459"/>
      <c r="Y2589" s="666"/>
      <c r="Z2589" s="664"/>
      <c r="AA2589" s="665"/>
      <c r="AB2589" s="665"/>
      <c r="AC2589" s="665"/>
      <c r="AD2589" s="665"/>
      <c r="AE2589" s="665"/>
      <c r="AF2589" s="649"/>
      <c r="AG2589" s="650"/>
      <c r="AH2589" s="650"/>
      <c r="AI2589" s="667"/>
    </row>
    <row r="2590" spans="12:35" ht="45" customHeight="1" thickBot="1" x14ac:dyDescent="0.25">
      <c r="L2590" s="645"/>
      <c r="M2590" s="616"/>
      <c r="N2590" s="616"/>
      <c r="O2590" s="616"/>
      <c r="P2590" s="615"/>
      <c r="Q2590" s="616"/>
      <c r="R2590" s="663"/>
      <c r="S2590" s="459"/>
      <c r="T2590" s="459"/>
      <c r="U2590" s="459"/>
      <c r="V2590" s="459"/>
      <c r="W2590" s="459"/>
      <c r="X2590" s="459"/>
      <c r="Y2590" s="666"/>
      <c r="Z2590" s="664"/>
      <c r="AA2590" s="665"/>
      <c r="AB2590" s="665"/>
      <c r="AC2590" s="665"/>
      <c r="AD2590" s="665"/>
      <c r="AE2590" s="665"/>
      <c r="AF2590" s="649"/>
      <c r="AG2590" s="650"/>
      <c r="AH2590" s="650"/>
      <c r="AI2590" s="667"/>
    </row>
    <row r="2591" spans="12:35" ht="45" customHeight="1" thickBot="1" x14ac:dyDescent="0.25">
      <c r="L2591" s="645"/>
      <c r="M2591" s="616"/>
      <c r="N2591" s="616"/>
      <c r="O2591" s="616"/>
      <c r="P2591" s="615"/>
      <c r="Q2591" s="616"/>
      <c r="R2591" s="663"/>
      <c r="S2591" s="459"/>
      <c r="T2591" s="459"/>
      <c r="U2591" s="459"/>
      <c r="V2591" s="459"/>
      <c r="W2591" s="459"/>
      <c r="X2591" s="459"/>
      <c r="Y2591" s="666"/>
      <c r="Z2591" s="664"/>
      <c r="AA2591" s="665"/>
      <c r="AB2591" s="665"/>
      <c r="AC2591" s="665"/>
      <c r="AD2591" s="665"/>
      <c r="AE2591" s="665"/>
      <c r="AF2591" s="649"/>
      <c r="AG2591" s="650"/>
      <c r="AH2591" s="650"/>
      <c r="AI2591" s="667"/>
    </row>
    <row r="2592" spans="12:35" ht="45" customHeight="1" thickBot="1" x14ac:dyDescent="0.25">
      <c r="L2592" s="645"/>
      <c r="M2592" s="616"/>
      <c r="N2592" s="616"/>
      <c r="O2592" s="616"/>
      <c r="P2592" s="615"/>
      <c r="Q2592" s="616"/>
      <c r="R2592" s="663"/>
      <c r="S2592" s="459"/>
      <c r="T2592" s="459"/>
      <c r="U2592" s="459"/>
      <c r="V2592" s="459"/>
      <c r="W2592" s="459"/>
      <c r="X2592" s="459"/>
      <c r="Y2592" s="666"/>
      <c r="Z2592" s="664"/>
      <c r="AA2592" s="665"/>
      <c r="AB2592" s="665"/>
      <c r="AC2592" s="665"/>
      <c r="AD2592" s="665"/>
      <c r="AE2592" s="665"/>
      <c r="AF2592" s="649"/>
      <c r="AG2592" s="650"/>
      <c r="AH2592" s="650"/>
      <c r="AI2592" s="667"/>
    </row>
    <row r="2593" spans="12:35" ht="45" customHeight="1" thickBot="1" x14ac:dyDescent="0.25">
      <c r="L2593" s="645"/>
      <c r="M2593" s="616"/>
      <c r="N2593" s="616"/>
      <c r="O2593" s="616"/>
      <c r="P2593" s="615"/>
      <c r="Q2593" s="616"/>
      <c r="R2593" s="663"/>
      <c r="S2593" s="459"/>
      <c r="T2593" s="459"/>
      <c r="U2593" s="459"/>
      <c r="V2593" s="459"/>
      <c r="W2593" s="459"/>
      <c r="X2593" s="459"/>
      <c r="Y2593" s="666"/>
      <c r="Z2593" s="664"/>
      <c r="AA2593" s="665"/>
      <c r="AB2593" s="665"/>
      <c r="AC2593" s="665"/>
      <c r="AD2593" s="665"/>
      <c r="AE2593" s="665"/>
      <c r="AF2593" s="649"/>
      <c r="AG2593" s="650"/>
      <c r="AH2593" s="650"/>
      <c r="AI2593" s="667"/>
    </row>
    <row r="2594" spans="12:35" ht="45" customHeight="1" thickBot="1" x14ac:dyDescent="0.25">
      <c r="L2594" s="645"/>
      <c r="M2594" s="616"/>
      <c r="N2594" s="616"/>
      <c r="O2594" s="616"/>
      <c r="P2594" s="615"/>
      <c r="Q2594" s="616"/>
      <c r="R2594" s="663"/>
      <c r="S2594" s="459"/>
      <c r="T2594" s="459"/>
      <c r="U2594" s="459"/>
      <c r="V2594" s="459"/>
      <c r="W2594" s="459"/>
      <c r="X2594" s="459"/>
      <c r="Y2594" s="666"/>
      <c r="Z2594" s="664"/>
      <c r="AA2594" s="665"/>
      <c r="AB2594" s="665"/>
      <c r="AC2594" s="665"/>
      <c r="AD2594" s="665"/>
      <c r="AE2594" s="665"/>
      <c r="AF2594" s="649"/>
      <c r="AG2594" s="650"/>
      <c r="AH2594" s="650"/>
      <c r="AI2594" s="667"/>
    </row>
    <row r="2595" spans="12:35" ht="45" customHeight="1" thickBot="1" x14ac:dyDescent="0.25">
      <c r="L2595" s="645"/>
      <c r="M2595" s="616"/>
      <c r="N2595" s="616"/>
      <c r="O2595" s="616"/>
      <c r="P2595" s="615"/>
      <c r="Q2595" s="616"/>
      <c r="R2595" s="663"/>
      <c r="S2595" s="459"/>
      <c r="T2595" s="459"/>
      <c r="U2595" s="459"/>
      <c r="V2595" s="459"/>
      <c r="W2595" s="459"/>
      <c r="X2595" s="459"/>
      <c r="Y2595" s="666"/>
      <c r="Z2595" s="664"/>
      <c r="AA2595" s="665"/>
      <c r="AB2595" s="665"/>
      <c r="AC2595" s="665"/>
      <c r="AD2595" s="665"/>
      <c r="AE2595" s="665"/>
      <c r="AF2595" s="649"/>
      <c r="AG2595" s="650"/>
      <c r="AH2595" s="650"/>
      <c r="AI2595" s="667"/>
    </row>
    <row r="2596" spans="12:35" ht="45" customHeight="1" thickBot="1" x14ac:dyDescent="0.25">
      <c r="L2596" s="645"/>
      <c r="M2596" s="616"/>
      <c r="N2596" s="616"/>
      <c r="O2596" s="616"/>
      <c r="P2596" s="615"/>
      <c r="Q2596" s="616"/>
      <c r="R2596" s="663"/>
      <c r="S2596" s="459"/>
      <c r="T2596" s="459"/>
      <c r="U2596" s="459"/>
      <c r="V2596" s="459"/>
      <c r="W2596" s="459"/>
      <c r="X2596" s="459"/>
      <c r="Y2596" s="666"/>
      <c r="Z2596" s="664"/>
      <c r="AA2596" s="665"/>
      <c r="AB2596" s="665"/>
      <c r="AC2596" s="665"/>
      <c r="AD2596" s="665"/>
      <c r="AE2596" s="665"/>
      <c r="AF2596" s="649"/>
      <c r="AG2596" s="650"/>
      <c r="AH2596" s="650"/>
      <c r="AI2596" s="667"/>
    </row>
    <row r="2597" spans="12:35" ht="45" customHeight="1" thickBot="1" x14ac:dyDescent="0.25">
      <c r="L2597" s="645"/>
      <c r="M2597" s="616"/>
      <c r="N2597" s="616"/>
      <c r="O2597" s="616"/>
      <c r="P2597" s="615"/>
      <c r="Q2597" s="616"/>
      <c r="R2597" s="663"/>
      <c r="S2597" s="459"/>
      <c r="T2597" s="459"/>
      <c r="U2597" s="459"/>
      <c r="V2597" s="459"/>
      <c r="W2597" s="459"/>
      <c r="X2597" s="459"/>
      <c r="Y2597" s="666"/>
      <c r="Z2597" s="664"/>
      <c r="AA2597" s="665"/>
      <c r="AB2597" s="665"/>
      <c r="AC2597" s="665"/>
      <c r="AD2597" s="665"/>
      <c r="AE2597" s="665"/>
      <c r="AF2597" s="649"/>
      <c r="AG2597" s="650"/>
      <c r="AH2597" s="650"/>
      <c r="AI2597" s="667"/>
    </row>
    <row r="2598" spans="12:35" ht="45" customHeight="1" thickBot="1" x14ac:dyDescent="0.25">
      <c r="L2598" s="645"/>
      <c r="M2598" s="616"/>
      <c r="N2598" s="616"/>
      <c r="O2598" s="616"/>
      <c r="P2598" s="615"/>
      <c r="Q2598" s="616"/>
      <c r="R2598" s="663"/>
      <c r="S2598" s="459"/>
      <c r="T2598" s="459"/>
      <c r="U2598" s="459"/>
      <c r="V2598" s="459"/>
      <c r="W2598" s="459"/>
      <c r="X2598" s="459"/>
      <c r="Y2598" s="666"/>
      <c r="Z2598" s="664"/>
      <c r="AA2598" s="665"/>
      <c r="AB2598" s="665"/>
      <c r="AC2598" s="665"/>
      <c r="AD2598" s="665"/>
      <c r="AE2598" s="665"/>
      <c r="AF2598" s="649"/>
      <c r="AG2598" s="650"/>
      <c r="AH2598" s="650"/>
      <c r="AI2598" s="667"/>
    </row>
    <row r="2599" spans="12:35" ht="45" customHeight="1" thickBot="1" x14ac:dyDescent="0.25">
      <c r="L2599" s="645"/>
      <c r="M2599" s="616"/>
      <c r="N2599" s="616"/>
      <c r="O2599" s="616"/>
      <c r="P2599" s="615"/>
      <c r="Q2599" s="616"/>
      <c r="R2599" s="663"/>
      <c r="S2599" s="459"/>
      <c r="T2599" s="459"/>
      <c r="U2599" s="459"/>
      <c r="V2599" s="459"/>
      <c r="W2599" s="459"/>
      <c r="X2599" s="459"/>
      <c r="Y2599" s="666"/>
      <c r="Z2599" s="664"/>
      <c r="AA2599" s="665"/>
      <c r="AB2599" s="665"/>
      <c r="AC2599" s="665"/>
      <c r="AD2599" s="665"/>
      <c r="AE2599" s="665"/>
      <c r="AF2599" s="649"/>
      <c r="AG2599" s="650"/>
      <c r="AH2599" s="650"/>
      <c r="AI2599" s="667"/>
    </row>
    <row r="2600" spans="12:35" ht="45" customHeight="1" thickBot="1" x14ac:dyDescent="0.25">
      <c r="L2600" s="645"/>
      <c r="M2600" s="616"/>
      <c r="N2600" s="616"/>
      <c r="O2600" s="616"/>
      <c r="P2600" s="615"/>
      <c r="Q2600" s="616"/>
      <c r="R2600" s="663"/>
      <c r="S2600" s="459"/>
      <c r="T2600" s="459"/>
      <c r="U2600" s="459"/>
      <c r="V2600" s="459"/>
      <c r="W2600" s="459"/>
      <c r="X2600" s="459"/>
      <c r="Y2600" s="666"/>
      <c r="Z2600" s="664"/>
      <c r="AA2600" s="665"/>
      <c r="AB2600" s="665"/>
      <c r="AC2600" s="665"/>
      <c r="AD2600" s="665"/>
      <c r="AE2600" s="665"/>
      <c r="AF2600" s="649"/>
      <c r="AG2600" s="650"/>
      <c r="AH2600" s="650"/>
      <c r="AI2600" s="667"/>
    </row>
    <row r="2601" spans="12:35" ht="45" customHeight="1" thickBot="1" x14ac:dyDescent="0.25">
      <c r="L2601" s="645"/>
      <c r="M2601" s="616"/>
      <c r="N2601" s="616"/>
      <c r="O2601" s="616"/>
      <c r="P2601" s="615"/>
      <c r="Q2601" s="616"/>
      <c r="R2601" s="663"/>
      <c r="S2601" s="459"/>
      <c r="T2601" s="459"/>
      <c r="U2601" s="459"/>
      <c r="V2601" s="459"/>
      <c r="W2601" s="459"/>
      <c r="X2601" s="459"/>
      <c r="Y2601" s="666"/>
      <c r="Z2601" s="664"/>
      <c r="AA2601" s="665"/>
      <c r="AB2601" s="665"/>
      <c r="AC2601" s="665"/>
      <c r="AD2601" s="665"/>
      <c r="AE2601" s="665"/>
      <c r="AF2601" s="649"/>
      <c r="AG2601" s="650"/>
      <c r="AH2601" s="650"/>
      <c r="AI2601" s="667"/>
    </row>
    <row r="2602" spans="12:35" ht="45" customHeight="1" thickBot="1" x14ac:dyDescent="0.25">
      <c r="L2602" s="645"/>
      <c r="M2602" s="616"/>
      <c r="N2602" s="616"/>
      <c r="O2602" s="616"/>
      <c r="P2602" s="615"/>
      <c r="Q2602" s="616"/>
      <c r="R2602" s="663"/>
      <c r="S2602" s="459"/>
      <c r="T2602" s="459"/>
      <c r="U2602" s="459"/>
      <c r="V2602" s="459"/>
      <c r="W2602" s="459"/>
      <c r="X2602" s="459"/>
      <c r="Y2602" s="666"/>
      <c r="Z2602" s="664"/>
      <c r="AA2602" s="665"/>
      <c r="AB2602" s="665"/>
      <c r="AC2602" s="665"/>
      <c r="AD2602" s="665"/>
      <c r="AE2602" s="665"/>
      <c r="AF2602" s="649"/>
      <c r="AG2602" s="650"/>
      <c r="AH2602" s="650"/>
      <c r="AI2602" s="667"/>
    </row>
    <row r="2603" spans="12:35" ht="45" customHeight="1" thickBot="1" x14ac:dyDescent="0.25">
      <c r="L2603" s="645"/>
      <c r="M2603" s="616"/>
      <c r="N2603" s="616"/>
      <c r="O2603" s="616"/>
      <c r="P2603" s="615"/>
      <c r="Q2603" s="616"/>
      <c r="R2603" s="663"/>
      <c r="S2603" s="459"/>
      <c r="T2603" s="459"/>
      <c r="U2603" s="459"/>
      <c r="V2603" s="459"/>
      <c r="W2603" s="459"/>
      <c r="X2603" s="459"/>
      <c r="Y2603" s="666"/>
      <c r="Z2603" s="664"/>
      <c r="AA2603" s="665"/>
      <c r="AB2603" s="665"/>
      <c r="AC2603" s="665"/>
      <c r="AD2603" s="665"/>
      <c r="AE2603" s="665"/>
      <c r="AF2603" s="649"/>
      <c r="AG2603" s="650"/>
      <c r="AH2603" s="650"/>
      <c r="AI2603" s="667"/>
    </row>
    <row r="2604" spans="12:35" ht="45" customHeight="1" thickBot="1" x14ac:dyDescent="0.25">
      <c r="L2604" s="645"/>
      <c r="M2604" s="616"/>
      <c r="N2604" s="616"/>
      <c r="O2604" s="616"/>
      <c r="P2604" s="615"/>
      <c r="Q2604" s="616"/>
      <c r="R2604" s="663"/>
      <c r="S2604" s="459"/>
      <c r="T2604" s="459"/>
      <c r="U2604" s="459"/>
      <c r="V2604" s="459"/>
      <c r="W2604" s="459"/>
      <c r="X2604" s="459"/>
      <c r="Y2604" s="666"/>
      <c r="Z2604" s="664"/>
      <c r="AA2604" s="665"/>
      <c r="AB2604" s="665"/>
      <c r="AC2604" s="665"/>
      <c r="AD2604" s="665"/>
      <c r="AE2604" s="665"/>
      <c r="AF2604" s="649"/>
      <c r="AG2604" s="650"/>
      <c r="AH2604" s="650"/>
      <c r="AI2604" s="667"/>
    </row>
    <row r="2605" spans="12:35" ht="45" customHeight="1" thickBot="1" x14ac:dyDescent="0.25">
      <c r="L2605" s="645"/>
      <c r="M2605" s="616"/>
      <c r="N2605" s="616"/>
      <c r="O2605" s="616"/>
      <c r="P2605" s="615"/>
      <c r="Q2605" s="616"/>
      <c r="R2605" s="663"/>
      <c r="S2605" s="459"/>
      <c r="T2605" s="459"/>
      <c r="U2605" s="459"/>
      <c r="V2605" s="459"/>
      <c r="W2605" s="459"/>
      <c r="X2605" s="459"/>
      <c r="Y2605" s="666"/>
      <c r="Z2605" s="664"/>
      <c r="AA2605" s="665"/>
      <c r="AB2605" s="665"/>
      <c r="AC2605" s="665"/>
      <c r="AD2605" s="665"/>
      <c r="AE2605" s="665"/>
      <c r="AF2605" s="649"/>
      <c r="AG2605" s="650"/>
      <c r="AH2605" s="650"/>
      <c r="AI2605" s="667"/>
    </row>
    <row r="2606" spans="12:35" ht="45" customHeight="1" thickBot="1" x14ac:dyDescent="0.25">
      <c r="L2606" s="645"/>
      <c r="M2606" s="616"/>
      <c r="N2606" s="616"/>
      <c r="O2606" s="616"/>
      <c r="P2606" s="615"/>
      <c r="Q2606" s="616"/>
      <c r="R2606" s="663"/>
      <c r="S2606" s="459"/>
      <c r="T2606" s="459"/>
      <c r="U2606" s="459"/>
      <c r="V2606" s="459"/>
      <c r="W2606" s="459"/>
      <c r="X2606" s="459"/>
      <c r="Y2606" s="666"/>
      <c r="Z2606" s="664"/>
      <c r="AA2606" s="665"/>
      <c r="AB2606" s="665"/>
      <c r="AC2606" s="665"/>
      <c r="AD2606" s="665"/>
      <c r="AE2606" s="665"/>
      <c r="AF2606" s="649"/>
      <c r="AG2606" s="650"/>
      <c r="AH2606" s="650"/>
      <c r="AI2606" s="667"/>
    </row>
    <row r="2607" spans="12:35" ht="45" customHeight="1" thickBot="1" x14ac:dyDescent="0.25">
      <c r="L2607" s="645"/>
      <c r="M2607" s="616"/>
      <c r="N2607" s="616"/>
      <c r="O2607" s="616"/>
      <c r="P2607" s="615"/>
      <c r="Q2607" s="616"/>
      <c r="R2607" s="663"/>
      <c r="S2607" s="459"/>
      <c r="T2607" s="459"/>
      <c r="U2607" s="459"/>
      <c r="V2607" s="459"/>
      <c r="W2607" s="459"/>
      <c r="X2607" s="459"/>
      <c r="Y2607" s="666"/>
      <c r="Z2607" s="664"/>
      <c r="AA2607" s="665"/>
      <c r="AB2607" s="665"/>
      <c r="AC2607" s="665"/>
      <c r="AD2607" s="665"/>
      <c r="AE2607" s="665"/>
      <c r="AF2607" s="649"/>
      <c r="AG2607" s="650"/>
      <c r="AH2607" s="650"/>
      <c r="AI2607" s="667"/>
    </row>
    <row r="2608" spans="12:35" ht="45" customHeight="1" thickBot="1" x14ac:dyDescent="0.25">
      <c r="L2608" s="645"/>
      <c r="M2608" s="616"/>
      <c r="N2608" s="616"/>
      <c r="O2608" s="616"/>
      <c r="P2608" s="615"/>
      <c r="Q2608" s="616"/>
      <c r="R2608" s="663"/>
      <c r="S2608" s="459"/>
      <c r="T2608" s="459"/>
      <c r="U2608" s="459"/>
      <c r="V2608" s="459"/>
      <c r="W2608" s="459"/>
      <c r="X2608" s="459"/>
      <c r="Y2608" s="666"/>
      <c r="Z2608" s="664"/>
      <c r="AA2608" s="665"/>
      <c r="AB2608" s="665"/>
      <c r="AC2608" s="665"/>
      <c r="AD2608" s="665"/>
      <c r="AE2608" s="665"/>
      <c r="AF2608" s="649"/>
      <c r="AG2608" s="650"/>
      <c r="AH2608" s="650"/>
      <c r="AI2608" s="667"/>
    </row>
    <row r="2609" spans="12:35" ht="45" customHeight="1" thickBot="1" x14ac:dyDescent="0.25">
      <c r="L2609" s="645"/>
      <c r="M2609" s="616"/>
      <c r="N2609" s="616"/>
      <c r="O2609" s="616"/>
      <c r="P2609" s="615"/>
      <c r="Q2609" s="616"/>
      <c r="R2609" s="663"/>
      <c r="S2609" s="459"/>
      <c r="T2609" s="459"/>
      <c r="U2609" s="459"/>
      <c r="V2609" s="459"/>
      <c r="W2609" s="459"/>
      <c r="X2609" s="459"/>
      <c r="Y2609" s="666"/>
      <c r="Z2609" s="664"/>
      <c r="AA2609" s="665"/>
      <c r="AB2609" s="665"/>
      <c r="AC2609" s="665"/>
      <c r="AD2609" s="665"/>
      <c r="AE2609" s="665"/>
      <c r="AF2609" s="649"/>
      <c r="AG2609" s="650"/>
      <c r="AH2609" s="650"/>
      <c r="AI2609" s="667"/>
    </row>
    <row r="2610" spans="12:35" ht="45" customHeight="1" thickBot="1" x14ac:dyDescent="0.25">
      <c r="L2610" s="645"/>
      <c r="M2610" s="616"/>
      <c r="N2610" s="616"/>
      <c r="O2610" s="616"/>
      <c r="P2610" s="615"/>
      <c r="Q2610" s="616"/>
      <c r="R2610" s="663"/>
      <c r="S2610" s="459"/>
      <c r="T2610" s="459"/>
      <c r="U2610" s="459"/>
      <c r="V2610" s="459"/>
      <c r="W2610" s="459"/>
      <c r="X2610" s="459"/>
      <c r="Y2610" s="666"/>
      <c r="Z2610" s="664"/>
      <c r="AA2610" s="665"/>
      <c r="AB2610" s="665"/>
      <c r="AC2610" s="665"/>
      <c r="AD2610" s="665"/>
      <c r="AE2610" s="665"/>
      <c r="AF2610" s="649"/>
      <c r="AG2610" s="650"/>
      <c r="AH2610" s="650"/>
      <c r="AI2610" s="667"/>
    </row>
    <row r="2611" spans="12:35" ht="45" customHeight="1" thickBot="1" x14ac:dyDescent="0.25">
      <c r="L2611" s="645"/>
      <c r="M2611" s="616"/>
      <c r="N2611" s="616"/>
      <c r="O2611" s="616"/>
      <c r="P2611" s="615"/>
      <c r="Q2611" s="616"/>
      <c r="R2611" s="663"/>
      <c r="S2611" s="459"/>
      <c r="T2611" s="459"/>
      <c r="U2611" s="459"/>
      <c r="V2611" s="459"/>
      <c r="W2611" s="459"/>
      <c r="X2611" s="459"/>
      <c r="Y2611" s="666"/>
      <c r="Z2611" s="664"/>
      <c r="AA2611" s="665"/>
      <c r="AB2611" s="665"/>
      <c r="AC2611" s="665"/>
      <c r="AD2611" s="665"/>
      <c r="AE2611" s="665"/>
      <c r="AF2611" s="649"/>
      <c r="AG2611" s="650"/>
      <c r="AH2611" s="650"/>
      <c r="AI2611" s="667"/>
    </row>
    <row r="2612" spans="12:35" ht="45" customHeight="1" thickBot="1" x14ac:dyDescent="0.25">
      <c r="L2612" s="645"/>
      <c r="M2612" s="616"/>
      <c r="N2612" s="616"/>
      <c r="O2612" s="616"/>
      <c r="P2612" s="615"/>
      <c r="Q2612" s="616"/>
      <c r="R2612" s="663"/>
      <c r="S2612" s="459"/>
      <c r="T2612" s="459"/>
      <c r="U2612" s="459"/>
      <c r="V2612" s="459"/>
      <c r="W2612" s="459"/>
      <c r="X2612" s="459"/>
      <c r="Y2612" s="666"/>
      <c r="Z2612" s="664"/>
      <c r="AA2612" s="665"/>
      <c r="AB2612" s="665"/>
      <c r="AC2612" s="665"/>
      <c r="AD2612" s="665"/>
      <c r="AE2612" s="665"/>
      <c r="AF2612" s="649"/>
      <c r="AG2612" s="650"/>
      <c r="AH2612" s="650"/>
      <c r="AI2612" s="667"/>
    </row>
    <row r="2613" spans="12:35" ht="45" customHeight="1" thickBot="1" x14ac:dyDescent="0.25">
      <c r="L2613" s="645"/>
      <c r="M2613" s="616"/>
      <c r="N2613" s="616"/>
      <c r="O2613" s="616"/>
      <c r="P2613" s="615"/>
      <c r="Q2613" s="616"/>
      <c r="R2613" s="663"/>
      <c r="S2613" s="459"/>
      <c r="T2613" s="459"/>
      <c r="U2613" s="459"/>
      <c r="V2613" s="459"/>
      <c r="W2613" s="459"/>
      <c r="X2613" s="459"/>
      <c r="Y2613" s="666"/>
      <c r="Z2613" s="664"/>
      <c r="AA2613" s="665"/>
      <c r="AB2613" s="665"/>
      <c r="AC2613" s="665"/>
      <c r="AD2613" s="665"/>
      <c r="AE2613" s="665"/>
      <c r="AF2613" s="649"/>
      <c r="AG2613" s="650"/>
      <c r="AH2613" s="650"/>
      <c r="AI2613" s="667"/>
    </row>
    <row r="2614" spans="12:35" ht="45" customHeight="1" thickBot="1" x14ac:dyDescent="0.25">
      <c r="L2614" s="645"/>
      <c r="M2614" s="616"/>
      <c r="N2614" s="616"/>
      <c r="O2614" s="616"/>
      <c r="P2614" s="615"/>
      <c r="Q2614" s="616"/>
      <c r="R2614" s="663"/>
      <c r="S2614" s="459"/>
      <c r="T2614" s="459"/>
      <c r="U2614" s="459"/>
      <c r="V2614" s="459"/>
      <c r="W2614" s="459"/>
      <c r="X2614" s="459"/>
      <c r="Y2614" s="666"/>
      <c r="Z2614" s="664"/>
      <c r="AA2614" s="665"/>
      <c r="AB2614" s="665"/>
      <c r="AC2614" s="665"/>
      <c r="AD2614" s="665"/>
      <c r="AE2614" s="665"/>
      <c r="AF2614" s="649"/>
      <c r="AG2614" s="650"/>
      <c r="AH2614" s="650"/>
      <c r="AI2614" s="667"/>
    </row>
    <row r="2615" spans="12:35" ht="45" customHeight="1" thickBot="1" x14ac:dyDescent="0.25">
      <c r="L2615" s="645"/>
      <c r="M2615" s="616"/>
      <c r="N2615" s="616"/>
      <c r="O2615" s="616"/>
      <c r="P2615" s="615"/>
      <c r="Q2615" s="616"/>
      <c r="R2615" s="663"/>
      <c r="S2615" s="459"/>
      <c r="T2615" s="459"/>
      <c r="U2615" s="459"/>
      <c r="V2615" s="459"/>
      <c r="W2615" s="459"/>
      <c r="X2615" s="459"/>
      <c r="Y2615" s="666"/>
      <c r="Z2615" s="664"/>
      <c r="AA2615" s="665"/>
      <c r="AB2615" s="665"/>
      <c r="AC2615" s="665"/>
      <c r="AD2615" s="665"/>
      <c r="AE2615" s="665"/>
      <c r="AF2615" s="649"/>
      <c r="AG2615" s="650"/>
      <c r="AH2615" s="650"/>
      <c r="AI2615" s="667"/>
    </row>
    <row r="2616" spans="12:35" ht="45" customHeight="1" thickBot="1" x14ac:dyDescent="0.25">
      <c r="L2616" s="645"/>
      <c r="M2616" s="616"/>
      <c r="N2616" s="616"/>
      <c r="O2616" s="616"/>
      <c r="P2616" s="615"/>
      <c r="Q2616" s="616"/>
      <c r="R2616" s="663"/>
      <c r="S2616" s="459"/>
      <c r="T2616" s="459"/>
      <c r="U2616" s="459"/>
      <c r="V2616" s="459"/>
      <c r="W2616" s="459"/>
      <c r="X2616" s="459"/>
      <c r="Y2616" s="666"/>
      <c r="Z2616" s="664"/>
      <c r="AA2616" s="665"/>
      <c r="AB2616" s="665"/>
      <c r="AC2616" s="665"/>
      <c r="AD2616" s="665"/>
      <c r="AE2616" s="665"/>
      <c r="AF2616" s="649"/>
      <c r="AG2616" s="650"/>
      <c r="AH2616" s="650"/>
      <c r="AI2616" s="667"/>
    </row>
    <row r="2617" spans="12:35" ht="45" customHeight="1" thickBot="1" x14ac:dyDescent="0.25">
      <c r="L2617" s="645"/>
      <c r="M2617" s="616"/>
      <c r="N2617" s="616"/>
      <c r="O2617" s="616"/>
      <c r="P2617" s="615"/>
      <c r="Q2617" s="616"/>
      <c r="R2617" s="663"/>
      <c r="S2617" s="459"/>
      <c r="T2617" s="459"/>
      <c r="U2617" s="459"/>
      <c r="V2617" s="459"/>
      <c r="W2617" s="459"/>
      <c r="X2617" s="459"/>
      <c r="Y2617" s="666"/>
      <c r="Z2617" s="664"/>
      <c r="AA2617" s="665"/>
      <c r="AB2617" s="665"/>
      <c r="AC2617" s="665"/>
      <c r="AD2617" s="665"/>
      <c r="AE2617" s="665"/>
      <c r="AF2617" s="649"/>
      <c r="AG2617" s="650"/>
      <c r="AH2617" s="650"/>
      <c r="AI2617" s="667"/>
    </row>
    <row r="2618" spans="12:35" ht="45" customHeight="1" thickBot="1" x14ac:dyDescent="0.25">
      <c r="L2618" s="645"/>
      <c r="M2618" s="616"/>
      <c r="N2618" s="616"/>
      <c r="O2618" s="616"/>
      <c r="P2618" s="615"/>
      <c r="Q2618" s="616"/>
      <c r="R2618" s="663"/>
      <c r="S2618" s="459"/>
      <c r="T2618" s="459"/>
      <c r="U2618" s="459"/>
      <c r="V2618" s="459"/>
      <c r="W2618" s="459"/>
      <c r="X2618" s="459"/>
      <c r="Y2618" s="666"/>
      <c r="Z2618" s="664"/>
      <c r="AA2618" s="665"/>
      <c r="AB2618" s="665"/>
      <c r="AC2618" s="665"/>
      <c r="AD2618" s="665"/>
      <c r="AE2618" s="665"/>
      <c r="AF2618" s="649"/>
      <c r="AG2618" s="650"/>
      <c r="AH2618" s="650"/>
      <c r="AI2618" s="667"/>
    </row>
    <row r="2619" spans="12:35" ht="45" customHeight="1" thickBot="1" x14ac:dyDescent="0.25">
      <c r="L2619" s="645"/>
      <c r="M2619" s="616"/>
      <c r="N2619" s="616"/>
      <c r="O2619" s="616"/>
      <c r="P2619" s="615"/>
      <c r="Q2619" s="616"/>
      <c r="R2619" s="663"/>
      <c r="S2619" s="459"/>
      <c r="T2619" s="459"/>
      <c r="U2619" s="459"/>
      <c r="V2619" s="459"/>
      <c r="W2619" s="459"/>
      <c r="X2619" s="459"/>
      <c r="Y2619" s="666"/>
      <c r="Z2619" s="664"/>
      <c r="AA2619" s="665"/>
      <c r="AB2619" s="665"/>
      <c r="AC2619" s="665"/>
      <c r="AD2619" s="665"/>
      <c r="AE2619" s="665"/>
      <c r="AF2619" s="649"/>
      <c r="AG2619" s="650"/>
      <c r="AH2619" s="650"/>
      <c r="AI2619" s="667"/>
    </row>
    <row r="2620" spans="12:35" ht="45" customHeight="1" thickBot="1" x14ac:dyDescent="0.25">
      <c r="L2620" s="645"/>
      <c r="M2620" s="616"/>
      <c r="N2620" s="616"/>
      <c r="O2620" s="616"/>
      <c r="P2620" s="615"/>
      <c r="Q2620" s="616"/>
      <c r="R2620" s="663"/>
      <c r="S2620" s="459"/>
      <c r="T2620" s="459"/>
      <c r="U2620" s="459"/>
      <c r="V2620" s="459"/>
      <c r="W2620" s="459"/>
      <c r="X2620" s="459"/>
      <c r="Y2620" s="666"/>
      <c r="Z2620" s="664"/>
      <c r="AA2620" s="665"/>
      <c r="AB2620" s="665"/>
      <c r="AC2620" s="665"/>
      <c r="AD2620" s="665"/>
      <c r="AE2620" s="665"/>
      <c r="AF2620" s="649"/>
      <c r="AG2620" s="650"/>
      <c r="AH2620" s="650"/>
      <c r="AI2620" s="667"/>
    </row>
    <row r="2621" spans="12:35" ht="45" customHeight="1" thickBot="1" x14ac:dyDescent="0.25">
      <c r="L2621" s="645"/>
      <c r="M2621" s="616"/>
      <c r="N2621" s="616"/>
      <c r="O2621" s="616"/>
      <c r="P2621" s="615"/>
      <c r="Q2621" s="616"/>
      <c r="R2621" s="663"/>
      <c r="S2621" s="459"/>
      <c r="T2621" s="459"/>
      <c r="U2621" s="459"/>
      <c r="V2621" s="459"/>
      <c r="W2621" s="459"/>
      <c r="X2621" s="459"/>
      <c r="Y2621" s="666"/>
      <c r="Z2621" s="664"/>
      <c r="AA2621" s="665"/>
      <c r="AB2621" s="665"/>
      <c r="AC2621" s="665"/>
      <c r="AD2621" s="665"/>
      <c r="AE2621" s="665"/>
      <c r="AF2621" s="649"/>
      <c r="AG2621" s="650"/>
      <c r="AH2621" s="650"/>
      <c r="AI2621" s="667"/>
    </row>
    <row r="2622" spans="12:35" ht="45" customHeight="1" thickBot="1" x14ac:dyDescent="0.25">
      <c r="L2622" s="645"/>
      <c r="M2622" s="616"/>
      <c r="N2622" s="616"/>
      <c r="O2622" s="616"/>
      <c r="P2622" s="615"/>
      <c r="Q2622" s="616"/>
      <c r="R2622" s="663"/>
      <c r="S2622" s="459"/>
      <c r="T2622" s="459"/>
      <c r="U2622" s="459"/>
      <c r="V2622" s="459"/>
      <c r="W2622" s="459"/>
      <c r="X2622" s="459"/>
      <c r="Y2622" s="666"/>
      <c r="Z2622" s="664"/>
      <c r="AA2622" s="665"/>
      <c r="AB2622" s="665"/>
      <c r="AC2622" s="665"/>
      <c r="AD2622" s="665"/>
      <c r="AE2622" s="665"/>
      <c r="AF2622" s="649"/>
      <c r="AG2622" s="650"/>
      <c r="AH2622" s="650"/>
      <c r="AI2622" s="667"/>
    </row>
    <row r="2623" spans="12:35" ht="45" customHeight="1" thickBot="1" x14ac:dyDescent="0.25">
      <c r="L2623" s="645"/>
      <c r="M2623" s="616"/>
      <c r="N2623" s="616"/>
      <c r="O2623" s="616"/>
      <c r="P2623" s="615"/>
      <c r="Q2623" s="616"/>
      <c r="R2623" s="663"/>
      <c r="S2623" s="459"/>
      <c r="T2623" s="459"/>
      <c r="U2623" s="459"/>
      <c r="V2623" s="459"/>
      <c r="W2623" s="459"/>
      <c r="X2623" s="459"/>
      <c r="Y2623" s="666"/>
      <c r="Z2623" s="664"/>
      <c r="AA2623" s="665"/>
      <c r="AB2623" s="665"/>
      <c r="AC2623" s="665"/>
      <c r="AD2623" s="665"/>
      <c r="AE2623" s="665"/>
      <c r="AF2623" s="649"/>
      <c r="AG2623" s="650"/>
      <c r="AH2623" s="650"/>
      <c r="AI2623" s="667"/>
    </row>
    <row r="2624" spans="12:35" ht="45" customHeight="1" thickBot="1" x14ac:dyDescent="0.25">
      <c r="L2624" s="645"/>
      <c r="M2624" s="616"/>
      <c r="N2624" s="616"/>
      <c r="O2624" s="616"/>
      <c r="P2624" s="615"/>
      <c r="Q2624" s="616"/>
      <c r="R2624" s="663"/>
      <c r="S2624" s="459"/>
      <c r="T2624" s="459"/>
      <c r="U2624" s="459"/>
      <c r="V2624" s="459"/>
      <c r="W2624" s="459"/>
      <c r="X2624" s="459"/>
      <c r="Y2624" s="666"/>
      <c r="Z2624" s="664"/>
      <c r="AA2624" s="665"/>
      <c r="AB2624" s="665"/>
      <c r="AC2624" s="665"/>
      <c r="AD2624" s="665"/>
      <c r="AE2624" s="665"/>
      <c r="AF2624" s="649"/>
      <c r="AG2624" s="650"/>
      <c r="AH2624" s="650"/>
      <c r="AI2624" s="667"/>
    </row>
    <row r="2625" spans="12:35" ht="45" customHeight="1" thickBot="1" x14ac:dyDescent="0.25">
      <c r="L2625" s="645"/>
      <c r="M2625" s="616"/>
      <c r="N2625" s="616"/>
      <c r="O2625" s="616"/>
      <c r="P2625" s="615"/>
      <c r="Q2625" s="616"/>
      <c r="R2625" s="663"/>
      <c r="S2625" s="459"/>
      <c r="T2625" s="459"/>
      <c r="U2625" s="459"/>
      <c r="V2625" s="459"/>
      <c r="W2625" s="459"/>
      <c r="X2625" s="459"/>
      <c r="Y2625" s="666"/>
      <c r="Z2625" s="664"/>
      <c r="AA2625" s="665"/>
      <c r="AB2625" s="665"/>
      <c r="AC2625" s="665"/>
      <c r="AD2625" s="665"/>
      <c r="AE2625" s="665"/>
      <c r="AF2625" s="649"/>
      <c r="AG2625" s="650"/>
      <c r="AH2625" s="650"/>
      <c r="AI2625" s="667"/>
    </row>
    <row r="2626" spans="12:35" ht="45" customHeight="1" thickBot="1" x14ac:dyDescent="0.25">
      <c r="L2626" s="645"/>
      <c r="M2626" s="616"/>
      <c r="N2626" s="616"/>
      <c r="O2626" s="616"/>
      <c r="P2626" s="615"/>
      <c r="Q2626" s="616"/>
      <c r="R2626" s="663"/>
      <c r="S2626" s="459"/>
      <c r="T2626" s="459"/>
      <c r="U2626" s="459"/>
      <c r="V2626" s="459"/>
      <c r="W2626" s="459"/>
      <c r="X2626" s="459"/>
      <c r="Y2626" s="666"/>
      <c r="Z2626" s="664"/>
      <c r="AA2626" s="665"/>
      <c r="AB2626" s="665"/>
      <c r="AC2626" s="665"/>
      <c r="AD2626" s="665"/>
      <c r="AE2626" s="665"/>
      <c r="AF2626" s="649"/>
      <c r="AG2626" s="650"/>
      <c r="AH2626" s="650"/>
      <c r="AI2626" s="667"/>
    </row>
    <row r="2627" spans="12:35" ht="45" customHeight="1" thickBot="1" x14ac:dyDescent="0.25">
      <c r="L2627" s="645"/>
      <c r="M2627" s="616"/>
      <c r="N2627" s="616"/>
      <c r="O2627" s="616"/>
      <c r="P2627" s="615"/>
      <c r="Q2627" s="616"/>
      <c r="R2627" s="663"/>
      <c r="S2627" s="459"/>
      <c r="T2627" s="459"/>
      <c r="U2627" s="459"/>
      <c r="V2627" s="459"/>
      <c r="W2627" s="459"/>
      <c r="X2627" s="459"/>
      <c r="Y2627" s="666"/>
      <c r="Z2627" s="664"/>
      <c r="AA2627" s="665"/>
      <c r="AB2627" s="665"/>
      <c r="AC2627" s="665"/>
      <c r="AD2627" s="665"/>
      <c r="AE2627" s="665"/>
      <c r="AF2627" s="649"/>
      <c r="AG2627" s="650"/>
      <c r="AH2627" s="650"/>
      <c r="AI2627" s="667"/>
    </row>
    <row r="2628" spans="12:35" ht="45" customHeight="1" thickBot="1" x14ac:dyDescent="0.25">
      <c r="L2628" s="645"/>
      <c r="M2628" s="616"/>
      <c r="N2628" s="616"/>
      <c r="O2628" s="616"/>
      <c r="P2628" s="615"/>
      <c r="Q2628" s="616"/>
      <c r="R2628" s="663"/>
      <c r="S2628" s="459"/>
      <c r="T2628" s="459"/>
      <c r="U2628" s="459"/>
      <c r="V2628" s="459"/>
      <c r="W2628" s="459"/>
      <c r="X2628" s="459"/>
      <c r="Y2628" s="666"/>
      <c r="Z2628" s="664"/>
      <c r="AA2628" s="665"/>
      <c r="AB2628" s="665"/>
      <c r="AC2628" s="665"/>
      <c r="AD2628" s="665"/>
      <c r="AE2628" s="665"/>
      <c r="AF2628" s="649"/>
      <c r="AG2628" s="650"/>
      <c r="AH2628" s="650"/>
      <c r="AI2628" s="667"/>
    </row>
    <row r="2629" spans="12:35" ht="45" customHeight="1" thickBot="1" x14ac:dyDescent="0.25">
      <c r="L2629" s="645"/>
      <c r="M2629" s="616"/>
      <c r="N2629" s="616"/>
      <c r="O2629" s="616"/>
      <c r="P2629" s="615"/>
      <c r="Q2629" s="616"/>
      <c r="R2629" s="663"/>
      <c r="S2629" s="459"/>
      <c r="T2629" s="459"/>
      <c r="U2629" s="459"/>
      <c r="V2629" s="459"/>
      <c r="W2629" s="459"/>
      <c r="X2629" s="459"/>
      <c r="Y2629" s="666"/>
      <c r="Z2629" s="664"/>
      <c r="AA2629" s="665"/>
      <c r="AB2629" s="665"/>
      <c r="AC2629" s="665"/>
      <c r="AD2629" s="665"/>
      <c r="AE2629" s="665"/>
      <c r="AF2629" s="649"/>
      <c r="AG2629" s="650"/>
      <c r="AH2629" s="650"/>
      <c r="AI2629" s="667"/>
    </row>
    <row r="2630" spans="12:35" ht="45" customHeight="1" thickBot="1" x14ac:dyDescent="0.25">
      <c r="L2630" s="645"/>
      <c r="M2630" s="616"/>
      <c r="N2630" s="616"/>
      <c r="O2630" s="616"/>
      <c r="P2630" s="615"/>
      <c r="Q2630" s="616"/>
      <c r="R2630" s="663"/>
      <c r="S2630" s="459"/>
      <c r="T2630" s="459"/>
      <c r="U2630" s="459"/>
      <c r="V2630" s="459"/>
      <c r="W2630" s="459"/>
      <c r="X2630" s="459"/>
      <c r="Y2630" s="666"/>
      <c r="Z2630" s="664"/>
      <c r="AA2630" s="665"/>
      <c r="AB2630" s="665"/>
      <c r="AC2630" s="665"/>
      <c r="AD2630" s="665"/>
      <c r="AE2630" s="665"/>
      <c r="AF2630" s="649"/>
      <c r="AG2630" s="650"/>
      <c r="AH2630" s="650"/>
      <c r="AI2630" s="667"/>
    </row>
    <row r="2631" spans="12:35" ht="45" customHeight="1" thickBot="1" x14ac:dyDescent="0.25">
      <c r="L2631" s="645"/>
      <c r="M2631" s="616"/>
      <c r="N2631" s="616"/>
      <c r="O2631" s="616"/>
      <c r="P2631" s="615"/>
      <c r="Q2631" s="616"/>
      <c r="R2631" s="663"/>
      <c r="S2631" s="459"/>
      <c r="T2631" s="459"/>
      <c r="U2631" s="459"/>
      <c r="V2631" s="459"/>
      <c r="W2631" s="459"/>
      <c r="X2631" s="459"/>
      <c r="Y2631" s="666"/>
      <c r="Z2631" s="664"/>
      <c r="AA2631" s="665"/>
      <c r="AB2631" s="665"/>
      <c r="AC2631" s="665"/>
      <c r="AD2631" s="665"/>
      <c r="AE2631" s="665"/>
      <c r="AF2631" s="649"/>
      <c r="AG2631" s="650"/>
      <c r="AH2631" s="650"/>
      <c r="AI2631" s="667"/>
    </row>
    <row r="2632" spans="12:35" ht="45" customHeight="1" thickBot="1" x14ac:dyDescent="0.25">
      <c r="L2632" s="645"/>
      <c r="M2632" s="616"/>
      <c r="N2632" s="616"/>
      <c r="O2632" s="616"/>
      <c r="P2632" s="615"/>
      <c r="Q2632" s="616"/>
      <c r="R2632" s="663"/>
      <c r="S2632" s="459"/>
      <c r="T2632" s="459"/>
      <c r="U2632" s="459"/>
      <c r="V2632" s="459"/>
      <c r="W2632" s="459"/>
      <c r="X2632" s="459"/>
      <c r="Y2632" s="666"/>
      <c r="Z2632" s="664"/>
      <c r="AA2632" s="665"/>
      <c r="AB2632" s="665"/>
      <c r="AC2632" s="665"/>
      <c r="AD2632" s="665"/>
      <c r="AE2632" s="665"/>
      <c r="AF2632" s="649"/>
      <c r="AG2632" s="650"/>
      <c r="AH2632" s="650"/>
      <c r="AI2632" s="667"/>
    </row>
    <row r="2633" spans="12:35" ht="45" customHeight="1" thickBot="1" x14ac:dyDescent="0.25">
      <c r="L2633" s="645"/>
      <c r="M2633" s="616"/>
      <c r="N2633" s="616"/>
      <c r="O2633" s="616"/>
      <c r="P2633" s="615"/>
      <c r="Q2633" s="616"/>
      <c r="R2633" s="663"/>
      <c r="S2633" s="459"/>
      <c r="T2633" s="459"/>
      <c r="U2633" s="459"/>
      <c r="V2633" s="459"/>
      <c r="W2633" s="459"/>
      <c r="X2633" s="459"/>
      <c r="Y2633" s="666"/>
      <c r="Z2633" s="664"/>
      <c r="AA2633" s="665"/>
      <c r="AB2633" s="665"/>
      <c r="AC2633" s="665"/>
      <c r="AD2633" s="665"/>
      <c r="AE2633" s="665"/>
      <c r="AF2633" s="649"/>
      <c r="AG2633" s="650"/>
      <c r="AH2633" s="650"/>
      <c r="AI2633" s="667"/>
    </row>
    <row r="2634" spans="12:35" ht="45" customHeight="1" thickBot="1" x14ac:dyDescent="0.25">
      <c r="L2634" s="645"/>
      <c r="M2634" s="616"/>
      <c r="N2634" s="616"/>
      <c r="O2634" s="616"/>
      <c r="P2634" s="615"/>
      <c r="Q2634" s="616"/>
      <c r="R2634" s="663"/>
      <c r="S2634" s="459"/>
      <c r="T2634" s="459"/>
      <c r="U2634" s="459"/>
      <c r="V2634" s="459"/>
      <c r="W2634" s="459"/>
      <c r="X2634" s="459"/>
      <c r="Y2634" s="666"/>
      <c r="Z2634" s="664"/>
      <c r="AA2634" s="665"/>
      <c r="AB2634" s="665"/>
      <c r="AC2634" s="665"/>
      <c r="AD2634" s="665"/>
      <c r="AE2634" s="665"/>
      <c r="AF2634" s="649"/>
      <c r="AG2634" s="650"/>
      <c r="AH2634" s="650"/>
      <c r="AI2634" s="667"/>
    </row>
    <row r="2635" spans="12:35" ht="45" customHeight="1" thickBot="1" x14ac:dyDescent="0.25">
      <c r="L2635" s="645"/>
      <c r="M2635" s="616"/>
      <c r="N2635" s="616"/>
      <c r="O2635" s="616"/>
      <c r="P2635" s="615"/>
      <c r="Q2635" s="616"/>
      <c r="R2635" s="663"/>
      <c r="S2635" s="459"/>
      <c r="T2635" s="459"/>
      <c r="U2635" s="459"/>
      <c r="V2635" s="459"/>
      <c r="W2635" s="459"/>
      <c r="X2635" s="459"/>
      <c r="Y2635" s="666"/>
      <c r="Z2635" s="664"/>
      <c r="AA2635" s="665"/>
      <c r="AB2635" s="665"/>
      <c r="AC2635" s="665"/>
      <c r="AD2635" s="665"/>
      <c r="AE2635" s="665"/>
      <c r="AF2635" s="649"/>
      <c r="AG2635" s="650"/>
      <c r="AH2635" s="650"/>
      <c r="AI2635" s="667"/>
    </row>
    <row r="2636" spans="12:35" ht="45" customHeight="1" thickBot="1" x14ac:dyDescent="0.25">
      <c r="L2636" s="645"/>
      <c r="M2636" s="616"/>
      <c r="N2636" s="616"/>
      <c r="O2636" s="616"/>
      <c r="P2636" s="615"/>
      <c r="Q2636" s="616"/>
      <c r="R2636" s="663"/>
      <c r="S2636" s="459"/>
      <c r="T2636" s="459"/>
      <c r="U2636" s="459"/>
      <c r="V2636" s="459"/>
      <c r="W2636" s="459"/>
      <c r="X2636" s="459"/>
      <c r="Y2636" s="666"/>
      <c r="Z2636" s="664"/>
      <c r="AA2636" s="665"/>
      <c r="AB2636" s="665"/>
      <c r="AC2636" s="665"/>
      <c r="AD2636" s="665"/>
      <c r="AE2636" s="665"/>
      <c r="AF2636" s="649"/>
      <c r="AG2636" s="650"/>
      <c r="AH2636" s="650"/>
      <c r="AI2636" s="667"/>
    </row>
    <row r="2637" spans="12:35" ht="45" customHeight="1" thickBot="1" x14ac:dyDescent="0.25">
      <c r="L2637" s="645"/>
      <c r="M2637" s="616"/>
      <c r="N2637" s="616"/>
      <c r="O2637" s="616"/>
      <c r="P2637" s="615"/>
      <c r="Q2637" s="616"/>
      <c r="R2637" s="663"/>
      <c r="S2637" s="459"/>
      <c r="T2637" s="459"/>
      <c r="U2637" s="459"/>
      <c r="V2637" s="459"/>
      <c r="W2637" s="459"/>
      <c r="X2637" s="459"/>
      <c r="Y2637" s="666"/>
      <c r="Z2637" s="664"/>
      <c r="AA2637" s="665"/>
      <c r="AB2637" s="665"/>
      <c r="AC2637" s="665"/>
      <c r="AD2637" s="665"/>
      <c r="AE2637" s="665"/>
      <c r="AF2637" s="649"/>
      <c r="AG2637" s="650"/>
      <c r="AH2637" s="650"/>
      <c r="AI2637" s="667"/>
    </row>
    <row r="2638" spans="12:35" ht="45" customHeight="1" thickBot="1" x14ac:dyDescent="0.25">
      <c r="L2638" s="645"/>
      <c r="M2638" s="616"/>
      <c r="N2638" s="616"/>
      <c r="O2638" s="616"/>
      <c r="P2638" s="615"/>
      <c r="Q2638" s="616"/>
      <c r="R2638" s="663"/>
      <c r="S2638" s="459"/>
      <c r="T2638" s="459"/>
      <c r="U2638" s="459"/>
      <c r="V2638" s="459"/>
      <c r="W2638" s="459"/>
      <c r="X2638" s="459"/>
      <c r="Y2638" s="666"/>
      <c r="Z2638" s="664"/>
      <c r="AA2638" s="665"/>
      <c r="AB2638" s="665"/>
      <c r="AC2638" s="665"/>
      <c r="AD2638" s="665"/>
      <c r="AE2638" s="665"/>
      <c r="AF2638" s="649"/>
      <c r="AG2638" s="650"/>
      <c r="AH2638" s="650"/>
      <c r="AI2638" s="667"/>
    </row>
    <row r="2639" spans="12:35" ht="45" customHeight="1" thickBot="1" x14ac:dyDescent="0.25">
      <c r="L2639" s="645"/>
      <c r="M2639" s="616"/>
      <c r="N2639" s="616"/>
      <c r="O2639" s="616"/>
      <c r="P2639" s="615"/>
      <c r="Q2639" s="616"/>
      <c r="R2639" s="663"/>
      <c r="S2639" s="459"/>
      <c r="T2639" s="459"/>
      <c r="U2639" s="459"/>
      <c r="V2639" s="459"/>
      <c r="W2639" s="459"/>
      <c r="X2639" s="459"/>
      <c r="Y2639" s="666"/>
      <c r="Z2639" s="664"/>
      <c r="AA2639" s="665"/>
      <c r="AB2639" s="665"/>
      <c r="AC2639" s="665"/>
      <c r="AD2639" s="665"/>
      <c r="AE2639" s="665"/>
      <c r="AF2639" s="649"/>
      <c r="AG2639" s="650"/>
      <c r="AH2639" s="650"/>
      <c r="AI2639" s="667"/>
    </row>
    <row r="2640" spans="12:35" ht="45" customHeight="1" thickBot="1" x14ac:dyDescent="0.25">
      <c r="L2640" s="645"/>
      <c r="M2640" s="616"/>
      <c r="N2640" s="616"/>
      <c r="O2640" s="616"/>
      <c r="P2640" s="615"/>
      <c r="Q2640" s="616"/>
      <c r="R2640" s="663"/>
      <c r="S2640" s="459"/>
      <c r="T2640" s="459"/>
      <c r="U2640" s="459"/>
      <c r="V2640" s="459"/>
      <c r="W2640" s="459"/>
      <c r="X2640" s="459"/>
      <c r="Y2640" s="666"/>
      <c r="Z2640" s="664"/>
      <c r="AA2640" s="665"/>
      <c r="AB2640" s="665"/>
      <c r="AC2640" s="665"/>
      <c r="AD2640" s="665"/>
      <c r="AE2640" s="665"/>
      <c r="AF2640" s="649"/>
      <c r="AG2640" s="650"/>
      <c r="AH2640" s="650"/>
      <c r="AI2640" s="667"/>
    </row>
    <row r="2641" spans="12:35" ht="45" customHeight="1" thickBot="1" x14ac:dyDescent="0.25">
      <c r="L2641" s="645"/>
      <c r="M2641" s="616"/>
      <c r="N2641" s="616"/>
      <c r="O2641" s="616"/>
      <c r="P2641" s="615"/>
      <c r="Q2641" s="616"/>
      <c r="R2641" s="663"/>
      <c r="S2641" s="459"/>
      <c r="T2641" s="459"/>
      <c r="U2641" s="459"/>
      <c r="V2641" s="459"/>
      <c r="W2641" s="459"/>
      <c r="X2641" s="459"/>
      <c r="Y2641" s="666"/>
      <c r="Z2641" s="664"/>
      <c r="AA2641" s="665"/>
      <c r="AB2641" s="665"/>
      <c r="AC2641" s="665"/>
      <c r="AD2641" s="665"/>
      <c r="AE2641" s="665"/>
      <c r="AF2641" s="649"/>
      <c r="AG2641" s="650"/>
      <c r="AH2641" s="650"/>
      <c r="AI2641" s="667"/>
    </row>
    <row r="2642" spans="12:35" ht="45" customHeight="1" thickBot="1" x14ac:dyDescent="0.25">
      <c r="L2642" s="645"/>
      <c r="M2642" s="616"/>
      <c r="N2642" s="616"/>
      <c r="O2642" s="616"/>
      <c r="P2642" s="615"/>
      <c r="Q2642" s="616"/>
      <c r="R2642" s="663"/>
      <c r="S2642" s="459"/>
      <c r="T2642" s="459"/>
      <c r="U2642" s="459"/>
      <c r="V2642" s="459"/>
      <c r="W2642" s="459"/>
      <c r="X2642" s="459"/>
      <c r="Y2642" s="666"/>
      <c r="Z2642" s="664"/>
      <c r="AA2642" s="665"/>
      <c r="AB2642" s="665"/>
      <c r="AC2642" s="665"/>
      <c r="AD2642" s="665"/>
      <c r="AE2642" s="665"/>
      <c r="AF2642" s="649"/>
      <c r="AG2642" s="650"/>
      <c r="AH2642" s="650"/>
      <c r="AI2642" s="667"/>
    </row>
    <row r="2643" spans="12:35" ht="45" customHeight="1" thickBot="1" x14ac:dyDescent="0.25">
      <c r="L2643" s="645"/>
      <c r="M2643" s="616"/>
      <c r="N2643" s="616"/>
      <c r="O2643" s="616"/>
      <c r="P2643" s="615"/>
      <c r="Q2643" s="616"/>
      <c r="R2643" s="663"/>
      <c r="S2643" s="459"/>
      <c r="T2643" s="459"/>
      <c r="U2643" s="459"/>
      <c r="V2643" s="459"/>
      <c r="W2643" s="459"/>
      <c r="X2643" s="459"/>
      <c r="Y2643" s="666"/>
      <c r="Z2643" s="664"/>
      <c r="AA2643" s="665"/>
      <c r="AB2643" s="665"/>
      <c r="AC2643" s="665"/>
      <c r="AD2643" s="665"/>
      <c r="AE2643" s="665"/>
      <c r="AF2643" s="649"/>
      <c r="AG2643" s="650"/>
      <c r="AH2643" s="650"/>
      <c r="AI2643" s="667"/>
    </row>
    <row r="2644" spans="12:35" ht="45" customHeight="1" thickBot="1" x14ac:dyDescent="0.25">
      <c r="L2644" s="645"/>
      <c r="M2644" s="616"/>
      <c r="N2644" s="616"/>
      <c r="O2644" s="616"/>
      <c r="P2644" s="615"/>
      <c r="Q2644" s="616"/>
      <c r="R2644" s="663"/>
      <c r="S2644" s="459"/>
      <c r="T2644" s="459"/>
      <c r="U2644" s="459"/>
      <c r="V2644" s="459"/>
      <c r="W2644" s="459"/>
      <c r="X2644" s="459"/>
      <c r="Y2644" s="666"/>
      <c r="Z2644" s="664"/>
      <c r="AA2644" s="665"/>
      <c r="AB2644" s="665"/>
      <c r="AC2644" s="665"/>
      <c r="AD2644" s="665"/>
      <c r="AE2644" s="665"/>
      <c r="AF2644" s="649"/>
      <c r="AG2644" s="650"/>
      <c r="AH2644" s="650"/>
      <c r="AI2644" s="667"/>
    </row>
    <row r="2645" spans="12:35" ht="45" customHeight="1" thickBot="1" x14ac:dyDescent="0.25">
      <c r="L2645" s="645"/>
      <c r="M2645" s="616"/>
      <c r="N2645" s="616"/>
      <c r="O2645" s="616"/>
      <c r="P2645" s="615"/>
      <c r="Q2645" s="616"/>
      <c r="R2645" s="663"/>
      <c r="S2645" s="459"/>
      <c r="T2645" s="459"/>
      <c r="U2645" s="459"/>
      <c r="V2645" s="459"/>
      <c r="W2645" s="459"/>
      <c r="X2645" s="459"/>
      <c r="Y2645" s="666"/>
      <c r="Z2645" s="664"/>
      <c r="AA2645" s="665"/>
      <c r="AB2645" s="665"/>
      <c r="AC2645" s="665"/>
      <c r="AD2645" s="665"/>
      <c r="AE2645" s="665"/>
      <c r="AF2645" s="649"/>
      <c r="AG2645" s="650"/>
      <c r="AH2645" s="650"/>
      <c r="AI2645" s="667"/>
    </row>
    <row r="2646" spans="12:35" ht="45" customHeight="1" thickBot="1" x14ac:dyDescent="0.25">
      <c r="L2646" s="645"/>
      <c r="M2646" s="616"/>
      <c r="N2646" s="616"/>
      <c r="O2646" s="616"/>
      <c r="P2646" s="615"/>
      <c r="Q2646" s="616"/>
      <c r="R2646" s="663"/>
      <c r="S2646" s="459"/>
      <c r="T2646" s="459"/>
      <c r="U2646" s="459"/>
      <c r="V2646" s="459"/>
      <c r="W2646" s="459"/>
      <c r="X2646" s="459"/>
      <c r="Y2646" s="666"/>
      <c r="Z2646" s="664"/>
      <c r="AA2646" s="665"/>
      <c r="AB2646" s="665"/>
      <c r="AC2646" s="665"/>
      <c r="AD2646" s="665"/>
      <c r="AE2646" s="665"/>
      <c r="AF2646" s="649"/>
      <c r="AG2646" s="650"/>
      <c r="AH2646" s="650"/>
      <c r="AI2646" s="667"/>
    </row>
    <row r="2647" spans="12:35" ht="45" customHeight="1" thickBot="1" x14ac:dyDescent="0.25">
      <c r="L2647" s="645"/>
      <c r="M2647" s="616"/>
      <c r="N2647" s="616"/>
      <c r="O2647" s="616"/>
      <c r="P2647" s="615"/>
      <c r="Q2647" s="616"/>
      <c r="R2647" s="663"/>
      <c r="S2647" s="459"/>
      <c r="T2647" s="459"/>
      <c r="U2647" s="459"/>
      <c r="V2647" s="459"/>
      <c r="W2647" s="459"/>
      <c r="X2647" s="459"/>
      <c r="Y2647" s="666"/>
      <c r="Z2647" s="664"/>
      <c r="AA2647" s="665"/>
      <c r="AB2647" s="665"/>
      <c r="AC2647" s="665"/>
      <c r="AD2647" s="665"/>
      <c r="AE2647" s="665"/>
      <c r="AF2647" s="649"/>
      <c r="AG2647" s="650"/>
      <c r="AH2647" s="650"/>
      <c r="AI2647" s="667"/>
    </row>
    <row r="2648" spans="12:35" ht="45" customHeight="1" thickBot="1" x14ac:dyDescent="0.25">
      <c r="L2648" s="645"/>
      <c r="M2648" s="616"/>
      <c r="N2648" s="616"/>
      <c r="O2648" s="616"/>
      <c r="P2648" s="615"/>
      <c r="Q2648" s="616"/>
      <c r="R2648" s="663"/>
      <c r="S2648" s="459"/>
      <c r="T2648" s="459"/>
      <c r="U2648" s="459"/>
      <c r="V2648" s="459"/>
      <c r="W2648" s="459"/>
      <c r="X2648" s="459"/>
      <c r="Y2648" s="666"/>
      <c r="Z2648" s="664"/>
      <c r="AA2648" s="665"/>
      <c r="AB2648" s="665"/>
      <c r="AC2648" s="665"/>
      <c r="AD2648" s="665"/>
      <c r="AE2648" s="665"/>
      <c r="AF2648" s="649"/>
      <c r="AG2648" s="650"/>
      <c r="AH2648" s="650"/>
      <c r="AI2648" s="667"/>
    </row>
    <row r="2649" spans="12:35" ht="45" customHeight="1" thickBot="1" x14ac:dyDescent="0.25">
      <c r="L2649" s="645"/>
      <c r="M2649" s="616"/>
      <c r="N2649" s="616"/>
      <c r="O2649" s="616"/>
      <c r="P2649" s="615"/>
      <c r="Q2649" s="616"/>
      <c r="R2649" s="663"/>
      <c r="S2649" s="459"/>
      <c r="T2649" s="459"/>
      <c r="U2649" s="459"/>
      <c r="V2649" s="459"/>
      <c r="W2649" s="459"/>
      <c r="X2649" s="459"/>
      <c r="Y2649" s="666"/>
      <c r="Z2649" s="664"/>
      <c r="AA2649" s="665"/>
      <c r="AB2649" s="665"/>
      <c r="AC2649" s="665"/>
      <c r="AD2649" s="665"/>
      <c r="AE2649" s="665"/>
      <c r="AF2649" s="649"/>
      <c r="AG2649" s="650"/>
      <c r="AH2649" s="650"/>
      <c r="AI2649" s="667"/>
    </row>
    <row r="2650" spans="12:35" ht="45" customHeight="1" thickBot="1" x14ac:dyDescent="0.25">
      <c r="L2650" s="645"/>
      <c r="M2650" s="616"/>
      <c r="N2650" s="616"/>
      <c r="O2650" s="616"/>
      <c r="P2650" s="615"/>
      <c r="Q2650" s="616"/>
      <c r="R2650" s="663"/>
      <c r="S2650" s="459"/>
      <c r="T2650" s="459"/>
      <c r="U2650" s="459"/>
      <c r="V2650" s="459"/>
      <c r="W2650" s="459"/>
      <c r="X2650" s="459"/>
      <c r="Y2650" s="666"/>
      <c r="Z2650" s="664"/>
      <c r="AA2650" s="665"/>
      <c r="AB2650" s="665"/>
      <c r="AC2650" s="665"/>
      <c r="AD2650" s="665"/>
      <c r="AE2650" s="665"/>
      <c r="AF2650" s="649"/>
      <c r="AG2650" s="650"/>
      <c r="AH2650" s="650"/>
      <c r="AI2650" s="667"/>
    </row>
    <row r="2651" spans="12:35" ht="45" customHeight="1" thickBot="1" x14ac:dyDescent="0.25">
      <c r="L2651" s="645"/>
      <c r="M2651" s="616"/>
      <c r="N2651" s="616"/>
      <c r="O2651" s="616"/>
      <c r="P2651" s="615"/>
      <c r="Q2651" s="616"/>
      <c r="R2651" s="663"/>
      <c r="S2651" s="459"/>
      <c r="T2651" s="459"/>
      <c r="U2651" s="459"/>
      <c r="V2651" s="459"/>
      <c r="W2651" s="459"/>
      <c r="X2651" s="459"/>
      <c r="Y2651" s="666"/>
      <c r="Z2651" s="664"/>
      <c r="AA2651" s="665"/>
      <c r="AB2651" s="665"/>
      <c r="AC2651" s="665"/>
      <c r="AD2651" s="665"/>
      <c r="AE2651" s="665"/>
      <c r="AF2651" s="649"/>
      <c r="AG2651" s="650"/>
      <c r="AH2651" s="650"/>
      <c r="AI2651" s="667"/>
    </row>
    <row r="2652" spans="12:35" ht="45" customHeight="1" thickBot="1" x14ac:dyDescent="0.25">
      <c r="L2652" s="645"/>
      <c r="M2652" s="616"/>
      <c r="N2652" s="616"/>
      <c r="O2652" s="616"/>
      <c r="P2652" s="615"/>
      <c r="Q2652" s="616"/>
      <c r="R2652" s="663"/>
      <c r="S2652" s="459"/>
      <c r="T2652" s="459"/>
      <c r="U2652" s="459"/>
      <c r="V2652" s="459"/>
      <c r="W2652" s="459"/>
      <c r="X2652" s="459"/>
      <c r="Y2652" s="666"/>
      <c r="Z2652" s="664"/>
      <c r="AA2652" s="665"/>
      <c r="AB2652" s="665"/>
      <c r="AC2652" s="665"/>
      <c r="AD2652" s="665"/>
      <c r="AE2652" s="665"/>
      <c r="AF2652" s="649"/>
      <c r="AG2652" s="650"/>
      <c r="AH2652" s="650"/>
      <c r="AI2652" s="667"/>
    </row>
    <row r="2653" spans="12:35" ht="45" customHeight="1" thickBot="1" x14ac:dyDescent="0.25">
      <c r="L2653" s="645"/>
      <c r="M2653" s="616"/>
      <c r="N2653" s="616"/>
      <c r="O2653" s="616"/>
      <c r="P2653" s="615"/>
      <c r="Q2653" s="616"/>
      <c r="R2653" s="663"/>
      <c r="S2653" s="459"/>
      <c r="T2653" s="459"/>
      <c r="U2653" s="459"/>
      <c r="V2653" s="459"/>
      <c r="W2653" s="459"/>
      <c r="X2653" s="459"/>
      <c r="Y2653" s="666"/>
      <c r="Z2653" s="664"/>
      <c r="AA2653" s="665"/>
      <c r="AB2653" s="665"/>
      <c r="AC2653" s="665"/>
      <c r="AD2653" s="665"/>
      <c r="AE2653" s="665"/>
      <c r="AF2653" s="649"/>
      <c r="AG2653" s="650"/>
      <c r="AH2653" s="650"/>
      <c r="AI2653" s="667"/>
    </row>
    <row r="2654" spans="12:35" ht="45" customHeight="1" thickBot="1" x14ac:dyDescent="0.25">
      <c r="L2654" s="645"/>
      <c r="M2654" s="616"/>
      <c r="N2654" s="616"/>
      <c r="O2654" s="616"/>
      <c r="P2654" s="615"/>
      <c r="Q2654" s="616"/>
      <c r="R2654" s="663"/>
      <c r="S2654" s="459"/>
      <c r="T2654" s="459"/>
      <c r="U2654" s="459"/>
      <c r="V2654" s="459"/>
      <c r="W2654" s="459"/>
      <c r="X2654" s="459"/>
      <c r="Y2654" s="666"/>
      <c r="Z2654" s="664"/>
      <c r="AA2654" s="665"/>
      <c r="AB2654" s="665"/>
      <c r="AC2654" s="665"/>
      <c r="AD2654" s="665"/>
      <c r="AE2654" s="665"/>
      <c r="AF2654" s="649"/>
      <c r="AG2654" s="650"/>
      <c r="AH2654" s="650"/>
      <c r="AI2654" s="667"/>
    </row>
    <row r="2655" spans="12:35" ht="45" customHeight="1" thickBot="1" x14ac:dyDescent="0.25">
      <c r="L2655" s="645"/>
      <c r="M2655" s="616"/>
      <c r="N2655" s="616"/>
      <c r="O2655" s="616"/>
      <c r="P2655" s="615"/>
      <c r="Q2655" s="616"/>
      <c r="R2655" s="663"/>
      <c r="S2655" s="459"/>
      <c r="T2655" s="459"/>
      <c r="U2655" s="459"/>
      <c r="V2655" s="459"/>
      <c r="W2655" s="459"/>
      <c r="X2655" s="459"/>
      <c r="Y2655" s="666"/>
      <c r="Z2655" s="664"/>
      <c r="AA2655" s="665"/>
      <c r="AB2655" s="665"/>
      <c r="AC2655" s="665"/>
      <c r="AD2655" s="665"/>
      <c r="AE2655" s="665"/>
      <c r="AF2655" s="649"/>
      <c r="AG2655" s="650"/>
      <c r="AH2655" s="650"/>
      <c r="AI2655" s="667"/>
    </row>
    <row r="2656" spans="12:35" ht="45" customHeight="1" thickBot="1" x14ac:dyDescent="0.25">
      <c r="L2656" s="645"/>
      <c r="M2656" s="616"/>
      <c r="N2656" s="616"/>
      <c r="O2656" s="616"/>
      <c r="P2656" s="615"/>
      <c r="Q2656" s="616"/>
      <c r="R2656" s="663"/>
      <c r="S2656" s="459"/>
      <c r="T2656" s="459"/>
      <c r="U2656" s="459"/>
      <c r="V2656" s="459"/>
      <c r="W2656" s="459"/>
      <c r="X2656" s="459"/>
      <c r="Y2656" s="666"/>
      <c r="Z2656" s="664"/>
      <c r="AA2656" s="665"/>
      <c r="AB2656" s="665"/>
      <c r="AC2656" s="665"/>
      <c r="AD2656" s="665"/>
      <c r="AE2656" s="665"/>
      <c r="AF2656" s="649"/>
      <c r="AG2656" s="650"/>
      <c r="AH2656" s="650"/>
      <c r="AI2656" s="667"/>
    </row>
    <row r="2657" spans="12:35" ht="45" customHeight="1" thickBot="1" x14ac:dyDescent="0.25">
      <c r="L2657" s="645"/>
      <c r="M2657" s="616"/>
      <c r="N2657" s="616"/>
      <c r="O2657" s="616"/>
      <c r="P2657" s="615"/>
      <c r="Q2657" s="616"/>
      <c r="R2657" s="663"/>
      <c r="S2657" s="459"/>
      <c r="T2657" s="459"/>
      <c r="U2657" s="459"/>
      <c r="V2657" s="459"/>
      <c r="W2657" s="459"/>
      <c r="X2657" s="459"/>
      <c r="Y2657" s="666"/>
      <c r="Z2657" s="664"/>
      <c r="AA2657" s="665"/>
      <c r="AB2657" s="665"/>
      <c r="AC2657" s="665"/>
      <c r="AD2657" s="665"/>
      <c r="AE2657" s="665"/>
      <c r="AF2657" s="649"/>
      <c r="AG2657" s="650"/>
      <c r="AH2657" s="650"/>
      <c r="AI2657" s="667"/>
    </row>
    <row r="2658" spans="12:35" ht="45" customHeight="1" thickBot="1" x14ac:dyDescent="0.25">
      <c r="L2658" s="645"/>
      <c r="M2658" s="616"/>
      <c r="N2658" s="616"/>
      <c r="O2658" s="616"/>
      <c r="P2658" s="615"/>
      <c r="Q2658" s="616"/>
      <c r="R2658" s="663"/>
      <c r="S2658" s="459"/>
      <c r="T2658" s="459"/>
      <c r="U2658" s="459"/>
      <c r="V2658" s="459"/>
      <c r="W2658" s="459"/>
      <c r="X2658" s="459"/>
      <c r="Y2658" s="666"/>
      <c r="Z2658" s="664"/>
      <c r="AA2658" s="665"/>
      <c r="AB2658" s="665"/>
      <c r="AC2658" s="665"/>
      <c r="AD2658" s="665"/>
      <c r="AE2658" s="665"/>
      <c r="AF2658" s="649"/>
      <c r="AG2658" s="650"/>
      <c r="AH2658" s="650"/>
      <c r="AI2658" s="667"/>
    </row>
    <row r="2659" spans="12:35" ht="45" customHeight="1" thickBot="1" x14ac:dyDescent="0.25">
      <c r="L2659" s="645"/>
      <c r="M2659" s="616"/>
      <c r="N2659" s="616"/>
      <c r="O2659" s="616"/>
      <c r="P2659" s="615"/>
      <c r="Q2659" s="616"/>
      <c r="R2659" s="663"/>
      <c r="S2659" s="459"/>
      <c r="T2659" s="459"/>
      <c r="U2659" s="459"/>
      <c r="V2659" s="459"/>
      <c r="W2659" s="459"/>
      <c r="X2659" s="459"/>
      <c r="Y2659" s="666"/>
      <c r="Z2659" s="664"/>
      <c r="AA2659" s="665"/>
      <c r="AB2659" s="665"/>
      <c r="AC2659" s="665"/>
      <c r="AD2659" s="665"/>
      <c r="AE2659" s="665"/>
      <c r="AF2659" s="649"/>
      <c r="AG2659" s="650"/>
      <c r="AH2659" s="650"/>
      <c r="AI2659" s="667"/>
    </row>
    <row r="2660" spans="12:35" ht="45" customHeight="1" thickBot="1" x14ac:dyDescent="0.25">
      <c r="L2660" s="645"/>
      <c r="M2660" s="616"/>
      <c r="N2660" s="616"/>
      <c r="O2660" s="616"/>
      <c r="P2660" s="615"/>
      <c r="Q2660" s="616"/>
      <c r="R2660" s="663"/>
      <c r="S2660" s="459"/>
      <c r="T2660" s="459"/>
      <c r="U2660" s="459"/>
      <c r="V2660" s="459"/>
      <c r="W2660" s="459"/>
      <c r="X2660" s="459"/>
      <c r="Y2660" s="666"/>
      <c r="Z2660" s="664"/>
      <c r="AA2660" s="665"/>
      <c r="AB2660" s="665"/>
      <c r="AC2660" s="665"/>
      <c r="AD2660" s="665"/>
      <c r="AE2660" s="665"/>
      <c r="AF2660" s="649"/>
      <c r="AG2660" s="650"/>
      <c r="AH2660" s="650"/>
      <c r="AI2660" s="667"/>
    </row>
    <row r="2661" spans="12:35" ht="45" customHeight="1" thickBot="1" x14ac:dyDescent="0.25">
      <c r="L2661" s="645"/>
      <c r="M2661" s="616"/>
      <c r="N2661" s="616"/>
      <c r="O2661" s="616"/>
      <c r="P2661" s="615"/>
      <c r="Q2661" s="616"/>
      <c r="R2661" s="663"/>
      <c r="S2661" s="459"/>
      <c r="T2661" s="459"/>
      <c r="U2661" s="459"/>
      <c r="V2661" s="459"/>
      <c r="W2661" s="459"/>
      <c r="X2661" s="459"/>
      <c r="Y2661" s="666"/>
      <c r="Z2661" s="664"/>
      <c r="AA2661" s="665"/>
      <c r="AB2661" s="665"/>
      <c r="AC2661" s="665"/>
      <c r="AD2661" s="665"/>
      <c r="AE2661" s="665"/>
      <c r="AF2661" s="649"/>
      <c r="AG2661" s="650"/>
      <c r="AH2661" s="650"/>
      <c r="AI2661" s="667"/>
    </row>
    <row r="2662" spans="12:35" ht="45" customHeight="1" thickBot="1" x14ac:dyDescent="0.25">
      <c r="L2662" s="645"/>
      <c r="M2662" s="616"/>
      <c r="N2662" s="616"/>
      <c r="O2662" s="616"/>
      <c r="P2662" s="615"/>
      <c r="Q2662" s="616"/>
      <c r="R2662" s="663"/>
      <c r="S2662" s="459"/>
      <c r="T2662" s="459"/>
      <c r="U2662" s="459"/>
      <c r="V2662" s="459"/>
      <c r="W2662" s="459"/>
      <c r="X2662" s="459"/>
      <c r="Y2662" s="666"/>
      <c r="Z2662" s="664"/>
      <c r="AA2662" s="665"/>
      <c r="AB2662" s="665"/>
      <c r="AC2662" s="665"/>
      <c r="AD2662" s="665"/>
      <c r="AE2662" s="665"/>
      <c r="AF2662" s="649"/>
      <c r="AG2662" s="650"/>
      <c r="AH2662" s="650"/>
      <c r="AI2662" s="667"/>
    </row>
    <row r="2663" spans="12:35" ht="45" customHeight="1" thickBot="1" x14ac:dyDescent="0.25">
      <c r="L2663" s="645"/>
      <c r="M2663" s="616"/>
      <c r="N2663" s="616"/>
      <c r="O2663" s="616"/>
      <c r="P2663" s="615"/>
      <c r="Q2663" s="616"/>
      <c r="R2663" s="663"/>
      <c r="S2663" s="459"/>
      <c r="T2663" s="459"/>
      <c r="U2663" s="459"/>
      <c r="V2663" s="459"/>
      <c r="W2663" s="459"/>
      <c r="X2663" s="459"/>
      <c r="Y2663" s="666"/>
      <c r="Z2663" s="664"/>
      <c r="AA2663" s="665"/>
      <c r="AB2663" s="665"/>
      <c r="AC2663" s="665"/>
      <c r="AD2663" s="665"/>
      <c r="AE2663" s="665"/>
      <c r="AF2663" s="649"/>
      <c r="AG2663" s="650"/>
      <c r="AH2663" s="650"/>
      <c r="AI2663" s="667"/>
    </row>
    <row r="2664" spans="12:35" ht="45" customHeight="1" thickBot="1" x14ac:dyDescent="0.25">
      <c r="L2664" s="645"/>
      <c r="M2664" s="616"/>
      <c r="N2664" s="616"/>
      <c r="O2664" s="616"/>
      <c r="P2664" s="615"/>
      <c r="Q2664" s="616"/>
      <c r="R2664" s="663"/>
      <c r="S2664" s="459"/>
      <c r="T2664" s="459"/>
      <c r="U2664" s="459"/>
      <c r="V2664" s="459"/>
      <c r="W2664" s="459"/>
      <c r="X2664" s="459"/>
      <c r="Y2664" s="666"/>
      <c r="Z2664" s="664"/>
      <c r="AA2664" s="665"/>
      <c r="AB2664" s="665"/>
      <c r="AC2664" s="665"/>
      <c r="AD2664" s="665"/>
      <c r="AE2664" s="665"/>
      <c r="AF2664" s="649"/>
      <c r="AG2664" s="650"/>
      <c r="AH2664" s="650"/>
      <c r="AI2664" s="667"/>
    </row>
    <row r="2665" spans="12:35" ht="45" customHeight="1" thickBot="1" x14ac:dyDescent="0.25">
      <c r="L2665" s="645"/>
      <c r="M2665" s="616"/>
      <c r="N2665" s="616"/>
      <c r="O2665" s="616"/>
      <c r="P2665" s="615"/>
      <c r="Q2665" s="616"/>
      <c r="R2665" s="663"/>
      <c r="S2665" s="459"/>
      <c r="T2665" s="459"/>
      <c r="U2665" s="459"/>
      <c r="V2665" s="459"/>
      <c r="W2665" s="459"/>
      <c r="X2665" s="459"/>
      <c r="Y2665" s="666"/>
      <c r="Z2665" s="664"/>
      <c r="AA2665" s="665"/>
      <c r="AB2665" s="665"/>
      <c r="AC2665" s="665"/>
      <c r="AD2665" s="665"/>
      <c r="AE2665" s="665"/>
      <c r="AF2665" s="649"/>
      <c r="AG2665" s="650"/>
      <c r="AH2665" s="650"/>
      <c r="AI2665" s="667"/>
    </row>
    <row r="2666" spans="12:35" ht="45" customHeight="1" thickBot="1" x14ac:dyDescent="0.25">
      <c r="L2666" s="645"/>
      <c r="M2666" s="616"/>
      <c r="N2666" s="616"/>
      <c r="O2666" s="616"/>
      <c r="P2666" s="615"/>
      <c r="Q2666" s="616"/>
      <c r="R2666" s="663"/>
      <c r="S2666" s="459"/>
      <c r="T2666" s="459"/>
      <c r="U2666" s="459"/>
      <c r="V2666" s="459"/>
      <c r="W2666" s="459"/>
      <c r="X2666" s="459"/>
      <c r="Y2666" s="666"/>
      <c r="Z2666" s="664"/>
      <c r="AA2666" s="665"/>
      <c r="AB2666" s="665"/>
      <c r="AC2666" s="665"/>
      <c r="AD2666" s="665"/>
      <c r="AE2666" s="665"/>
      <c r="AF2666" s="649"/>
      <c r="AG2666" s="650"/>
      <c r="AH2666" s="650"/>
      <c r="AI2666" s="667"/>
    </row>
    <row r="2667" spans="12:35" ht="45" customHeight="1" thickBot="1" x14ac:dyDescent="0.25">
      <c r="L2667" s="645"/>
      <c r="M2667" s="616"/>
      <c r="N2667" s="616"/>
      <c r="O2667" s="616"/>
      <c r="P2667" s="615"/>
      <c r="Q2667" s="616"/>
      <c r="R2667" s="663"/>
      <c r="S2667" s="459"/>
      <c r="T2667" s="459"/>
      <c r="U2667" s="459"/>
      <c r="V2667" s="459"/>
      <c r="W2667" s="459"/>
      <c r="X2667" s="459"/>
      <c r="Y2667" s="666"/>
      <c r="Z2667" s="664"/>
      <c r="AA2667" s="665"/>
      <c r="AB2667" s="665"/>
      <c r="AC2667" s="665"/>
      <c r="AD2667" s="665"/>
      <c r="AE2667" s="665"/>
      <c r="AF2667" s="649"/>
      <c r="AG2667" s="650"/>
      <c r="AH2667" s="650"/>
      <c r="AI2667" s="667"/>
    </row>
    <row r="2668" spans="12:35" ht="45" customHeight="1" thickBot="1" x14ac:dyDescent="0.25">
      <c r="L2668" s="645"/>
      <c r="M2668" s="616"/>
      <c r="N2668" s="616"/>
      <c r="O2668" s="616"/>
      <c r="P2668" s="615"/>
      <c r="Q2668" s="616"/>
      <c r="R2668" s="663"/>
      <c r="S2668" s="459"/>
      <c r="T2668" s="459"/>
      <c r="U2668" s="459"/>
      <c r="V2668" s="459"/>
      <c r="W2668" s="459"/>
      <c r="X2668" s="459"/>
      <c r="Y2668" s="666"/>
      <c r="Z2668" s="664"/>
      <c r="AA2668" s="665"/>
      <c r="AB2668" s="665"/>
      <c r="AC2668" s="665"/>
      <c r="AD2668" s="665"/>
      <c r="AE2668" s="665"/>
      <c r="AF2668" s="649"/>
      <c r="AG2668" s="650"/>
      <c r="AH2668" s="650"/>
      <c r="AI2668" s="667"/>
    </row>
    <row r="2669" spans="12:35" ht="45" customHeight="1" thickBot="1" x14ac:dyDescent="0.25">
      <c r="L2669" s="645"/>
      <c r="M2669" s="616"/>
      <c r="N2669" s="616"/>
      <c r="O2669" s="616"/>
      <c r="P2669" s="615"/>
      <c r="Q2669" s="616"/>
      <c r="R2669" s="663"/>
      <c r="S2669" s="459"/>
      <c r="T2669" s="459"/>
      <c r="U2669" s="459"/>
      <c r="V2669" s="459"/>
      <c r="W2669" s="459"/>
      <c r="X2669" s="459"/>
      <c r="Y2669" s="666"/>
      <c r="Z2669" s="664"/>
      <c r="AA2669" s="665"/>
      <c r="AB2669" s="665"/>
      <c r="AC2669" s="665"/>
      <c r="AD2669" s="665"/>
      <c r="AE2669" s="665"/>
      <c r="AF2669" s="649"/>
      <c r="AG2669" s="650"/>
      <c r="AH2669" s="650"/>
      <c r="AI2669" s="667"/>
    </row>
    <row r="2670" spans="12:35" ht="45" customHeight="1" thickBot="1" x14ac:dyDescent="0.25">
      <c r="L2670" s="645"/>
      <c r="M2670" s="616"/>
      <c r="N2670" s="616"/>
      <c r="O2670" s="616"/>
      <c r="P2670" s="615"/>
      <c r="Q2670" s="616"/>
      <c r="R2670" s="663"/>
      <c r="S2670" s="459"/>
      <c r="T2670" s="459"/>
      <c r="U2670" s="459"/>
      <c r="V2670" s="459"/>
      <c r="W2670" s="459"/>
      <c r="X2670" s="459"/>
      <c r="Y2670" s="666"/>
      <c r="Z2670" s="664"/>
      <c r="AA2670" s="665"/>
      <c r="AB2670" s="665"/>
      <c r="AC2670" s="665"/>
      <c r="AD2670" s="665"/>
      <c r="AE2670" s="665"/>
      <c r="AF2670" s="649"/>
      <c r="AG2670" s="650"/>
      <c r="AH2670" s="650"/>
      <c r="AI2670" s="667"/>
    </row>
    <row r="2671" spans="12:35" ht="45" customHeight="1" thickBot="1" x14ac:dyDescent="0.25">
      <c r="L2671" s="645"/>
      <c r="M2671" s="616"/>
      <c r="N2671" s="616"/>
      <c r="O2671" s="616"/>
      <c r="P2671" s="615"/>
      <c r="Q2671" s="616"/>
      <c r="R2671" s="663"/>
      <c r="S2671" s="459"/>
      <c r="T2671" s="459"/>
      <c r="U2671" s="459"/>
      <c r="V2671" s="459"/>
      <c r="W2671" s="459"/>
      <c r="X2671" s="459"/>
      <c r="Y2671" s="666"/>
      <c r="Z2671" s="664"/>
      <c r="AA2671" s="665"/>
      <c r="AB2671" s="665"/>
      <c r="AC2671" s="665"/>
      <c r="AD2671" s="665"/>
      <c r="AE2671" s="665"/>
      <c r="AF2671" s="649"/>
      <c r="AG2671" s="650"/>
      <c r="AH2671" s="650"/>
      <c r="AI2671" s="667"/>
    </row>
    <row r="2672" spans="12:35" ht="45" customHeight="1" thickBot="1" x14ac:dyDescent="0.25">
      <c r="L2672" s="645"/>
      <c r="M2672" s="616"/>
      <c r="N2672" s="616"/>
      <c r="O2672" s="616"/>
      <c r="P2672" s="615"/>
      <c r="Q2672" s="616"/>
      <c r="R2672" s="663"/>
      <c r="S2672" s="459"/>
      <c r="T2672" s="459"/>
      <c r="U2672" s="459"/>
      <c r="V2672" s="459"/>
      <c r="W2672" s="459"/>
      <c r="X2672" s="459"/>
      <c r="Y2672" s="666"/>
      <c r="Z2672" s="664"/>
      <c r="AA2672" s="665"/>
      <c r="AB2672" s="665"/>
      <c r="AC2672" s="665"/>
      <c r="AD2672" s="665"/>
      <c r="AE2672" s="665"/>
      <c r="AF2672" s="649"/>
      <c r="AG2672" s="650"/>
      <c r="AH2672" s="650"/>
      <c r="AI2672" s="667"/>
    </row>
    <row r="2673" spans="12:35" ht="45" customHeight="1" thickBot="1" x14ac:dyDescent="0.25">
      <c r="L2673" s="645"/>
      <c r="M2673" s="616"/>
      <c r="N2673" s="616"/>
      <c r="O2673" s="616"/>
      <c r="P2673" s="615"/>
      <c r="Q2673" s="616"/>
      <c r="R2673" s="663"/>
      <c r="S2673" s="459"/>
      <c r="T2673" s="459"/>
      <c r="U2673" s="459"/>
      <c r="V2673" s="459"/>
      <c r="W2673" s="459"/>
      <c r="X2673" s="459"/>
      <c r="Y2673" s="666"/>
      <c r="Z2673" s="664"/>
      <c r="AA2673" s="665"/>
      <c r="AB2673" s="665"/>
      <c r="AC2673" s="665"/>
      <c r="AD2673" s="665"/>
      <c r="AE2673" s="665"/>
      <c r="AF2673" s="649"/>
      <c r="AG2673" s="650"/>
      <c r="AH2673" s="650"/>
      <c r="AI2673" s="667"/>
    </row>
    <row r="2674" spans="12:35" ht="45" customHeight="1" thickBot="1" x14ac:dyDescent="0.25">
      <c r="L2674" s="645"/>
      <c r="M2674" s="616"/>
      <c r="N2674" s="616"/>
      <c r="O2674" s="616"/>
      <c r="P2674" s="615"/>
      <c r="Q2674" s="616"/>
      <c r="R2674" s="663"/>
      <c r="S2674" s="459"/>
      <c r="T2674" s="459"/>
      <c r="U2674" s="459"/>
      <c r="V2674" s="459"/>
      <c r="W2674" s="459"/>
      <c r="X2674" s="459"/>
      <c r="Y2674" s="666"/>
      <c r="Z2674" s="664"/>
      <c r="AA2674" s="665"/>
      <c r="AB2674" s="665"/>
      <c r="AC2674" s="665"/>
      <c r="AD2674" s="665"/>
      <c r="AE2674" s="665"/>
      <c r="AF2674" s="649"/>
      <c r="AG2674" s="650"/>
      <c r="AH2674" s="650"/>
      <c r="AI2674" s="667"/>
    </row>
    <row r="2675" spans="12:35" ht="45" customHeight="1" thickBot="1" x14ac:dyDescent="0.25">
      <c r="L2675" s="645"/>
      <c r="M2675" s="616"/>
      <c r="N2675" s="616"/>
      <c r="O2675" s="616"/>
      <c r="P2675" s="615"/>
      <c r="Q2675" s="616"/>
      <c r="R2675" s="663"/>
      <c r="S2675" s="459"/>
      <c r="T2675" s="459"/>
      <c r="U2675" s="459"/>
      <c r="V2675" s="459"/>
      <c r="W2675" s="459"/>
      <c r="X2675" s="459"/>
      <c r="Y2675" s="666"/>
      <c r="Z2675" s="664"/>
      <c r="AA2675" s="665"/>
      <c r="AB2675" s="665"/>
      <c r="AC2675" s="665"/>
      <c r="AD2675" s="665"/>
      <c r="AE2675" s="665"/>
      <c r="AF2675" s="649"/>
      <c r="AG2675" s="650"/>
      <c r="AH2675" s="650"/>
      <c r="AI2675" s="667"/>
    </row>
    <row r="2676" spans="12:35" ht="45" customHeight="1" thickBot="1" x14ac:dyDescent="0.25">
      <c r="L2676" s="645"/>
      <c r="M2676" s="616"/>
      <c r="N2676" s="616"/>
      <c r="O2676" s="616"/>
      <c r="P2676" s="615"/>
      <c r="Q2676" s="616"/>
      <c r="R2676" s="663"/>
      <c r="S2676" s="459"/>
      <c r="T2676" s="459"/>
      <c r="U2676" s="459"/>
      <c r="V2676" s="459"/>
      <c r="W2676" s="459"/>
      <c r="X2676" s="459"/>
      <c r="Y2676" s="666"/>
      <c r="Z2676" s="664"/>
      <c r="AA2676" s="665"/>
      <c r="AB2676" s="665"/>
      <c r="AC2676" s="665"/>
      <c r="AD2676" s="665"/>
      <c r="AE2676" s="665"/>
      <c r="AF2676" s="649"/>
      <c r="AG2676" s="650"/>
      <c r="AH2676" s="650"/>
      <c r="AI2676" s="667"/>
    </row>
    <row r="2677" spans="12:35" ht="45" customHeight="1" thickBot="1" x14ac:dyDescent="0.25">
      <c r="L2677" s="645"/>
      <c r="M2677" s="616"/>
      <c r="N2677" s="616"/>
      <c r="O2677" s="616"/>
      <c r="P2677" s="615"/>
      <c r="Q2677" s="616"/>
      <c r="R2677" s="663"/>
      <c r="S2677" s="459"/>
      <c r="T2677" s="459"/>
      <c r="U2677" s="459"/>
      <c r="V2677" s="459"/>
      <c r="W2677" s="459"/>
      <c r="X2677" s="459"/>
      <c r="Y2677" s="666"/>
      <c r="Z2677" s="664"/>
      <c r="AA2677" s="665"/>
      <c r="AB2677" s="665"/>
      <c r="AC2677" s="665"/>
      <c r="AD2677" s="665"/>
      <c r="AE2677" s="665"/>
      <c r="AF2677" s="649"/>
      <c r="AG2677" s="650"/>
      <c r="AH2677" s="650"/>
      <c r="AI2677" s="667"/>
    </row>
    <row r="2678" spans="12:35" ht="45" customHeight="1" thickBot="1" x14ac:dyDescent="0.25">
      <c r="L2678" s="645"/>
      <c r="M2678" s="616"/>
      <c r="N2678" s="616"/>
      <c r="O2678" s="616"/>
      <c r="P2678" s="615"/>
      <c r="Q2678" s="616"/>
      <c r="R2678" s="663"/>
      <c r="S2678" s="459"/>
      <c r="T2678" s="459"/>
      <c r="U2678" s="459"/>
      <c r="V2678" s="459"/>
      <c r="W2678" s="459"/>
      <c r="X2678" s="459"/>
      <c r="Y2678" s="666"/>
      <c r="Z2678" s="664"/>
      <c r="AA2678" s="665"/>
      <c r="AB2678" s="665"/>
      <c r="AC2678" s="665"/>
      <c r="AD2678" s="665"/>
      <c r="AE2678" s="665"/>
      <c r="AF2678" s="649"/>
      <c r="AG2678" s="650"/>
      <c r="AH2678" s="650"/>
      <c r="AI2678" s="667"/>
    </row>
    <row r="2679" spans="12:35" ht="45" customHeight="1" thickBot="1" x14ac:dyDescent="0.25">
      <c r="L2679" s="645"/>
      <c r="M2679" s="616"/>
      <c r="N2679" s="616"/>
      <c r="O2679" s="616"/>
      <c r="P2679" s="615"/>
      <c r="Q2679" s="616"/>
      <c r="R2679" s="663"/>
      <c r="S2679" s="459"/>
      <c r="T2679" s="459"/>
      <c r="U2679" s="459"/>
      <c r="V2679" s="459"/>
      <c r="W2679" s="459"/>
      <c r="X2679" s="459"/>
      <c r="Y2679" s="666"/>
      <c r="Z2679" s="664"/>
      <c r="AA2679" s="665"/>
      <c r="AB2679" s="665"/>
      <c r="AC2679" s="665"/>
      <c r="AD2679" s="665"/>
      <c r="AE2679" s="665"/>
      <c r="AF2679" s="649"/>
      <c r="AG2679" s="650"/>
      <c r="AH2679" s="650"/>
      <c r="AI2679" s="667"/>
    </row>
    <row r="2680" spans="12:35" ht="45" customHeight="1" thickBot="1" x14ac:dyDescent="0.25">
      <c r="L2680" s="645"/>
      <c r="M2680" s="616"/>
      <c r="N2680" s="616"/>
      <c r="O2680" s="616"/>
      <c r="P2680" s="615"/>
      <c r="Q2680" s="616"/>
      <c r="R2680" s="663"/>
      <c r="S2680" s="459"/>
      <c r="T2680" s="459"/>
      <c r="U2680" s="459"/>
      <c r="V2680" s="459"/>
      <c r="W2680" s="459"/>
      <c r="X2680" s="459"/>
      <c r="Y2680" s="666"/>
      <c r="Z2680" s="664"/>
      <c r="AA2680" s="665"/>
      <c r="AB2680" s="665"/>
      <c r="AC2680" s="665"/>
      <c r="AD2680" s="665"/>
      <c r="AE2680" s="665"/>
      <c r="AF2680" s="649"/>
      <c r="AG2680" s="650"/>
      <c r="AH2680" s="650"/>
      <c r="AI2680" s="667"/>
    </row>
    <row r="2681" spans="12:35" ht="45" customHeight="1" thickBot="1" x14ac:dyDescent="0.25">
      <c r="L2681" s="645"/>
      <c r="M2681" s="616"/>
      <c r="N2681" s="616"/>
      <c r="O2681" s="616"/>
      <c r="P2681" s="615"/>
      <c r="Q2681" s="616"/>
      <c r="R2681" s="663"/>
      <c r="S2681" s="459"/>
      <c r="T2681" s="459"/>
      <c r="U2681" s="459"/>
      <c r="V2681" s="459"/>
      <c r="W2681" s="459"/>
      <c r="X2681" s="459"/>
      <c r="Y2681" s="666"/>
      <c r="Z2681" s="664"/>
      <c r="AA2681" s="665"/>
      <c r="AB2681" s="665"/>
      <c r="AC2681" s="665"/>
      <c r="AD2681" s="665"/>
      <c r="AE2681" s="665"/>
      <c r="AF2681" s="649"/>
      <c r="AG2681" s="650"/>
      <c r="AH2681" s="650"/>
      <c r="AI2681" s="667"/>
    </row>
    <row r="2682" spans="12:35" ht="45" customHeight="1" thickBot="1" x14ac:dyDescent="0.25">
      <c r="L2682" s="645"/>
      <c r="M2682" s="616"/>
      <c r="N2682" s="616"/>
      <c r="O2682" s="616"/>
      <c r="P2682" s="615"/>
      <c r="Q2682" s="616"/>
      <c r="R2682" s="663"/>
      <c r="S2682" s="459"/>
      <c r="T2682" s="459"/>
      <c r="U2682" s="459"/>
      <c r="V2682" s="459"/>
      <c r="W2682" s="459"/>
      <c r="X2682" s="459"/>
      <c r="Y2682" s="666"/>
      <c r="Z2682" s="664"/>
      <c r="AA2682" s="665"/>
      <c r="AB2682" s="665"/>
      <c r="AC2682" s="665"/>
      <c r="AD2682" s="665"/>
      <c r="AE2682" s="665"/>
      <c r="AF2682" s="649"/>
      <c r="AG2682" s="650"/>
      <c r="AH2682" s="650"/>
      <c r="AI2682" s="667"/>
    </row>
    <row r="2683" spans="12:35" ht="45" customHeight="1" thickBot="1" x14ac:dyDescent="0.25">
      <c r="L2683" s="645"/>
      <c r="M2683" s="616"/>
      <c r="N2683" s="616"/>
      <c r="O2683" s="616"/>
      <c r="P2683" s="615"/>
      <c r="Q2683" s="616"/>
      <c r="R2683" s="663"/>
      <c r="S2683" s="459"/>
      <c r="T2683" s="459"/>
      <c r="U2683" s="459"/>
      <c r="V2683" s="459"/>
      <c r="W2683" s="459"/>
      <c r="X2683" s="459"/>
      <c r="Y2683" s="666"/>
      <c r="Z2683" s="664"/>
      <c r="AA2683" s="665"/>
      <c r="AB2683" s="665"/>
      <c r="AC2683" s="665"/>
      <c r="AD2683" s="665"/>
      <c r="AE2683" s="665"/>
      <c r="AF2683" s="649"/>
      <c r="AG2683" s="650"/>
      <c r="AH2683" s="650"/>
      <c r="AI2683" s="667"/>
    </row>
    <row r="2684" spans="12:35" ht="45" customHeight="1" thickBot="1" x14ac:dyDescent="0.25">
      <c r="L2684" s="645"/>
      <c r="M2684" s="616"/>
      <c r="N2684" s="616"/>
      <c r="O2684" s="616"/>
      <c r="P2684" s="615"/>
      <c r="Q2684" s="616"/>
      <c r="R2684" s="663"/>
      <c r="S2684" s="459"/>
      <c r="T2684" s="459"/>
      <c r="U2684" s="459"/>
      <c r="V2684" s="459"/>
      <c r="W2684" s="459"/>
      <c r="X2684" s="459"/>
      <c r="Y2684" s="666"/>
      <c r="Z2684" s="664"/>
      <c r="AA2684" s="665"/>
      <c r="AB2684" s="665"/>
      <c r="AC2684" s="665"/>
      <c r="AD2684" s="665"/>
      <c r="AE2684" s="665"/>
      <c r="AF2684" s="649"/>
      <c r="AG2684" s="650"/>
      <c r="AH2684" s="650"/>
      <c r="AI2684" s="667"/>
    </row>
    <row r="2685" spans="12:35" ht="45" customHeight="1" thickBot="1" x14ac:dyDescent="0.25">
      <c r="L2685" s="645"/>
      <c r="M2685" s="616"/>
      <c r="N2685" s="616"/>
      <c r="O2685" s="616"/>
      <c r="P2685" s="615"/>
      <c r="Q2685" s="616"/>
      <c r="R2685" s="663"/>
      <c r="S2685" s="459"/>
      <c r="T2685" s="459"/>
      <c r="U2685" s="459"/>
      <c r="V2685" s="459"/>
      <c r="W2685" s="459"/>
      <c r="X2685" s="459"/>
      <c r="Y2685" s="666"/>
      <c r="Z2685" s="664"/>
      <c r="AA2685" s="665"/>
      <c r="AB2685" s="665"/>
      <c r="AC2685" s="665"/>
      <c r="AD2685" s="665"/>
      <c r="AE2685" s="665"/>
      <c r="AF2685" s="649"/>
      <c r="AG2685" s="650"/>
      <c r="AH2685" s="650"/>
      <c r="AI2685" s="667"/>
    </row>
    <row r="2686" spans="12:35" ht="45" customHeight="1" thickBot="1" x14ac:dyDescent="0.25">
      <c r="L2686" s="645"/>
      <c r="M2686" s="616"/>
      <c r="N2686" s="616"/>
      <c r="O2686" s="616"/>
      <c r="P2686" s="615"/>
      <c r="Q2686" s="616"/>
      <c r="R2686" s="663"/>
      <c r="S2686" s="459"/>
      <c r="T2686" s="459"/>
      <c r="U2686" s="459"/>
      <c r="V2686" s="459"/>
      <c r="W2686" s="459"/>
      <c r="X2686" s="459"/>
      <c r="Y2686" s="666"/>
      <c r="Z2686" s="664"/>
      <c r="AA2686" s="665"/>
      <c r="AB2686" s="665"/>
      <c r="AC2686" s="665"/>
      <c r="AD2686" s="665"/>
      <c r="AE2686" s="665"/>
      <c r="AF2686" s="649"/>
      <c r="AG2686" s="650"/>
      <c r="AH2686" s="650"/>
      <c r="AI2686" s="667"/>
    </row>
    <row r="2687" spans="12:35" ht="45" customHeight="1" thickBot="1" x14ac:dyDescent="0.25">
      <c r="L2687" s="645"/>
      <c r="M2687" s="616"/>
      <c r="N2687" s="616"/>
      <c r="O2687" s="616"/>
      <c r="P2687" s="615"/>
      <c r="Q2687" s="616"/>
      <c r="R2687" s="663"/>
      <c r="S2687" s="459"/>
      <c r="T2687" s="459"/>
      <c r="U2687" s="459"/>
      <c r="V2687" s="459"/>
      <c r="W2687" s="459"/>
      <c r="X2687" s="459"/>
      <c r="Y2687" s="666"/>
      <c r="Z2687" s="664"/>
      <c r="AA2687" s="665"/>
      <c r="AB2687" s="665"/>
      <c r="AC2687" s="665"/>
      <c r="AD2687" s="665"/>
      <c r="AE2687" s="665"/>
      <c r="AF2687" s="649"/>
      <c r="AG2687" s="650"/>
      <c r="AH2687" s="650"/>
      <c r="AI2687" s="667"/>
    </row>
    <row r="2688" spans="12:35" ht="45" customHeight="1" thickBot="1" x14ac:dyDescent="0.25">
      <c r="L2688" s="645"/>
      <c r="M2688" s="616"/>
      <c r="N2688" s="616"/>
      <c r="O2688" s="616"/>
      <c r="P2688" s="615"/>
      <c r="Q2688" s="616"/>
      <c r="R2688" s="663"/>
      <c r="S2688" s="459"/>
      <c r="T2688" s="459"/>
      <c r="U2688" s="459"/>
      <c r="V2688" s="459"/>
      <c r="W2688" s="459"/>
      <c r="X2688" s="459"/>
      <c r="Y2688" s="666"/>
      <c r="Z2688" s="664"/>
      <c r="AA2688" s="665"/>
      <c r="AB2688" s="665"/>
      <c r="AC2688" s="665"/>
      <c r="AD2688" s="665"/>
      <c r="AE2688" s="665"/>
      <c r="AF2688" s="649"/>
      <c r="AG2688" s="650"/>
      <c r="AH2688" s="650"/>
      <c r="AI2688" s="667"/>
    </row>
    <row r="2689" spans="12:35" ht="45" customHeight="1" thickBot="1" x14ac:dyDescent="0.25">
      <c r="L2689" s="645"/>
      <c r="M2689" s="616"/>
      <c r="N2689" s="616"/>
      <c r="O2689" s="616"/>
      <c r="P2689" s="615"/>
      <c r="Q2689" s="616"/>
      <c r="R2689" s="663"/>
      <c r="S2689" s="459"/>
      <c r="T2689" s="459"/>
      <c r="U2689" s="459"/>
      <c r="V2689" s="459"/>
      <c r="W2689" s="459"/>
      <c r="X2689" s="459"/>
      <c r="Y2689" s="666"/>
      <c r="Z2689" s="664"/>
      <c r="AA2689" s="665"/>
      <c r="AB2689" s="665"/>
      <c r="AC2689" s="665"/>
      <c r="AD2689" s="665"/>
      <c r="AE2689" s="665"/>
      <c r="AF2689" s="649"/>
      <c r="AG2689" s="650"/>
      <c r="AH2689" s="650"/>
      <c r="AI2689" s="667"/>
    </row>
    <row r="2690" spans="12:35" ht="45" customHeight="1" thickBot="1" x14ac:dyDescent="0.25">
      <c r="L2690" s="645"/>
      <c r="M2690" s="616"/>
      <c r="N2690" s="616"/>
      <c r="O2690" s="616"/>
      <c r="P2690" s="615"/>
      <c r="Q2690" s="616"/>
      <c r="R2690" s="663"/>
      <c r="S2690" s="459"/>
      <c r="T2690" s="459"/>
      <c r="U2690" s="459"/>
      <c r="V2690" s="459"/>
      <c r="W2690" s="459"/>
      <c r="X2690" s="459"/>
      <c r="Y2690" s="666"/>
      <c r="Z2690" s="664"/>
      <c r="AA2690" s="665"/>
      <c r="AB2690" s="665"/>
      <c r="AC2690" s="665"/>
      <c r="AD2690" s="665"/>
      <c r="AE2690" s="665"/>
      <c r="AF2690" s="649"/>
      <c r="AG2690" s="650"/>
      <c r="AH2690" s="650"/>
      <c r="AI2690" s="667"/>
    </row>
    <row r="2691" spans="12:35" ht="45" customHeight="1" thickBot="1" x14ac:dyDescent="0.25">
      <c r="L2691" s="645"/>
      <c r="M2691" s="616"/>
      <c r="N2691" s="616"/>
      <c r="O2691" s="616"/>
      <c r="P2691" s="615"/>
      <c r="Q2691" s="616"/>
      <c r="R2691" s="663"/>
      <c r="S2691" s="459"/>
      <c r="T2691" s="459"/>
      <c r="U2691" s="459"/>
      <c r="V2691" s="459"/>
      <c r="W2691" s="459"/>
      <c r="X2691" s="459"/>
      <c r="Y2691" s="666"/>
      <c r="Z2691" s="664"/>
      <c r="AA2691" s="665"/>
      <c r="AB2691" s="665"/>
      <c r="AC2691" s="665"/>
      <c r="AD2691" s="665"/>
      <c r="AE2691" s="665"/>
      <c r="AF2691" s="649"/>
      <c r="AG2691" s="650"/>
      <c r="AH2691" s="650"/>
      <c r="AI2691" s="667"/>
    </row>
    <row r="2692" spans="12:35" ht="45" customHeight="1" thickBot="1" x14ac:dyDescent="0.25">
      <c r="L2692" s="645"/>
      <c r="M2692" s="616"/>
      <c r="N2692" s="616"/>
      <c r="O2692" s="616"/>
      <c r="P2692" s="615"/>
      <c r="Q2692" s="616"/>
      <c r="R2692" s="663"/>
      <c r="S2692" s="459"/>
      <c r="T2692" s="459"/>
      <c r="U2692" s="459"/>
      <c r="V2692" s="459"/>
      <c r="W2692" s="459"/>
      <c r="X2692" s="459"/>
      <c r="Y2692" s="666"/>
      <c r="Z2692" s="664"/>
      <c r="AA2692" s="665"/>
      <c r="AB2692" s="665"/>
      <c r="AC2692" s="665"/>
      <c r="AD2692" s="665"/>
      <c r="AE2692" s="665"/>
      <c r="AF2692" s="649"/>
      <c r="AG2692" s="650"/>
      <c r="AH2692" s="650"/>
      <c r="AI2692" s="667"/>
    </row>
    <row r="2693" spans="12:35" ht="45" customHeight="1" thickBot="1" x14ac:dyDescent="0.25">
      <c r="L2693" s="645"/>
      <c r="M2693" s="616"/>
      <c r="N2693" s="616"/>
      <c r="O2693" s="616"/>
      <c r="P2693" s="615"/>
      <c r="Q2693" s="616"/>
      <c r="R2693" s="663"/>
      <c r="S2693" s="459"/>
      <c r="T2693" s="459"/>
      <c r="U2693" s="459"/>
      <c r="V2693" s="459"/>
      <c r="W2693" s="459"/>
      <c r="X2693" s="459"/>
      <c r="Y2693" s="666"/>
      <c r="Z2693" s="664"/>
      <c r="AA2693" s="665"/>
      <c r="AB2693" s="665"/>
      <c r="AC2693" s="665"/>
      <c r="AD2693" s="665"/>
      <c r="AE2693" s="665"/>
      <c r="AF2693" s="649"/>
      <c r="AG2693" s="650"/>
      <c r="AH2693" s="650"/>
      <c r="AI2693" s="667"/>
    </row>
    <row r="2694" spans="12:35" ht="45" customHeight="1" thickBot="1" x14ac:dyDescent="0.25">
      <c r="L2694" s="645"/>
      <c r="M2694" s="616"/>
      <c r="N2694" s="616"/>
      <c r="O2694" s="616"/>
      <c r="P2694" s="615"/>
      <c r="Q2694" s="616"/>
      <c r="R2694" s="663"/>
      <c r="S2694" s="459"/>
      <c r="T2694" s="459"/>
      <c r="U2694" s="459"/>
      <c r="V2694" s="459"/>
      <c r="W2694" s="459"/>
      <c r="X2694" s="459"/>
      <c r="Y2694" s="666"/>
      <c r="Z2694" s="664"/>
      <c r="AA2694" s="665"/>
      <c r="AB2694" s="665"/>
      <c r="AC2694" s="665"/>
      <c r="AD2694" s="665"/>
      <c r="AE2694" s="665"/>
      <c r="AF2694" s="649"/>
      <c r="AG2694" s="650"/>
      <c r="AH2694" s="650"/>
      <c r="AI2694" s="667"/>
    </row>
    <row r="2695" spans="12:35" ht="45" customHeight="1" thickBot="1" x14ac:dyDescent="0.25">
      <c r="L2695" s="645"/>
      <c r="M2695" s="616"/>
      <c r="N2695" s="616"/>
      <c r="O2695" s="616"/>
      <c r="P2695" s="615"/>
      <c r="Q2695" s="616"/>
      <c r="R2695" s="663"/>
      <c r="S2695" s="459"/>
      <c r="T2695" s="459"/>
      <c r="U2695" s="459"/>
      <c r="V2695" s="459"/>
      <c r="W2695" s="459"/>
      <c r="X2695" s="459"/>
      <c r="Y2695" s="666"/>
      <c r="Z2695" s="664"/>
      <c r="AA2695" s="665"/>
      <c r="AB2695" s="665"/>
      <c r="AC2695" s="665"/>
      <c r="AD2695" s="665"/>
      <c r="AE2695" s="665"/>
      <c r="AF2695" s="649"/>
      <c r="AG2695" s="650"/>
      <c r="AH2695" s="650"/>
      <c r="AI2695" s="667"/>
    </row>
    <row r="2696" spans="12:35" ht="45" customHeight="1" thickBot="1" x14ac:dyDescent="0.25">
      <c r="L2696" s="645"/>
      <c r="M2696" s="616"/>
      <c r="N2696" s="616"/>
      <c r="O2696" s="616"/>
      <c r="P2696" s="615"/>
      <c r="Q2696" s="616"/>
      <c r="R2696" s="663"/>
      <c r="S2696" s="459"/>
      <c r="T2696" s="459"/>
      <c r="U2696" s="459"/>
      <c r="V2696" s="459"/>
      <c r="W2696" s="459"/>
      <c r="X2696" s="459"/>
      <c r="Y2696" s="666"/>
      <c r="Z2696" s="664"/>
      <c r="AA2696" s="665"/>
      <c r="AB2696" s="665"/>
      <c r="AC2696" s="665"/>
      <c r="AD2696" s="665"/>
      <c r="AE2696" s="665"/>
      <c r="AF2696" s="649"/>
      <c r="AG2696" s="650"/>
      <c r="AH2696" s="650"/>
      <c r="AI2696" s="667"/>
    </row>
    <row r="2697" spans="12:35" ht="45" customHeight="1" thickBot="1" x14ac:dyDescent="0.25">
      <c r="L2697" s="645"/>
      <c r="M2697" s="616"/>
      <c r="N2697" s="616"/>
      <c r="O2697" s="616"/>
      <c r="P2697" s="615"/>
      <c r="Q2697" s="616"/>
      <c r="R2697" s="663"/>
      <c r="S2697" s="459"/>
      <c r="T2697" s="459"/>
      <c r="U2697" s="459"/>
      <c r="V2697" s="459"/>
      <c r="W2697" s="459"/>
      <c r="X2697" s="459"/>
      <c r="Y2697" s="666"/>
      <c r="Z2697" s="664"/>
      <c r="AA2697" s="665"/>
      <c r="AB2697" s="665"/>
      <c r="AC2697" s="665"/>
      <c r="AD2697" s="665"/>
      <c r="AE2697" s="665"/>
      <c r="AF2697" s="649"/>
      <c r="AG2697" s="650"/>
      <c r="AH2697" s="650"/>
      <c r="AI2697" s="667"/>
    </row>
    <row r="2698" spans="12:35" ht="45" customHeight="1" thickBot="1" x14ac:dyDescent="0.25">
      <c r="L2698" s="645"/>
      <c r="M2698" s="616"/>
      <c r="N2698" s="616"/>
      <c r="O2698" s="616"/>
      <c r="P2698" s="615"/>
      <c r="Q2698" s="616"/>
      <c r="R2698" s="663"/>
      <c r="S2698" s="459"/>
      <c r="T2698" s="459"/>
      <c r="U2698" s="459"/>
      <c r="V2698" s="459"/>
      <c r="W2698" s="459"/>
      <c r="X2698" s="459"/>
      <c r="Y2698" s="666"/>
      <c r="Z2698" s="664"/>
      <c r="AA2698" s="665"/>
      <c r="AB2698" s="665"/>
      <c r="AC2698" s="665"/>
      <c r="AD2698" s="665"/>
      <c r="AE2698" s="665"/>
      <c r="AF2698" s="649"/>
      <c r="AG2698" s="650"/>
      <c r="AH2698" s="650"/>
      <c r="AI2698" s="667"/>
    </row>
    <row r="2699" spans="12:35" ht="45" customHeight="1" thickBot="1" x14ac:dyDescent="0.25">
      <c r="L2699" s="645"/>
      <c r="M2699" s="616"/>
      <c r="N2699" s="616"/>
      <c r="O2699" s="616"/>
      <c r="P2699" s="615"/>
      <c r="Q2699" s="616"/>
      <c r="R2699" s="663"/>
      <c r="S2699" s="459"/>
      <c r="T2699" s="459"/>
      <c r="U2699" s="459"/>
      <c r="V2699" s="459"/>
      <c r="W2699" s="459"/>
      <c r="X2699" s="459"/>
      <c r="Y2699" s="666"/>
      <c r="Z2699" s="664"/>
      <c r="AA2699" s="665"/>
      <c r="AB2699" s="665"/>
      <c r="AC2699" s="665"/>
      <c r="AD2699" s="665"/>
      <c r="AE2699" s="665"/>
      <c r="AF2699" s="649"/>
      <c r="AG2699" s="650"/>
      <c r="AH2699" s="650"/>
      <c r="AI2699" s="667"/>
    </row>
    <row r="2700" spans="12:35" ht="45" customHeight="1" thickBot="1" x14ac:dyDescent="0.25">
      <c r="L2700" s="645"/>
      <c r="M2700" s="616"/>
      <c r="N2700" s="616"/>
      <c r="O2700" s="616"/>
      <c r="P2700" s="615"/>
      <c r="Q2700" s="616"/>
      <c r="R2700" s="663"/>
      <c r="S2700" s="459"/>
      <c r="T2700" s="459"/>
      <c r="U2700" s="459"/>
      <c r="V2700" s="459"/>
      <c r="W2700" s="459"/>
      <c r="X2700" s="459"/>
      <c r="Y2700" s="666"/>
      <c r="Z2700" s="664"/>
      <c r="AA2700" s="665"/>
      <c r="AB2700" s="665"/>
      <c r="AC2700" s="665"/>
      <c r="AD2700" s="665"/>
      <c r="AE2700" s="665"/>
      <c r="AF2700" s="649"/>
      <c r="AG2700" s="650"/>
      <c r="AH2700" s="650"/>
      <c r="AI2700" s="667"/>
    </row>
    <row r="2701" spans="12:35" ht="45" customHeight="1" thickBot="1" x14ac:dyDescent="0.25">
      <c r="L2701" s="645"/>
      <c r="M2701" s="616"/>
      <c r="N2701" s="616"/>
      <c r="O2701" s="616"/>
      <c r="P2701" s="615"/>
      <c r="Q2701" s="616"/>
      <c r="R2701" s="663"/>
      <c r="S2701" s="459"/>
      <c r="T2701" s="459"/>
      <c r="U2701" s="459"/>
      <c r="V2701" s="459"/>
      <c r="W2701" s="459"/>
      <c r="X2701" s="459"/>
      <c r="Y2701" s="666"/>
      <c r="Z2701" s="664"/>
      <c r="AA2701" s="665"/>
      <c r="AB2701" s="665"/>
      <c r="AC2701" s="665"/>
      <c r="AD2701" s="665"/>
      <c r="AE2701" s="665"/>
      <c r="AF2701" s="649"/>
      <c r="AG2701" s="650"/>
      <c r="AH2701" s="650"/>
      <c r="AI2701" s="667"/>
    </row>
    <row r="2702" spans="12:35" ht="45" customHeight="1" thickBot="1" x14ac:dyDescent="0.25">
      <c r="L2702" s="645"/>
      <c r="M2702" s="616"/>
      <c r="N2702" s="616"/>
      <c r="O2702" s="616"/>
      <c r="P2702" s="615"/>
      <c r="Q2702" s="616"/>
      <c r="R2702" s="663"/>
      <c r="S2702" s="459"/>
      <c r="T2702" s="459"/>
      <c r="U2702" s="459"/>
      <c r="V2702" s="459"/>
      <c r="W2702" s="459"/>
      <c r="X2702" s="459"/>
      <c r="Y2702" s="666"/>
      <c r="Z2702" s="664"/>
      <c r="AA2702" s="665"/>
      <c r="AB2702" s="665"/>
      <c r="AC2702" s="665"/>
      <c r="AD2702" s="665"/>
      <c r="AE2702" s="665"/>
      <c r="AF2702" s="649"/>
      <c r="AG2702" s="650"/>
      <c r="AH2702" s="650"/>
      <c r="AI2702" s="667"/>
    </row>
    <row r="2703" spans="12:35" ht="45" customHeight="1" thickBot="1" x14ac:dyDescent="0.25">
      <c r="L2703" s="645"/>
      <c r="M2703" s="616"/>
      <c r="N2703" s="616"/>
      <c r="O2703" s="616"/>
      <c r="P2703" s="615"/>
      <c r="Q2703" s="616"/>
      <c r="R2703" s="663"/>
      <c r="S2703" s="459"/>
      <c r="T2703" s="459"/>
      <c r="U2703" s="459"/>
      <c r="V2703" s="459"/>
      <c r="W2703" s="459"/>
      <c r="X2703" s="459"/>
      <c r="Y2703" s="666"/>
      <c r="Z2703" s="664"/>
      <c r="AA2703" s="665"/>
      <c r="AB2703" s="665"/>
      <c r="AC2703" s="665"/>
      <c r="AD2703" s="665"/>
      <c r="AE2703" s="665"/>
      <c r="AF2703" s="649"/>
      <c r="AG2703" s="650"/>
      <c r="AH2703" s="650"/>
      <c r="AI2703" s="667"/>
    </row>
    <row r="2704" spans="12:35" ht="45" customHeight="1" thickBot="1" x14ac:dyDescent="0.25">
      <c r="L2704" s="645"/>
      <c r="M2704" s="616"/>
      <c r="N2704" s="616"/>
      <c r="O2704" s="616"/>
      <c r="P2704" s="615"/>
      <c r="Q2704" s="616"/>
      <c r="R2704" s="663"/>
      <c r="S2704" s="459"/>
      <c r="T2704" s="459"/>
      <c r="U2704" s="459"/>
      <c r="V2704" s="459"/>
      <c r="W2704" s="459"/>
      <c r="X2704" s="459"/>
      <c r="Y2704" s="666"/>
      <c r="Z2704" s="664"/>
      <c r="AA2704" s="665"/>
      <c r="AB2704" s="665"/>
      <c r="AC2704" s="665"/>
      <c r="AD2704" s="665"/>
      <c r="AE2704" s="665"/>
      <c r="AF2704" s="649"/>
      <c r="AG2704" s="650"/>
      <c r="AH2704" s="650"/>
      <c r="AI2704" s="667"/>
    </row>
    <row r="2705" spans="12:35" ht="45" customHeight="1" thickBot="1" x14ac:dyDescent="0.25">
      <c r="L2705" s="645"/>
      <c r="M2705" s="616"/>
      <c r="N2705" s="616"/>
      <c r="O2705" s="616"/>
      <c r="P2705" s="615"/>
      <c r="Q2705" s="616"/>
      <c r="R2705" s="663"/>
      <c r="S2705" s="459"/>
      <c r="T2705" s="459"/>
      <c r="U2705" s="459"/>
      <c r="V2705" s="459"/>
      <c r="W2705" s="459"/>
      <c r="X2705" s="459"/>
      <c r="Y2705" s="666"/>
      <c r="Z2705" s="664"/>
      <c r="AA2705" s="665"/>
      <c r="AB2705" s="665"/>
      <c r="AC2705" s="665"/>
      <c r="AD2705" s="665"/>
      <c r="AE2705" s="665"/>
      <c r="AF2705" s="649"/>
      <c r="AG2705" s="650"/>
      <c r="AH2705" s="650"/>
      <c r="AI2705" s="667"/>
    </row>
    <row r="2706" spans="12:35" ht="45" customHeight="1" thickBot="1" x14ac:dyDescent="0.25">
      <c r="L2706" s="645"/>
      <c r="M2706" s="616"/>
      <c r="N2706" s="616"/>
      <c r="O2706" s="616"/>
      <c r="P2706" s="615"/>
      <c r="Q2706" s="616"/>
      <c r="R2706" s="663"/>
      <c r="S2706" s="459"/>
      <c r="T2706" s="459"/>
      <c r="U2706" s="459"/>
      <c r="V2706" s="459"/>
      <c r="W2706" s="459"/>
      <c r="X2706" s="459"/>
      <c r="Y2706" s="666"/>
      <c r="Z2706" s="664"/>
      <c r="AA2706" s="665"/>
      <c r="AB2706" s="665"/>
      <c r="AC2706" s="665"/>
      <c r="AD2706" s="665"/>
      <c r="AE2706" s="665"/>
      <c r="AF2706" s="649"/>
      <c r="AG2706" s="650"/>
      <c r="AH2706" s="650"/>
      <c r="AI2706" s="667"/>
    </row>
    <row r="2707" spans="12:35" ht="45" customHeight="1" thickBot="1" x14ac:dyDescent="0.25">
      <c r="L2707" s="645"/>
      <c r="M2707" s="616"/>
      <c r="N2707" s="616"/>
      <c r="O2707" s="616"/>
      <c r="P2707" s="615"/>
      <c r="Q2707" s="616"/>
      <c r="R2707" s="663"/>
      <c r="S2707" s="459"/>
      <c r="T2707" s="459"/>
      <c r="U2707" s="459"/>
      <c r="V2707" s="459"/>
      <c r="W2707" s="459"/>
      <c r="X2707" s="459"/>
      <c r="Y2707" s="666"/>
      <c r="Z2707" s="664"/>
      <c r="AA2707" s="665"/>
      <c r="AB2707" s="665"/>
      <c r="AC2707" s="665"/>
      <c r="AD2707" s="665"/>
      <c r="AE2707" s="665"/>
      <c r="AF2707" s="649"/>
      <c r="AG2707" s="650"/>
      <c r="AH2707" s="650"/>
      <c r="AI2707" s="667"/>
    </row>
    <row r="2708" spans="12:35" ht="45" customHeight="1" thickBot="1" x14ac:dyDescent="0.25">
      <c r="L2708" s="645"/>
      <c r="M2708" s="616"/>
      <c r="N2708" s="616"/>
      <c r="O2708" s="616"/>
      <c r="P2708" s="615"/>
      <c r="Q2708" s="616"/>
      <c r="R2708" s="663"/>
      <c r="S2708" s="459"/>
      <c r="T2708" s="459"/>
      <c r="U2708" s="459"/>
      <c r="V2708" s="459"/>
      <c r="W2708" s="459"/>
      <c r="X2708" s="459"/>
      <c r="Y2708" s="666"/>
      <c r="Z2708" s="664"/>
      <c r="AA2708" s="665"/>
      <c r="AB2708" s="665"/>
      <c r="AC2708" s="665"/>
      <c r="AD2708" s="665"/>
      <c r="AE2708" s="665"/>
      <c r="AF2708" s="649"/>
      <c r="AG2708" s="650"/>
      <c r="AH2708" s="650"/>
      <c r="AI2708" s="667"/>
    </row>
    <row r="2709" spans="12:35" ht="45" customHeight="1" thickBot="1" x14ac:dyDescent="0.25">
      <c r="L2709" s="645"/>
      <c r="M2709" s="616"/>
      <c r="N2709" s="616"/>
      <c r="O2709" s="616"/>
      <c r="P2709" s="615"/>
      <c r="Q2709" s="616"/>
      <c r="R2709" s="663"/>
      <c r="S2709" s="459"/>
      <c r="T2709" s="459"/>
      <c r="U2709" s="459"/>
      <c r="V2709" s="459"/>
      <c r="W2709" s="459"/>
      <c r="X2709" s="459"/>
      <c r="Y2709" s="666"/>
      <c r="Z2709" s="664"/>
      <c r="AA2709" s="665"/>
      <c r="AB2709" s="665"/>
      <c r="AC2709" s="665"/>
      <c r="AD2709" s="665"/>
      <c r="AE2709" s="665"/>
      <c r="AF2709" s="649"/>
      <c r="AG2709" s="650"/>
      <c r="AH2709" s="650"/>
      <c r="AI2709" s="667"/>
    </row>
    <row r="2710" spans="12:35" ht="45" customHeight="1" thickBot="1" x14ac:dyDescent="0.25">
      <c r="L2710" s="645"/>
      <c r="M2710" s="616"/>
      <c r="N2710" s="616"/>
      <c r="O2710" s="616"/>
      <c r="P2710" s="615"/>
      <c r="Q2710" s="616"/>
      <c r="R2710" s="663"/>
      <c r="S2710" s="459"/>
      <c r="T2710" s="459"/>
      <c r="U2710" s="459"/>
      <c r="V2710" s="459"/>
      <c r="W2710" s="459"/>
      <c r="X2710" s="459"/>
      <c r="Y2710" s="666"/>
      <c r="Z2710" s="664"/>
      <c r="AA2710" s="665"/>
      <c r="AB2710" s="665"/>
      <c r="AC2710" s="665"/>
      <c r="AD2710" s="665"/>
      <c r="AE2710" s="665"/>
      <c r="AF2710" s="649"/>
      <c r="AG2710" s="650"/>
      <c r="AH2710" s="650"/>
      <c r="AI2710" s="667"/>
    </row>
    <row r="2711" spans="12:35" ht="45" customHeight="1" thickBot="1" x14ac:dyDescent="0.25">
      <c r="L2711" s="645"/>
      <c r="M2711" s="616"/>
      <c r="N2711" s="616"/>
      <c r="O2711" s="616"/>
      <c r="P2711" s="615"/>
      <c r="Q2711" s="616"/>
      <c r="R2711" s="663"/>
      <c r="S2711" s="459"/>
      <c r="T2711" s="459"/>
      <c r="U2711" s="459"/>
      <c r="V2711" s="459"/>
      <c r="W2711" s="459"/>
      <c r="X2711" s="459"/>
      <c r="Y2711" s="666"/>
      <c r="Z2711" s="664"/>
      <c r="AA2711" s="665"/>
      <c r="AB2711" s="665"/>
      <c r="AC2711" s="665"/>
      <c r="AD2711" s="665"/>
      <c r="AE2711" s="665"/>
      <c r="AF2711" s="649"/>
      <c r="AG2711" s="650"/>
      <c r="AH2711" s="650"/>
      <c r="AI2711" s="667"/>
    </row>
    <row r="2712" spans="12:35" ht="45" customHeight="1" thickBot="1" x14ac:dyDescent="0.25">
      <c r="L2712" s="645"/>
      <c r="M2712" s="616"/>
      <c r="N2712" s="616"/>
      <c r="O2712" s="616"/>
      <c r="P2712" s="615"/>
      <c r="Q2712" s="616"/>
      <c r="R2712" s="663"/>
      <c r="S2712" s="459"/>
      <c r="T2712" s="459"/>
      <c r="U2712" s="459"/>
      <c r="V2712" s="459"/>
      <c r="W2712" s="459"/>
      <c r="X2712" s="459"/>
      <c r="Y2712" s="666"/>
      <c r="Z2712" s="664"/>
      <c r="AA2712" s="665"/>
      <c r="AB2712" s="665"/>
      <c r="AC2712" s="665"/>
      <c r="AD2712" s="665"/>
      <c r="AE2712" s="665"/>
      <c r="AF2712" s="649"/>
      <c r="AG2712" s="650"/>
      <c r="AH2712" s="650"/>
      <c r="AI2712" s="667"/>
    </row>
    <row r="2713" spans="12:35" ht="45" customHeight="1" thickBot="1" x14ac:dyDescent="0.25">
      <c r="L2713" s="645"/>
      <c r="M2713" s="616"/>
      <c r="N2713" s="616"/>
      <c r="O2713" s="616"/>
      <c r="P2713" s="615"/>
      <c r="Q2713" s="616"/>
      <c r="R2713" s="663"/>
      <c r="S2713" s="459"/>
      <c r="T2713" s="459"/>
      <c r="U2713" s="459"/>
      <c r="V2713" s="459"/>
      <c r="W2713" s="459"/>
      <c r="X2713" s="459"/>
      <c r="Y2713" s="666"/>
      <c r="Z2713" s="664"/>
      <c r="AA2713" s="665"/>
      <c r="AB2713" s="665"/>
      <c r="AC2713" s="665"/>
      <c r="AD2713" s="665"/>
      <c r="AE2713" s="665"/>
      <c r="AF2713" s="649"/>
      <c r="AG2713" s="650"/>
      <c r="AH2713" s="650"/>
      <c r="AI2713" s="667"/>
    </row>
    <row r="2714" spans="12:35" ht="45" customHeight="1" thickBot="1" x14ac:dyDescent="0.25">
      <c r="L2714" s="645"/>
      <c r="M2714" s="616"/>
      <c r="N2714" s="616"/>
      <c r="O2714" s="616"/>
      <c r="P2714" s="615"/>
      <c r="Q2714" s="616"/>
      <c r="R2714" s="663"/>
      <c r="S2714" s="459"/>
      <c r="T2714" s="459"/>
      <c r="U2714" s="459"/>
      <c r="V2714" s="459"/>
      <c r="W2714" s="459"/>
      <c r="X2714" s="459"/>
      <c r="Y2714" s="666"/>
      <c r="Z2714" s="664"/>
      <c r="AA2714" s="665"/>
      <c r="AB2714" s="665"/>
      <c r="AC2714" s="665"/>
      <c r="AD2714" s="665"/>
      <c r="AE2714" s="665"/>
      <c r="AF2714" s="649"/>
      <c r="AG2714" s="650"/>
      <c r="AH2714" s="650"/>
      <c r="AI2714" s="667"/>
    </row>
    <row r="2715" spans="12:35" ht="45" customHeight="1" thickBot="1" x14ac:dyDescent="0.25">
      <c r="L2715" s="645"/>
      <c r="M2715" s="616"/>
      <c r="N2715" s="616"/>
      <c r="O2715" s="616"/>
      <c r="P2715" s="615"/>
      <c r="Q2715" s="616"/>
      <c r="R2715" s="663"/>
      <c r="S2715" s="459"/>
      <c r="T2715" s="459"/>
      <c r="U2715" s="459"/>
      <c r="V2715" s="459"/>
      <c r="W2715" s="459"/>
      <c r="X2715" s="459"/>
      <c r="Y2715" s="666"/>
      <c r="Z2715" s="664"/>
      <c r="AA2715" s="665"/>
      <c r="AB2715" s="665"/>
      <c r="AC2715" s="665"/>
      <c r="AD2715" s="665"/>
      <c r="AE2715" s="665"/>
      <c r="AF2715" s="649"/>
      <c r="AG2715" s="650"/>
      <c r="AH2715" s="650"/>
      <c r="AI2715" s="667"/>
    </row>
    <row r="2716" spans="12:35" ht="45" customHeight="1" thickBot="1" x14ac:dyDescent="0.25">
      <c r="L2716" s="645"/>
      <c r="M2716" s="616"/>
      <c r="N2716" s="616"/>
      <c r="O2716" s="616"/>
      <c r="P2716" s="615"/>
      <c r="Q2716" s="616"/>
      <c r="R2716" s="663"/>
      <c r="S2716" s="459"/>
      <c r="T2716" s="459"/>
      <c r="U2716" s="459"/>
      <c r="V2716" s="459"/>
      <c r="W2716" s="459"/>
      <c r="X2716" s="459"/>
      <c r="Y2716" s="666"/>
      <c r="Z2716" s="664"/>
      <c r="AA2716" s="665"/>
      <c r="AB2716" s="665"/>
      <c r="AC2716" s="665"/>
      <c r="AD2716" s="665"/>
      <c r="AE2716" s="665"/>
      <c r="AF2716" s="649"/>
      <c r="AG2716" s="650"/>
      <c r="AH2716" s="650"/>
      <c r="AI2716" s="667"/>
    </row>
    <row r="2717" spans="12:35" ht="45" customHeight="1" thickBot="1" x14ac:dyDescent="0.25">
      <c r="L2717" s="645"/>
      <c r="M2717" s="616"/>
      <c r="N2717" s="616"/>
      <c r="O2717" s="616"/>
      <c r="P2717" s="615"/>
      <c r="Q2717" s="616"/>
      <c r="R2717" s="663"/>
      <c r="S2717" s="459"/>
      <c r="T2717" s="459"/>
      <c r="U2717" s="459"/>
      <c r="V2717" s="459"/>
      <c r="W2717" s="459"/>
      <c r="X2717" s="459"/>
      <c r="Y2717" s="666"/>
      <c r="Z2717" s="664"/>
      <c r="AA2717" s="665"/>
      <c r="AB2717" s="665"/>
      <c r="AC2717" s="665"/>
      <c r="AD2717" s="665"/>
      <c r="AE2717" s="665"/>
      <c r="AF2717" s="649"/>
      <c r="AG2717" s="650"/>
      <c r="AH2717" s="650"/>
      <c r="AI2717" s="667"/>
    </row>
    <row r="2718" spans="12:35" ht="45" customHeight="1" thickBot="1" x14ac:dyDescent="0.25">
      <c r="L2718" s="645"/>
      <c r="M2718" s="616"/>
      <c r="N2718" s="616"/>
      <c r="O2718" s="616"/>
      <c r="P2718" s="615"/>
      <c r="Q2718" s="616"/>
      <c r="R2718" s="663"/>
      <c r="S2718" s="459"/>
      <c r="T2718" s="459"/>
      <c r="U2718" s="459"/>
      <c r="V2718" s="459"/>
      <c r="W2718" s="459"/>
      <c r="X2718" s="459"/>
      <c r="Y2718" s="666"/>
      <c r="Z2718" s="664"/>
      <c r="AA2718" s="665"/>
      <c r="AB2718" s="665"/>
      <c r="AC2718" s="665"/>
      <c r="AD2718" s="665"/>
      <c r="AE2718" s="665"/>
      <c r="AF2718" s="649"/>
      <c r="AG2718" s="650"/>
      <c r="AH2718" s="650"/>
      <c r="AI2718" s="667"/>
    </row>
    <row r="2719" spans="12:35" ht="45" customHeight="1" thickBot="1" x14ac:dyDescent="0.25">
      <c r="L2719" s="645"/>
      <c r="M2719" s="616"/>
      <c r="N2719" s="616"/>
      <c r="O2719" s="616"/>
      <c r="P2719" s="615"/>
      <c r="Q2719" s="616"/>
      <c r="R2719" s="663"/>
      <c r="S2719" s="459"/>
      <c r="T2719" s="459"/>
      <c r="U2719" s="459"/>
      <c r="V2719" s="459"/>
      <c r="W2719" s="459"/>
      <c r="X2719" s="459"/>
      <c r="Y2719" s="666"/>
      <c r="Z2719" s="664"/>
      <c r="AA2719" s="665"/>
      <c r="AB2719" s="665"/>
      <c r="AC2719" s="665"/>
      <c r="AD2719" s="665"/>
      <c r="AE2719" s="665"/>
      <c r="AF2719" s="649"/>
      <c r="AG2719" s="650"/>
      <c r="AH2719" s="650"/>
      <c r="AI2719" s="667"/>
    </row>
    <row r="2720" spans="12:35" ht="45" customHeight="1" thickBot="1" x14ac:dyDescent="0.25">
      <c r="L2720" s="645"/>
      <c r="M2720" s="616"/>
      <c r="N2720" s="616"/>
      <c r="O2720" s="616"/>
      <c r="P2720" s="615"/>
      <c r="Q2720" s="616"/>
      <c r="R2720" s="663"/>
      <c r="S2720" s="459"/>
      <c r="T2720" s="459"/>
      <c r="U2720" s="459"/>
      <c r="V2720" s="459"/>
      <c r="W2720" s="459"/>
      <c r="X2720" s="459"/>
      <c r="Y2720" s="666"/>
      <c r="Z2720" s="664"/>
      <c r="AA2720" s="665"/>
      <c r="AB2720" s="665"/>
      <c r="AC2720" s="665"/>
      <c r="AD2720" s="665"/>
      <c r="AE2720" s="665"/>
      <c r="AF2720" s="649"/>
      <c r="AG2720" s="650"/>
      <c r="AH2720" s="650"/>
      <c r="AI2720" s="667"/>
    </row>
    <row r="2721" spans="12:35" ht="45" customHeight="1" thickBot="1" x14ac:dyDescent="0.25">
      <c r="L2721" s="645"/>
      <c r="M2721" s="616"/>
      <c r="N2721" s="616"/>
      <c r="O2721" s="616"/>
      <c r="P2721" s="615"/>
      <c r="Q2721" s="616"/>
      <c r="R2721" s="663"/>
      <c r="S2721" s="459"/>
      <c r="T2721" s="459"/>
      <c r="U2721" s="459"/>
      <c r="V2721" s="459"/>
      <c r="W2721" s="459"/>
      <c r="X2721" s="459"/>
      <c r="Y2721" s="666"/>
      <c r="Z2721" s="664"/>
      <c r="AA2721" s="665"/>
      <c r="AB2721" s="665"/>
      <c r="AC2721" s="665"/>
      <c r="AD2721" s="665"/>
      <c r="AE2721" s="665"/>
      <c r="AF2721" s="649"/>
      <c r="AG2721" s="650"/>
      <c r="AH2721" s="650"/>
      <c r="AI2721" s="667"/>
    </row>
    <row r="2722" spans="12:35" ht="45" customHeight="1" thickBot="1" x14ac:dyDescent="0.25">
      <c r="L2722" s="645"/>
      <c r="M2722" s="616"/>
      <c r="N2722" s="616"/>
      <c r="O2722" s="616"/>
      <c r="P2722" s="615"/>
      <c r="Q2722" s="616"/>
      <c r="R2722" s="663"/>
      <c r="S2722" s="459"/>
      <c r="T2722" s="459"/>
      <c r="U2722" s="459"/>
      <c r="V2722" s="459"/>
      <c r="W2722" s="459"/>
      <c r="X2722" s="459"/>
      <c r="Y2722" s="666"/>
      <c r="Z2722" s="664"/>
      <c r="AA2722" s="665"/>
      <c r="AB2722" s="665"/>
      <c r="AC2722" s="665"/>
      <c r="AD2722" s="665"/>
      <c r="AE2722" s="665"/>
      <c r="AF2722" s="649"/>
      <c r="AG2722" s="650"/>
      <c r="AH2722" s="650"/>
      <c r="AI2722" s="667"/>
    </row>
    <row r="2723" spans="12:35" ht="45" customHeight="1" thickBot="1" x14ac:dyDescent="0.25">
      <c r="L2723" s="645"/>
      <c r="M2723" s="616"/>
      <c r="N2723" s="616"/>
      <c r="O2723" s="616"/>
      <c r="P2723" s="615"/>
      <c r="Q2723" s="616"/>
      <c r="R2723" s="663"/>
      <c r="S2723" s="459"/>
      <c r="T2723" s="459"/>
      <c r="U2723" s="459"/>
      <c r="V2723" s="459"/>
      <c r="W2723" s="459"/>
      <c r="X2723" s="459"/>
      <c r="Y2723" s="666"/>
      <c r="Z2723" s="664"/>
      <c r="AA2723" s="665"/>
      <c r="AB2723" s="665"/>
      <c r="AC2723" s="665"/>
      <c r="AD2723" s="665"/>
      <c r="AE2723" s="665"/>
      <c r="AF2723" s="649"/>
      <c r="AG2723" s="650"/>
      <c r="AH2723" s="650"/>
      <c r="AI2723" s="667"/>
    </row>
    <row r="2724" spans="12:35" ht="45" customHeight="1" thickBot="1" x14ac:dyDescent="0.25">
      <c r="L2724" s="645"/>
      <c r="M2724" s="616"/>
      <c r="N2724" s="616"/>
      <c r="O2724" s="616"/>
      <c r="P2724" s="615"/>
      <c r="Q2724" s="616"/>
      <c r="R2724" s="663"/>
      <c r="S2724" s="459"/>
      <c r="T2724" s="459"/>
      <c r="U2724" s="459"/>
      <c r="V2724" s="459"/>
      <c r="W2724" s="459"/>
      <c r="X2724" s="459"/>
      <c r="Y2724" s="666"/>
      <c r="Z2724" s="664"/>
      <c r="AA2724" s="665"/>
      <c r="AB2724" s="665"/>
      <c r="AC2724" s="665"/>
      <c r="AD2724" s="665"/>
      <c r="AE2724" s="665"/>
      <c r="AF2724" s="649"/>
      <c r="AG2724" s="650"/>
      <c r="AH2724" s="650"/>
      <c r="AI2724" s="667"/>
    </row>
    <row r="2725" spans="12:35" ht="45" customHeight="1" thickBot="1" x14ac:dyDescent="0.25">
      <c r="L2725" s="645"/>
      <c r="M2725" s="616"/>
      <c r="N2725" s="616"/>
      <c r="O2725" s="616"/>
      <c r="P2725" s="615"/>
      <c r="Q2725" s="616"/>
      <c r="R2725" s="663"/>
      <c r="S2725" s="459"/>
      <c r="T2725" s="459"/>
      <c r="U2725" s="459"/>
      <c r="V2725" s="459"/>
      <c r="W2725" s="459"/>
      <c r="X2725" s="459"/>
      <c r="Y2725" s="666"/>
      <c r="Z2725" s="664"/>
      <c r="AA2725" s="665"/>
      <c r="AB2725" s="665"/>
      <c r="AC2725" s="665"/>
      <c r="AD2725" s="665"/>
      <c r="AE2725" s="665"/>
      <c r="AF2725" s="649"/>
      <c r="AG2725" s="650"/>
      <c r="AH2725" s="650"/>
      <c r="AI2725" s="667"/>
    </row>
    <row r="2726" spans="12:35" ht="45" customHeight="1" thickBot="1" x14ac:dyDescent="0.25">
      <c r="L2726" s="645"/>
      <c r="M2726" s="616"/>
      <c r="N2726" s="616"/>
      <c r="O2726" s="616"/>
      <c r="P2726" s="615"/>
      <c r="Q2726" s="616"/>
      <c r="R2726" s="663"/>
      <c r="S2726" s="459"/>
      <c r="T2726" s="459"/>
      <c r="U2726" s="459"/>
      <c r="V2726" s="459"/>
      <c r="W2726" s="459"/>
      <c r="X2726" s="459"/>
      <c r="Y2726" s="666"/>
      <c r="Z2726" s="664"/>
      <c r="AA2726" s="665"/>
      <c r="AB2726" s="665"/>
      <c r="AC2726" s="665"/>
      <c r="AD2726" s="665"/>
      <c r="AE2726" s="665"/>
      <c r="AF2726" s="649"/>
      <c r="AG2726" s="650"/>
      <c r="AH2726" s="650"/>
      <c r="AI2726" s="667"/>
    </row>
    <row r="2727" spans="12:35" ht="45" customHeight="1" thickBot="1" x14ac:dyDescent="0.25">
      <c r="L2727" s="645"/>
      <c r="M2727" s="616"/>
      <c r="N2727" s="616"/>
      <c r="O2727" s="616"/>
      <c r="P2727" s="615"/>
      <c r="Q2727" s="616"/>
      <c r="R2727" s="663"/>
      <c r="S2727" s="459"/>
      <c r="T2727" s="459"/>
      <c r="U2727" s="459"/>
      <c r="V2727" s="459"/>
      <c r="W2727" s="459"/>
      <c r="X2727" s="459"/>
      <c r="Y2727" s="666"/>
      <c r="Z2727" s="664"/>
      <c r="AA2727" s="665"/>
      <c r="AB2727" s="665"/>
      <c r="AC2727" s="665"/>
      <c r="AD2727" s="665"/>
      <c r="AE2727" s="665"/>
      <c r="AF2727" s="649"/>
      <c r="AG2727" s="650"/>
      <c r="AH2727" s="650"/>
      <c r="AI2727" s="667"/>
    </row>
    <row r="2728" spans="12:35" ht="45" customHeight="1" thickBot="1" x14ac:dyDescent="0.25">
      <c r="L2728" s="645"/>
      <c r="M2728" s="616"/>
      <c r="N2728" s="616"/>
      <c r="O2728" s="616"/>
      <c r="P2728" s="615"/>
      <c r="Q2728" s="616"/>
      <c r="R2728" s="663"/>
      <c r="S2728" s="459"/>
      <c r="T2728" s="459"/>
      <c r="U2728" s="459"/>
      <c r="V2728" s="459"/>
      <c r="W2728" s="459"/>
      <c r="X2728" s="459"/>
      <c r="Y2728" s="666"/>
      <c r="Z2728" s="664"/>
      <c r="AA2728" s="665"/>
      <c r="AB2728" s="665"/>
      <c r="AC2728" s="665"/>
      <c r="AD2728" s="665"/>
      <c r="AE2728" s="665"/>
      <c r="AF2728" s="649"/>
      <c r="AG2728" s="650"/>
      <c r="AH2728" s="650"/>
      <c r="AI2728" s="667"/>
    </row>
    <row r="2729" spans="12:35" ht="45" customHeight="1" thickBot="1" x14ac:dyDescent="0.25">
      <c r="L2729" s="645"/>
      <c r="M2729" s="616"/>
      <c r="N2729" s="616"/>
      <c r="O2729" s="616"/>
      <c r="P2729" s="615"/>
      <c r="Q2729" s="616"/>
      <c r="R2729" s="663"/>
      <c r="S2729" s="459"/>
      <c r="T2729" s="459"/>
      <c r="U2729" s="459"/>
      <c r="V2729" s="459"/>
      <c r="W2729" s="459"/>
      <c r="X2729" s="459"/>
      <c r="Y2729" s="666"/>
      <c r="Z2729" s="664"/>
      <c r="AA2729" s="665"/>
      <c r="AB2729" s="665"/>
      <c r="AC2729" s="665"/>
      <c r="AD2729" s="665"/>
      <c r="AE2729" s="665"/>
      <c r="AF2729" s="649"/>
      <c r="AG2729" s="650"/>
      <c r="AH2729" s="650"/>
      <c r="AI2729" s="667"/>
    </row>
    <row r="2730" spans="12:35" ht="45" customHeight="1" thickBot="1" x14ac:dyDescent="0.25">
      <c r="L2730" s="645"/>
      <c r="M2730" s="616"/>
      <c r="N2730" s="616"/>
      <c r="O2730" s="616"/>
      <c r="P2730" s="615"/>
      <c r="Q2730" s="616"/>
      <c r="R2730" s="663"/>
      <c r="S2730" s="459"/>
      <c r="T2730" s="459"/>
      <c r="U2730" s="459"/>
      <c r="V2730" s="459"/>
      <c r="W2730" s="459"/>
      <c r="X2730" s="459"/>
      <c r="Y2730" s="666"/>
      <c r="Z2730" s="664"/>
      <c r="AA2730" s="665"/>
      <c r="AB2730" s="665"/>
      <c r="AC2730" s="665"/>
      <c r="AD2730" s="665"/>
      <c r="AE2730" s="665"/>
      <c r="AF2730" s="649"/>
      <c r="AG2730" s="650"/>
      <c r="AH2730" s="650"/>
      <c r="AI2730" s="667"/>
    </row>
    <row r="2731" spans="12:35" ht="45" customHeight="1" thickBot="1" x14ac:dyDescent="0.25">
      <c r="L2731" s="645"/>
      <c r="M2731" s="616"/>
      <c r="N2731" s="616"/>
      <c r="O2731" s="616"/>
      <c r="P2731" s="615"/>
      <c r="Q2731" s="616"/>
      <c r="R2731" s="663"/>
      <c r="S2731" s="459"/>
      <c r="T2731" s="459"/>
      <c r="U2731" s="459"/>
      <c r="V2731" s="459"/>
      <c r="W2731" s="459"/>
      <c r="X2731" s="459"/>
      <c r="Y2731" s="666"/>
      <c r="Z2731" s="664"/>
      <c r="AA2731" s="665"/>
      <c r="AB2731" s="665"/>
      <c r="AC2731" s="665"/>
      <c r="AD2731" s="665"/>
      <c r="AE2731" s="665"/>
      <c r="AF2731" s="649"/>
      <c r="AG2731" s="650"/>
      <c r="AH2731" s="650"/>
      <c r="AI2731" s="667"/>
    </row>
    <row r="2732" spans="12:35" ht="45" customHeight="1" thickBot="1" x14ac:dyDescent="0.25">
      <c r="L2732" s="645"/>
      <c r="M2732" s="616"/>
      <c r="N2732" s="616"/>
      <c r="O2732" s="616"/>
      <c r="P2732" s="615"/>
      <c r="Q2732" s="616"/>
      <c r="R2732" s="663"/>
      <c r="S2732" s="459"/>
      <c r="T2732" s="459"/>
      <c r="U2732" s="459"/>
      <c r="V2732" s="459"/>
      <c r="W2732" s="459"/>
      <c r="X2732" s="459"/>
      <c r="Y2732" s="666"/>
      <c r="Z2732" s="664"/>
      <c r="AA2732" s="665"/>
      <c r="AB2732" s="665"/>
      <c r="AC2732" s="665"/>
      <c r="AD2732" s="665"/>
      <c r="AE2732" s="665"/>
      <c r="AF2732" s="649"/>
      <c r="AG2732" s="650"/>
      <c r="AH2732" s="650"/>
      <c r="AI2732" s="667"/>
    </row>
    <row r="2733" spans="12:35" ht="45" customHeight="1" thickBot="1" x14ac:dyDescent="0.25">
      <c r="L2733" s="645"/>
      <c r="M2733" s="616"/>
      <c r="N2733" s="616"/>
      <c r="O2733" s="616"/>
      <c r="P2733" s="615"/>
      <c r="Q2733" s="616"/>
      <c r="R2733" s="663"/>
      <c r="S2733" s="459"/>
      <c r="T2733" s="459"/>
      <c r="U2733" s="459"/>
      <c r="V2733" s="459"/>
      <c r="W2733" s="459"/>
      <c r="X2733" s="459"/>
      <c r="Y2733" s="666"/>
      <c r="Z2733" s="664"/>
      <c r="AA2733" s="665"/>
      <c r="AB2733" s="665"/>
      <c r="AC2733" s="665"/>
      <c r="AD2733" s="665"/>
      <c r="AE2733" s="665"/>
      <c r="AF2733" s="649"/>
      <c r="AG2733" s="650"/>
      <c r="AH2733" s="650"/>
      <c r="AI2733" s="667"/>
    </row>
    <row r="2734" spans="12:35" ht="45" customHeight="1" thickBot="1" x14ac:dyDescent="0.25">
      <c r="L2734" s="645"/>
      <c r="M2734" s="616"/>
      <c r="N2734" s="616"/>
      <c r="O2734" s="616"/>
      <c r="P2734" s="615"/>
      <c r="Q2734" s="616"/>
      <c r="R2734" s="663"/>
      <c r="S2734" s="459"/>
      <c r="T2734" s="459"/>
      <c r="U2734" s="459"/>
      <c r="V2734" s="459"/>
      <c r="W2734" s="459"/>
      <c r="X2734" s="459"/>
      <c r="Y2734" s="666"/>
      <c r="Z2734" s="664"/>
      <c r="AA2734" s="665"/>
      <c r="AB2734" s="665"/>
      <c r="AC2734" s="665"/>
      <c r="AD2734" s="665"/>
      <c r="AE2734" s="665"/>
      <c r="AF2734" s="649"/>
      <c r="AG2734" s="650"/>
      <c r="AH2734" s="650"/>
      <c r="AI2734" s="667"/>
    </row>
    <row r="2735" spans="12:35" ht="45" customHeight="1" thickBot="1" x14ac:dyDescent="0.25">
      <c r="L2735" s="645"/>
      <c r="M2735" s="616"/>
      <c r="N2735" s="616"/>
      <c r="O2735" s="616"/>
      <c r="P2735" s="615"/>
      <c r="Q2735" s="616"/>
      <c r="R2735" s="663"/>
      <c r="S2735" s="459"/>
      <c r="T2735" s="459"/>
      <c r="U2735" s="459"/>
      <c r="V2735" s="459"/>
      <c r="W2735" s="459"/>
      <c r="X2735" s="459"/>
      <c r="Y2735" s="666"/>
      <c r="Z2735" s="664"/>
      <c r="AA2735" s="665"/>
      <c r="AB2735" s="665"/>
      <c r="AC2735" s="665"/>
      <c r="AD2735" s="665"/>
      <c r="AE2735" s="665"/>
      <c r="AF2735" s="649"/>
      <c r="AG2735" s="650"/>
      <c r="AH2735" s="650"/>
      <c r="AI2735" s="667"/>
    </row>
    <row r="2736" spans="12:35" ht="45" customHeight="1" thickBot="1" x14ac:dyDescent="0.25">
      <c r="L2736" s="645"/>
      <c r="M2736" s="616"/>
      <c r="N2736" s="616"/>
      <c r="O2736" s="616"/>
      <c r="P2736" s="615"/>
      <c r="Q2736" s="616"/>
      <c r="R2736" s="663"/>
      <c r="S2736" s="459"/>
      <c r="T2736" s="459"/>
      <c r="U2736" s="459"/>
      <c r="V2736" s="459"/>
      <c r="W2736" s="459"/>
      <c r="X2736" s="459"/>
      <c r="Y2736" s="666"/>
      <c r="Z2736" s="664"/>
      <c r="AA2736" s="665"/>
      <c r="AB2736" s="665"/>
      <c r="AC2736" s="665"/>
      <c r="AD2736" s="665"/>
      <c r="AE2736" s="665"/>
      <c r="AF2736" s="649"/>
      <c r="AG2736" s="650"/>
      <c r="AH2736" s="650"/>
      <c r="AI2736" s="667"/>
    </row>
    <row r="2737" spans="12:35" ht="45" customHeight="1" thickBot="1" x14ac:dyDescent="0.25">
      <c r="L2737" s="645"/>
      <c r="M2737" s="616"/>
      <c r="N2737" s="616"/>
      <c r="O2737" s="616"/>
      <c r="P2737" s="615"/>
      <c r="Q2737" s="616"/>
      <c r="R2737" s="663"/>
      <c r="S2737" s="459"/>
      <c r="T2737" s="459"/>
      <c r="U2737" s="459"/>
      <c r="V2737" s="459"/>
      <c r="W2737" s="459"/>
      <c r="X2737" s="459"/>
      <c r="Y2737" s="666"/>
      <c r="Z2737" s="664"/>
      <c r="AA2737" s="665"/>
      <c r="AB2737" s="665"/>
      <c r="AC2737" s="665"/>
      <c r="AD2737" s="665"/>
      <c r="AE2737" s="665"/>
      <c r="AF2737" s="649"/>
      <c r="AG2737" s="650"/>
      <c r="AH2737" s="650"/>
      <c r="AI2737" s="667"/>
    </row>
    <row r="2738" spans="12:35" ht="45" customHeight="1" thickBot="1" x14ac:dyDescent="0.25">
      <c r="L2738" s="645"/>
      <c r="M2738" s="616"/>
      <c r="N2738" s="616"/>
      <c r="O2738" s="616"/>
      <c r="P2738" s="615"/>
      <c r="Q2738" s="616"/>
      <c r="R2738" s="663"/>
      <c r="S2738" s="459"/>
      <c r="T2738" s="459"/>
      <c r="U2738" s="459"/>
      <c r="V2738" s="459"/>
      <c r="W2738" s="459"/>
      <c r="X2738" s="459"/>
      <c r="Y2738" s="666"/>
      <c r="Z2738" s="664"/>
      <c r="AA2738" s="665"/>
      <c r="AB2738" s="665"/>
      <c r="AC2738" s="665"/>
      <c r="AD2738" s="665"/>
      <c r="AE2738" s="665"/>
      <c r="AF2738" s="649"/>
      <c r="AG2738" s="650"/>
      <c r="AH2738" s="650"/>
      <c r="AI2738" s="667"/>
    </row>
    <row r="2739" spans="12:35" ht="45" customHeight="1" thickBot="1" x14ac:dyDescent="0.25">
      <c r="L2739" s="645"/>
      <c r="M2739" s="616"/>
      <c r="N2739" s="616"/>
      <c r="O2739" s="616"/>
      <c r="P2739" s="615"/>
      <c r="Q2739" s="616"/>
      <c r="R2739" s="663"/>
      <c r="S2739" s="459"/>
      <c r="T2739" s="459"/>
      <c r="U2739" s="459"/>
      <c r="V2739" s="459"/>
      <c r="W2739" s="459"/>
      <c r="X2739" s="459"/>
      <c r="Y2739" s="666"/>
      <c r="Z2739" s="664"/>
      <c r="AA2739" s="665"/>
      <c r="AB2739" s="665"/>
      <c r="AC2739" s="665"/>
      <c r="AD2739" s="665"/>
      <c r="AE2739" s="665"/>
      <c r="AF2739" s="649"/>
      <c r="AG2739" s="650"/>
      <c r="AH2739" s="650"/>
      <c r="AI2739" s="667"/>
    </row>
    <row r="2740" spans="12:35" ht="45" customHeight="1" thickBot="1" x14ac:dyDescent="0.25">
      <c r="L2740" s="645"/>
      <c r="M2740" s="616"/>
      <c r="N2740" s="616"/>
      <c r="O2740" s="616"/>
      <c r="P2740" s="615"/>
      <c r="Q2740" s="616"/>
      <c r="R2740" s="663"/>
      <c r="S2740" s="459"/>
      <c r="T2740" s="459"/>
      <c r="U2740" s="459"/>
      <c r="V2740" s="459"/>
      <c r="W2740" s="459"/>
      <c r="X2740" s="459"/>
      <c r="Y2740" s="666"/>
      <c r="Z2740" s="664"/>
      <c r="AA2740" s="665"/>
      <c r="AB2740" s="665"/>
      <c r="AC2740" s="665"/>
      <c r="AD2740" s="665"/>
      <c r="AE2740" s="665"/>
      <c r="AF2740" s="649"/>
      <c r="AG2740" s="650"/>
      <c r="AH2740" s="650"/>
      <c r="AI2740" s="667"/>
    </row>
    <row r="2741" spans="12:35" ht="45" customHeight="1" thickBot="1" x14ac:dyDescent="0.25">
      <c r="L2741" s="645"/>
      <c r="M2741" s="616"/>
      <c r="N2741" s="616"/>
      <c r="O2741" s="616"/>
      <c r="P2741" s="615"/>
      <c r="Q2741" s="616"/>
      <c r="R2741" s="663"/>
      <c r="S2741" s="459"/>
      <c r="T2741" s="459"/>
      <c r="U2741" s="459"/>
      <c r="V2741" s="459"/>
      <c r="W2741" s="459"/>
      <c r="X2741" s="459"/>
      <c r="Y2741" s="666"/>
      <c r="Z2741" s="664"/>
      <c r="AA2741" s="665"/>
      <c r="AB2741" s="665"/>
      <c r="AC2741" s="665"/>
      <c r="AD2741" s="665"/>
      <c r="AE2741" s="665"/>
      <c r="AF2741" s="649"/>
      <c r="AG2741" s="650"/>
      <c r="AH2741" s="650"/>
      <c r="AI2741" s="667"/>
    </row>
    <row r="2742" spans="12:35" ht="45" customHeight="1" thickBot="1" x14ac:dyDescent="0.25">
      <c r="L2742" s="645"/>
      <c r="M2742" s="616"/>
      <c r="N2742" s="616"/>
      <c r="O2742" s="616"/>
      <c r="P2742" s="615"/>
      <c r="Q2742" s="616"/>
      <c r="R2742" s="663"/>
      <c r="S2742" s="459"/>
      <c r="T2742" s="459"/>
      <c r="U2742" s="459"/>
      <c r="V2742" s="459"/>
      <c r="W2742" s="459"/>
      <c r="X2742" s="459"/>
      <c r="Y2742" s="666"/>
      <c r="Z2742" s="664"/>
      <c r="AA2742" s="665"/>
      <c r="AB2742" s="665"/>
      <c r="AC2742" s="665"/>
      <c r="AD2742" s="665"/>
      <c r="AE2742" s="665"/>
      <c r="AF2742" s="649"/>
      <c r="AG2742" s="650"/>
      <c r="AH2742" s="650"/>
      <c r="AI2742" s="667"/>
    </row>
    <row r="2743" spans="12:35" ht="45" customHeight="1" thickBot="1" x14ac:dyDescent="0.25">
      <c r="L2743" s="645"/>
      <c r="M2743" s="616"/>
      <c r="N2743" s="616"/>
      <c r="O2743" s="616"/>
      <c r="P2743" s="615"/>
      <c r="Q2743" s="616"/>
      <c r="R2743" s="663"/>
      <c r="S2743" s="459"/>
      <c r="T2743" s="459"/>
      <c r="U2743" s="459"/>
      <c r="V2743" s="459"/>
      <c r="W2743" s="459"/>
      <c r="X2743" s="459"/>
      <c r="Y2743" s="666"/>
      <c r="Z2743" s="664"/>
      <c r="AA2743" s="665"/>
      <c r="AB2743" s="665"/>
      <c r="AC2743" s="665"/>
      <c r="AD2743" s="665"/>
      <c r="AE2743" s="665"/>
      <c r="AF2743" s="649"/>
      <c r="AG2743" s="650"/>
      <c r="AH2743" s="650"/>
      <c r="AI2743" s="667"/>
    </row>
    <row r="2744" spans="12:35" ht="45" customHeight="1" thickBot="1" x14ac:dyDescent="0.25">
      <c r="L2744" s="645"/>
      <c r="M2744" s="616"/>
      <c r="N2744" s="616"/>
      <c r="O2744" s="616"/>
      <c r="P2744" s="615"/>
      <c r="Q2744" s="616"/>
      <c r="R2744" s="663"/>
      <c r="S2744" s="459"/>
      <c r="T2744" s="459"/>
      <c r="U2744" s="459"/>
      <c r="V2744" s="459"/>
      <c r="W2744" s="459"/>
      <c r="X2744" s="459"/>
      <c r="Y2744" s="666"/>
      <c r="Z2744" s="664"/>
      <c r="AA2744" s="665"/>
      <c r="AB2744" s="665"/>
      <c r="AC2744" s="665"/>
      <c r="AD2744" s="665"/>
      <c r="AE2744" s="665"/>
      <c r="AF2744" s="649"/>
      <c r="AG2744" s="650"/>
      <c r="AH2744" s="650"/>
      <c r="AI2744" s="667"/>
    </row>
    <row r="2745" spans="12:35" ht="45" customHeight="1" thickBot="1" x14ac:dyDescent="0.25">
      <c r="L2745" s="645"/>
      <c r="M2745" s="616"/>
      <c r="N2745" s="616"/>
      <c r="O2745" s="616"/>
      <c r="P2745" s="615"/>
      <c r="Q2745" s="616"/>
      <c r="R2745" s="663"/>
      <c r="S2745" s="459"/>
      <c r="T2745" s="459"/>
      <c r="U2745" s="459"/>
      <c r="V2745" s="459"/>
      <c r="W2745" s="459"/>
      <c r="X2745" s="459"/>
      <c r="Y2745" s="666"/>
      <c r="Z2745" s="664"/>
      <c r="AA2745" s="665"/>
      <c r="AB2745" s="665"/>
      <c r="AC2745" s="665"/>
      <c r="AD2745" s="665"/>
      <c r="AE2745" s="665"/>
      <c r="AF2745" s="649"/>
      <c r="AG2745" s="650"/>
      <c r="AH2745" s="650"/>
      <c r="AI2745" s="667"/>
    </row>
    <row r="2746" spans="12:35" ht="45" customHeight="1" thickBot="1" x14ac:dyDescent="0.25">
      <c r="L2746" s="645"/>
      <c r="M2746" s="616"/>
      <c r="N2746" s="616"/>
      <c r="O2746" s="616"/>
      <c r="P2746" s="615"/>
      <c r="Q2746" s="616"/>
      <c r="R2746" s="663"/>
      <c r="S2746" s="459"/>
      <c r="T2746" s="459"/>
      <c r="U2746" s="459"/>
      <c r="V2746" s="459"/>
      <c r="W2746" s="459"/>
      <c r="X2746" s="459"/>
      <c r="Y2746" s="666"/>
      <c r="Z2746" s="664"/>
      <c r="AA2746" s="665"/>
      <c r="AB2746" s="665"/>
      <c r="AC2746" s="665"/>
      <c r="AD2746" s="665"/>
      <c r="AE2746" s="665"/>
      <c r="AF2746" s="649"/>
      <c r="AG2746" s="650"/>
      <c r="AH2746" s="650"/>
      <c r="AI2746" s="667"/>
    </row>
    <row r="2747" spans="12:35" ht="45" customHeight="1" thickBot="1" x14ac:dyDescent="0.25">
      <c r="L2747" s="645"/>
      <c r="M2747" s="616"/>
      <c r="N2747" s="616"/>
      <c r="O2747" s="616"/>
      <c r="P2747" s="615"/>
      <c r="Q2747" s="616"/>
      <c r="R2747" s="663"/>
      <c r="S2747" s="459"/>
      <c r="T2747" s="459"/>
      <c r="U2747" s="459"/>
      <c r="V2747" s="459"/>
      <c r="W2747" s="459"/>
      <c r="X2747" s="459"/>
      <c r="Y2747" s="666"/>
      <c r="Z2747" s="664"/>
      <c r="AA2747" s="665"/>
      <c r="AB2747" s="665"/>
      <c r="AC2747" s="665"/>
      <c r="AD2747" s="665"/>
      <c r="AE2747" s="665"/>
      <c r="AF2747" s="649"/>
      <c r="AG2747" s="650"/>
      <c r="AH2747" s="650"/>
      <c r="AI2747" s="667"/>
    </row>
    <row r="2748" spans="12:35" ht="45" customHeight="1" thickBot="1" x14ac:dyDescent="0.25">
      <c r="L2748" s="645"/>
      <c r="M2748" s="616"/>
      <c r="N2748" s="616"/>
      <c r="O2748" s="616"/>
      <c r="P2748" s="615"/>
      <c r="Q2748" s="616"/>
      <c r="R2748" s="663"/>
      <c r="S2748" s="459"/>
      <c r="T2748" s="459"/>
      <c r="U2748" s="459"/>
      <c r="V2748" s="459"/>
      <c r="W2748" s="459"/>
      <c r="X2748" s="459"/>
      <c r="Y2748" s="666"/>
      <c r="Z2748" s="664"/>
      <c r="AA2748" s="665"/>
      <c r="AB2748" s="665"/>
      <c r="AC2748" s="665"/>
      <c r="AD2748" s="665"/>
      <c r="AE2748" s="665"/>
      <c r="AF2748" s="649"/>
      <c r="AG2748" s="650"/>
      <c r="AH2748" s="650"/>
      <c r="AI2748" s="667"/>
    </row>
    <row r="2749" spans="12:35" ht="45" customHeight="1" thickBot="1" x14ac:dyDescent="0.25">
      <c r="L2749" s="645"/>
      <c r="M2749" s="616"/>
      <c r="N2749" s="616"/>
      <c r="O2749" s="616"/>
      <c r="P2749" s="615"/>
      <c r="Q2749" s="616"/>
      <c r="R2749" s="663"/>
      <c r="S2749" s="459"/>
      <c r="T2749" s="459"/>
      <c r="U2749" s="459"/>
      <c r="V2749" s="459"/>
      <c r="W2749" s="459"/>
      <c r="X2749" s="459"/>
      <c r="Y2749" s="666"/>
      <c r="Z2749" s="664"/>
      <c r="AA2749" s="665"/>
      <c r="AB2749" s="665"/>
      <c r="AC2749" s="665"/>
      <c r="AD2749" s="665"/>
      <c r="AE2749" s="665"/>
      <c r="AF2749" s="649"/>
      <c r="AG2749" s="650"/>
      <c r="AH2749" s="650"/>
      <c r="AI2749" s="667"/>
    </row>
    <row r="2750" spans="12:35" ht="45" customHeight="1" thickBot="1" x14ac:dyDescent="0.25">
      <c r="L2750" s="645"/>
      <c r="M2750" s="616"/>
      <c r="N2750" s="616"/>
      <c r="O2750" s="616"/>
      <c r="P2750" s="615"/>
      <c r="Q2750" s="616"/>
      <c r="R2750" s="663"/>
      <c r="S2750" s="459"/>
      <c r="T2750" s="459"/>
      <c r="U2750" s="459"/>
      <c r="V2750" s="459"/>
      <c r="W2750" s="459"/>
      <c r="X2750" s="459"/>
      <c r="Y2750" s="666"/>
      <c r="Z2750" s="664"/>
      <c r="AA2750" s="665"/>
      <c r="AB2750" s="665"/>
      <c r="AC2750" s="665"/>
      <c r="AD2750" s="665"/>
      <c r="AE2750" s="665"/>
      <c r="AF2750" s="649"/>
      <c r="AG2750" s="650"/>
      <c r="AH2750" s="650"/>
      <c r="AI2750" s="667"/>
    </row>
    <row r="2751" spans="12:35" ht="45" customHeight="1" thickBot="1" x14ac:dyDescent="0.25">
      <c r="L2751" s="645"/>
      <c r="M2751" s="616"/>
      <c r="N2751" s="616"/>
      <c r="O2751" s="616"/>
      <c r="P2751" s="615"/>
      <c r="Q2751" s="616"/>
      <c r="R2751" s="663"/>
      <c r="S2751" s="459"/>
      <c r="T2751" s="459"/>
      <c r="U2751" s="459"/>
      <c r="V2751" s="459"/>
      <c r="W2751" s="459"/>
      <c r="X2751" s="459"/>
      <c r="Y2751" s="666"/>
      <c r="Z2751" s="664"/>
      <c r="AA2751" s="665"/>
      <c r="AB2751" s="665"/>
      <c r="AC2751" s="665"/>
      <c r="AD2751" s="665"/>
      <c r="AE2751" s="665"/>
      <c r="AF2751" s="649"/>
      <c r="AG2751" s="650"/>
      <c r="AH2751" s="650"/>
      <c r="AI2751" s="667"/>
    </row>
    <row r="2752" spans="12:35" ht="45" customHeight="1" thickBot="1" x14ac:dyDescent="0.25">
      <c r="L2752" s="645"/>
      <c r="M2752" s="616"/>
      <c r="N2752" s="616"/>
      <c r="O2752" s="616"/>
      <c r="P2752" s="615"/>
      <c r="Q2752" s="616"/>
      <c r="R2752" s="663"/>
      <c r="S2752" s="459"/>
      <c r="T2752" s="459"/>
      <c r="U2752" s="459"/>
      <c r="V2752" s="459"/>
      <c r="W2752" s="459"/>
      <c r="X2752" s="459"/>
      <c r="Y2752" s="666"/>
      <c r="Z2752" s="664"/>
      <c r="AA2752" s="665"/>
      <c r="AB2752" s="665"/>
      <c r="AC2752" s="665"/>
      <c r="AD2752" s="665"/>
      <c r="AE2752" s="665"/>
      <c r="AF2752" s="649"/>
      <c r="AG2752" s="650"/>
      <c r="AH2752" s="650"/>
      <c r="AI2752" s="667"/>
    </row>
    <row r="2753" spans="12:35" ht="45" customHeight="1" thickBot="1" x14ac:dyDescent="0.25">
      <c r="L2753" s="645"/>
      <c r="M2753" s="616"/>
      <c r="N2753" s="616"/>
      <c r="O2753" s="616"/>
      <c r="P2753" s="615"/>
      <c r="Q2753" s="616"/>
      <c r="R2753" s="663"/>
      <c r="S2753" s="459"/>
      <c r="T2753" s="459"/>
      <c r="U2753" s="459"/>
      <c r="V2753" s="459"/>
      <c r="W2753" s="459"/>
      <c r="X2753" s="459"/>
      <c r="Y2753" s="666"/>
      <c r="Z2753" s="664"/>
      <c r="AA2753" s="665"/>
      <c r="AB2753" s="665"/>
      <c r="AC2753" s="665"/>
      <c r="AD2753" s="665"/>
      <c r="AE2753" s="665"/>
      <c r="AF2753" s="649"/>
      <c r="AG2753" s="650"/>
      <c r="AH2753" s="650"/>
      <c r="AI2753" s="667"/>
    </row>
    <row r="2754" spans="12:35" ht="45" customHeight="1" thickBot="1" x14ac:dyDescent="0.25">
      <c r="L2754" s="645"/>
      <c r="M2754" s="616"/>
      <c r="N2754" s="616"/>
      <c r="O2754" s="616"/>
      <c r="P2754" s="615"/>
      <c r="Q2754" s="616"/>
      <c r="R2754" s="663"/>
      <c r="S2754" s="459"/>
      <c r="T2754" s="459"/>
      <c r="U2754" s="459"/>
      <c r="V2754" s="459"/>
      <c r="W2754" s="459"/>
      <c r="X2754" s="459"/>
      <c r="Y2754" s="666"/>
      <c r="Z2754" s="664"/>
      <c r="AA2754" s="665"/>
      <c r="AB2754" s="665"/>
      <c r="AC2754" s="665"/>
      <c r="AD2754" s="665"/>
      <c r="AE2754" s="665"/>
      <c r="AF2754" s="649"/>
      <c r="AG2754" s="650"/>
      <c r="AH2754" s="650"/>
      <c r="AI2754" s="667"/>
    </row>
    <row r="2755" spans="12:35" ht="45" customHeight="1" thickBot="1" x14ac:dyDescent="0.25">
      <c r="L2755" s="645"/>
      <c r="M2755" s="616"/>
      <c r="N2755" s="616"/>
      <c r="O2755" s="616"/>
      <c r="P2755" s="615"/>
      <c r="Q2755" s="616"/>
      <c r="R2755" s="663"/>
      <c r="S2755" s="459"/>
      <c r="T2755" s="459"/>
      <c r="U2755" s="459"/>
      <c r="V2755" s="459"/>
      <c r="W2755" s="459"/>
      <c r="X2755" s="459"/>
      <c r="Y2755" s="666"/>
      <c r="Z2755" s="664"/>
      <c r="AA2755" s="665"/>
      <c r="AB2755" s="665"/>
      <c r="AC2755" s="665"/>
      <c r="AD2755" s="665"/>
      <c r="AE2755" s="665"/>
      <c r="AF2755" s="649"/>
      <c r="AG2755" s="650"/>
      <c r="AH2755" s="650"/>
      <c r="AI2755" s="667"/>
    </row>
    <row r="2756" spans="12:35" ht="45" customHeight="1" thickBot="1" x14ac:dyDescent="0.25">
      <c r="L2756" s="645"/>
      <c r="M2756" s="616"/>
      <c r="N2756" s="616"/>
      <c r="O2756" s="616"/>
      <c r="P2756" s="615"/>
      <c r="Q2756" s="616"/>
      <c r="R2756" s="663"/>
      <c r="S2756" s="459"/>
      <c r="T2756" s="459"/>
      <c r="U2756" s="459"/>
      <c r="V2756" s="459"/>
      <c r="W2756" s="459"/>
      <c r="X2756" s="459"/>
      <c r="Y2756" s="666"/>
      <c r="Z2756" s="664"/>
      <c r="AA2756" s="665"/>
      <c r="AB2756" s="665"/>
      <c r="AC2756" s="665"/>
      <c r="AD2756" s="665"/>
      <c r="AE2756" s="665"/>
      <c r="AF2756" s="649"/>
      <c r="AG2756" s="650"/>
      <c r="AH2756" s="650"/>
      <c r="AI2756" s="667"/>
    </row>
    <row r="2757" spans="12:35" ht="45" customHeight="1" thickBot="1" x14ac:dyDescent="0.25">
      <c r="L2757" s="645"/>
      <c r="M2757" s="616"/>
      <c r="N2757" s="616"/>
      <c r="O2757" s="616"/>
      <c r="P2757" s="615"/>
      <c r="Q2757" s="616"/>
      <c r="R2757" s="663"/>
      <c r="S2757" s="459"/>
      <c r="T2757" s="459"/>
      <c r="U2757" s="459"/>
      <c r="V2757" s="459"/>
      <c r="W2757" s="459"/>
      <c r="X2757" s="459"/>
      <c r="Y2757" s="666"/>
      <c r="Z2757" s="664"/>
      <c r="AA2757" s="665"/>
      <c r="AB2757" s="665"/>
      <c r="AC2757" s="665"/>
      <c r="AD2757" s="665"/>
      <c r="AE2757" s="665"/>
      <c r="AF2757" s="649"/>
      <c r="AG2757" s="650"/>
      <c r="AH2757" s="650"/>
      <c r="AI2757" s="667"/>
    </row>
    <row r="2758" spans="12:35" ht="45" customHeight="1" thickBot="1" x14ac:dyDescent="0.25">
      <c r="L2758" s="645"/>
      <c r="M2758" s="616"/>
      <c r="N2758" s="616"/>
      <c r="O2758" s="616"/>
      <c r="P2758" s="615"/>
      <c r="Q2758" s="616"/>
      <c r="R2758" s="663"/>
      <c r="S2758" s="459"/>
      <c r="T2758" s="459"/>
      <c r="U2758" s="459"/>
      <c r="V2758" s="459"/>
      <c r="W2758" s="459"/>
      <c r="X2758" s="459"/>
      <c r="Y2758" s="666"/>
      <c r="Z2758" s="664"/>
      <c r="AA2758" s="665"/>
      <c r="AB2758" s="665"/>
      <c r="AC2758" s="665"/>
      <c r="AD2758" s="665"/>
      <c r="AE2758" s="665"/>
      <c r="AF2758" s="649"/>
      <c r="AG2758" s="650"/>
      <c r="AH2758" s="650"/>
      <c r="AI2758" s="667"/>
    </row>
    <row r="2759" spans="12:35" ht="45" customHeight="1" thickBot="1" x14ac:dyDescent="0.25">
      <c r="L2759" s="645"/>
      <c r="M2759" s="616"/>
      <c r="N2759" s="616"/>
      <c r="O2759" s="616"/>
      <c r="P2759" s="615"/>
      <c r="Q2759" s="616"/>
      <c r="R2759" s="663"/>
      <c r="S2759" s="459"/>
      <c r="T2759" s="459"/>
      <c r="U2759" s="459"/>
      <c r="V2759" s="459"/>
      <c r="W2759" s="459"/>
      <c r="X2759" s="459"/>
      <c r="Y2759" s="666"/>
      <c r="Z2759" s="664"/>
      <c r="AA2759" s="665"/>
      <c r="AB2759" s="665"/>
      <c r="AC2759" s="665"/>
      <c r="AD2759" s="665"/>
      <c r="AE2759" s="665"/>
      <c r="AF2759" s="649"/>
      <c r="AG2759" s="650"/>
      <c r="AH2759" s="650"/>
      <c r="AI2759" s="667"/>
    </row>
    <row r="2760" spans="12:35" ht="45" customHeight="1" thickBot="1" x14ac:dyDescent="0.25">
      <c r="L2760" s="645"/>
      <c r="M2760" s="616"/>
      <c r="N2760" s="616"/>
      <c r="O2760" s="616"/>
      <c r="P2760" s="615"/>
      <c r="Q2760" s="616"/>
      <c r="R2760" s="663"/>
      <c r="S2760" s="459"/>
      <c r="T2760" s="459"/>
      <c r="U2760" s="459"/>
      <c r="V2760" s="459"/>
      <c r="W2760" s="459"/>
      <c r="X2760" s="459"/>
      <c r="Y2760" s="666"/>
      <c r="Z2760" s="664"/>
      <c r="AA2760" s="665"/>
      <c r="AB2760" s="665"/>
      <c r="AC2760" s="665"/>
      <c r="AD2760" s="665"/>
      <c r="AE2760" s="665"/>
      <c r="AF2760" s="649"/>
      <c r="AG2760" s="650"/>
      <c r="AH2760" s="650"/>
      <c r="AI2760" s="667"/>
    </row>
    <row r="2761" spans="12:35" ht="45" customHeight="1" thickBot="1" x14ac:dyDescent="0.25">
      <c r="L2761" s="645"/>
      <c r="M2761" s="616"/>
      <c r="N2761" s="616"/>
      <c r="O2761" s="616"/>
      <c r="P2761" s="615"/>
      <c r="Q2761" s="616"/>
      <c r="R2761" s="663"/>
      <c r="S2761" s="459"/>
      <c r="T2761" s="459"/>
      <c r="U2761" s="459"/>
      <c r="V2761" s="459"/>
      <c r="W2761" s="459"/>
      <c r="X2761" s="459"/>
      <c r="Y2761" s="666"/>
      <c r="Z2761" s="664"/>
      <c r="AA2761" s="665"/>
      <c r="AB2761" s="665"/>
      <c r="AC2761" s="665"/>
      <c r="AD2761" s="665"/>
      <c r="AE2761" s="665"/>
      <c r="AF2761" s="649"/>
      <c r="AG2761" s="650"/>
      <c r="AH2761" s="650"/>
      <c r="AI2761" s="667"/>
    </row>
    <row r="2762" spans="12:35" ht="45" customHeight="1" thickBot="1" x14ac:dyDescent="0.25">
      <c r="L2762" s="645"/>
      <c r="M2762" s="616"/>
      <c r="N2762" s="616"/>
      <c r="O2762" s="616"/>
      <c r="P2762" s="615"/>
      <c r="Q2762" s="616"/>
      <c r="R2762" s="663"/>
      <c r="S2762" s="459"/>
      <c r="T2762" s="459"/>
      <c r="U2762" s="459"/>
      <c r="V2762" s="459"/>
      <c r="W2762" s="459"/>
      <c r="X2762" s="459"/>
      <c r="Y2762" s="666"/>
      <c r="Z2762" s="664"/>
      <c r="AA2762" s="665"/>
      <c r="AB2762" s="665"/>
      <c r="AC2762" s="665"/>
      <c r="AD2762" s="665"/>
      <c r="AE2762" s="665"/>
      <c r="AF2762" s="649"/>
      <c r="AG2762" s="650"/>
      <c r="AH2762" s="650"/>
      <c r="AI2762" s="667"/>
    </row>
    <row r="2763" spans="12:35" ht="45" customHeight="1" thickBot="1" x14ac:dyDescent="0.25">
      <c r="L2763" s="645"/>
      <c r="M2763" s="616"/>
      <c r="N2763" s="616"/>
      <c r="O2763" s="616"/>
      <c r="P2763" s="615"/>
      <c r="Q2763" s="616"/>
      <c r="R2763" s="663"/>
      <c r="S2763" s="459"/>
      <c r="T2763" s="459"/>
      <c r="U2763" s="459"/>
      <c r="V2763" s="459"/>
      <c r="W2763" s="459"/>
      <c r="X2763" s="459"/>
      <c r="Y2763" s="666"/>
      <c r="Z2763" s="664"/>
      <c r="AA2763" s="665"/>
      <c r="AB2763" s="665"/>
      <c r="AC2763" s="665"/>
      <c r="AD2763" s="665"/>
      <c r="AE2763" s="665"/>
      <c r="AF2763" s="649"/>
      <c r="AG2763" s="650"/>
      <c r="AH2763" s="650"/>
      <c r="AI2763" s="667"/>
    </row>
    <row r="2764" spans="12:35" ht="45" customHeight="1" thickBot="1" x14ac:dyDescent="0.25">
      <c r="L2764" s="645"/>
      <c r="M2764" s="616"/>
      <c r="N2764" s="616"/>
      <c r="O2764" s="616"/>
      <c r="P2764" s="615"/>
      <c r="Q2764" s="616"/>
      <c r="R2764" s="663"/>
      <c r="S2764" s="459"/>
      <c r="T2764" s="459"/>
      <c r="U2764" s="459"/>
      <c r="V2764" s="459"/>
      <c r="W2764" s="459"/>
      <c r="X2764" s="459"/>
      <c r="Y2764" s="666"/>
      <c r="Z2764" s="664"/>
      <c r="AA2764" s="665"/>
      <c r="AB2764" s="665"/>
      <c r="AC2764" s="665"/>
      <c r="AD2764" s="665"/>
      <c r="AE2764" s="665"/>
      <c r="AF2764" s="649"/>
      <c r="AG2764" s="650"/>
      <c r="AH2764" s="650"/>
      <c r="AI2764" s="667"/>
    </row>
    <row r="2765" spans="12:35" ht="45" customHeight="1" thickBot="1" x14ac:dyDescent="0.25">
      <c r="L2765" s="645"/>
      <c r="M2765" s="616"/>
      <c r="N2765" s="616"/>
      <c r="O2765" s="616"/>
      <c r="P2765" s="615"/>
      <c r="Q2765" s="616"/>
      <c r="R2765" s="663"/>
      <c r="S2765" s="459"/>
      <c r="T2765" s="459"/>
      <c r="U2765" s="459"/>
      <c r="V2765" s="459"/>
      <c r="W2765" s="459"/>
      <c r="X2765" s="459"/>
      <c r="Y2765" s="666"/>
      <c r="Z2765" s="664"/>
      <c r="AA2765" s="665"/>
      <c r="AB2765" s="665"/>
      <c r="AC2765" s="665"/>
      <c r="AD2765" s="665"/>
      <c r="AE2765" s="665"/>
      <c r="AF2765" s="649"/>
      <c r="AG2765" s="650"/>
      <c r="AH2765" s="650"/>
      <c r="AI2765" s="667"/>
    </row>
    <row r="2766" spans="12:35" ht="45" customHeight="1" thickBot="1" x14ac:dyDescent="0.25">
      <c r="L2766" s="645"/>
      <c r="M2766" s="616"/>
      <c r="N2766" s="616"/>
      <c r="O2766" s="616"/>
      <c r="P2766" s="615"/>
      <c r="Q2766" s="616"/>
      <c r="R2766" s="663"/>
      <c r="S2766" s="459"/>
      <c r="T2766" s="459"/>
      <c r="U2766" s="459"/>
      <c r="V2766" s="459"/>
      <c r="W2766" s="459"/>
      <c r="X2766" s="459"/>
      <c r="Y2766" s="666"/>
      <c r="Z2766" s="664"/>
      <c r="AA2766" s="665"/>
      <c r="AB2766" s="665"/>
      <c r="AC2766" s="665"/>
      <c r="AD2766" s="665"/>
      <c r="AE2766" s="665"/>
      <c r="AF2766" s="649"/>
      <c r="AG2766" s="650"/>
      <c r="AH2766" s="650"/>
      <c r="AI2766" s="667"/>
    </row>
    <row r="2767" spans="12:35" ht="45" customHeight="1" thickBot="1" x14ac:dyDescent="0.25">
      <c r="L2767" s="645"/>
      <c r="M2767" s="616"/>
      <c r="N2767" s="616"/>
      <c r="O2767" s="616"/>
      <c r="P2767" s="615"/>
      <c r="Q2767" s="616"/>
      <c r="R2767" s="663"/>
      <c r="S2767" s="459"/>
      <c r="T2767" s="459"/>
      <c r="U2767" s="459"/>
      <c r="V2767" s="459"/>
      <c r="W2767" s="459"/>
      <c r="X2767" s="459"/>
      <c r="Y2767" s="666"/>
      <c r="Z2767" s="664"/>
      <c r="AA2767" s="665"/>
      <c r="AB2767" s="665"/>
      <c r="AC2767" s="665"/>
      <c r="AD2767" s="665"/>
      <c r="AE2767" s="665"/>
      <c r="AF2767" s="649"/>
      <c r="AG2767" s="650"/>
      <c r="AH2767" s="650"/>
      <c r="AI2767" s="667"/>
    </row>
    <row r="2768" spans="12:35" ht="45" customHeight="1" thickBot="1" x14ac:dyDescent="0.25">
      <c r="L2768" s="645"/>
      <c r="M2768" s="616"/>
      <c r="N2768" s="616"/>
      <c r="O2768" s="616"/>
      <c r="P2768" s="615"/>
      <c r="Q2768" s="616"/>
      <c r="R2768" s="663"/>
      <c r="S2768" s="459"/>
      <c r="T2768" s="459"/>
      <c r="U2768" s="459"/>
      <c r="V2768" s="459"/>
      <c r="W2768" s="459"/>
      <c r="X2768" s="459"/>
      <c r="Y2768" s="666"/>
      <c r="Z2768" s="664"/>
      <c r="AA2768" s="665"/>
      <c r="AB2768" s="665"/>
      <c r="AC2768" s="665"/>
      <c r="AD2768" s="665"/>
      <c r="AE2768" s="665"/>
      <c r="AF2768" s="649"/>
      <c r="AG2768" s="650"/>
      <c r="AH2768" s="650"/>
      <c r="AI2768" s="667"/>
    </row>
    <row r="2769" spans="12:35" ht="45" customHeight="1" thickBot="1" x14ac:dyDescent="0.25">
      <c r="L2769" s="645"/>
      <c r="M2769" s="616"/>
      <c r="N2769" s="616"/>
      <c r="O2769" s="616"/>
      <c r="P2769" s="615"/>
      <c r="Q2769" s="616"/>
      <c r="R2769" s="663"/>
      <c r="S2769" s="459"/>
      <c r="T2769" s="459"/>
      <c r="U2769" s="459"/>
      <c r="V2769" s="459"/>
      <c r="W2769" s="459"/>
      <c r="X2769" s="459"/>
      <c r="Y2769" s="666"/>
      <c r="Z2769" s="664"/>
      <c r="AA2769" s="665"/>
      <c r="AB2769" s="665"/>
      <c r="AC2769" s="665"/>
      <c r="AD2769" s="665"/>
      <c r="AE2769" s="665"/>
      <c r="AF2769" s="649"/>
      <c r="AG2769" s="650"/>
      <c r="AH2769" s="650"/>
      <c r="AI2769" s="667"/>
    </row>
    <row r="2770" spans="12:35" ht="45" customHeight="1" thickBot="1" x14ac:dyDescent="0.25">
      <c r="L2770" s="645"/>
      <c r="M2770" s="616"/>
      <c r="N2770" s="616"/>
      <c r="O2770" s="616"/>
      <c r="P2770" s="615"/>
      <c r="Q2770" s="616"/>
      <c r="R2770" s="663"/>
      <c r="S2770" s="459"/>
      <c r="T2770" s="459"/>
      <c r="U2770" s="459"/>
      <c r="V2770" s="459"/>
      <c r="W2770" s="459"/>
      <c r="X2770" s="459"/>
      <c r="Y2770" s="666"/>
      <c r="Z2770" s="664"/>
      <c r="AA2770" s="665"/>
      <c r="AB2770" s="665"/>
      <c r="AC2770" s="665"/>
      <c r="AD2770" s="665"/>
      <c r="AE2770" s="665"/>
      <c r="AF2770" s="649"/>
      <c r="AG2770" s="650"/>
      <c r="AH2770" s="650"/>
      <c r="AI2770" s="667"/>
    </row>
    <row r="2771" spans="12:35" ht="45" customHeight="1" thickBot="1" x14ac:dyDescent="0.25">
      <c r="L2771" s="645"/>
      <c r="M2771" s="616"/>
      <c r="N2771" s="616"/>
      <c r="O2771" s="616"/>
      <c r="P2771" s="615"/>
      <c r="Q2771" s="616"/>
      <c r="R2771" s="663"/>
      <c r="S2771" s="459"/>
      <c r="T2771" s="459"/>
      <c r="U2771" s="459"/>
      <c r="V2771" s="459"/>
      <c r="W2771" s="459"/>
      <c r="X2771" s="459"/>
      <c r="Y2771" s="666"/>
      <c r="Z2771" s="664"/>
      <c r="AA2771" s="665"/>
      <c r="AB2771" s="665"/>
      <c r="AC2771" s="665"/>
      <c r="AD2771" s="665"/>
      <c r="AE2771" s="665"/>
      <c r="AF2771" s="649"/>
      <c r="AG2771" s="650"/>
      <c r="AH2771" s="650"/>
      <c r="AI2771" s="667"/>
    </row>
    <row r="2772" spans="12:35" ht="45" customHeight="1" thickBot="1" x14ac:dyDescent="0.25">
      <c r="L2772" s="645"/>
      <c r="M2772" s="616"/>
      <c r="N2772" s="616"/>
      <c r="O2772" s="616"/>
      <c r="P2772" s="615"/>
      <c r="Q2772" s="616"/>
      <c r="R2772" s="663"/>
      <c r="S2772" s="459"/>
      <c r="T2772" s="459"/>
      <c r="U2772" s="459"/>
      <c r="V2772" s="459"/>
      <c r="W2772" s="459"/>
      <c r="X2772" s="459"/>
      <c r="Y2772" s="666"/>
      <c r="Z2772" s="664"/>
      <c r="AA2772" s="665"/>
      <c r="AB2772" s="665"/>
      <c r="AC2772" s="665"/>
      <c r="AD2772" s="665"/>
      <c r="AE2772" s="665"/>
      <c r="AF2772" s="649"/>
      <c r="AG2772" s="650"/>
      <c r="AH2772" s="650"/>
      <c r="AI2772" s="667"/>
    </row>
    <row r="2773" spans="12:35" ht="45" customHeight="1" thickBot="1" x14ac:dyDescent="0.25">
      <c r="L2773" s="645"/>
      <c r="M2773" s="616"/>
      <c r="N2773" s="616"/>
      <c r="O2773" s="616"/>
      <c r="P2773" s="615"/>
      <c r="Q2773" s="616"/>
      <c r="R2773" s="663"/>
      <c r="S2773" s="459"/>
      <c r="T2773" s="459"/>
      <c r="U2773" s="459"/>
      <c r="V2773" s="459"/>
      <c r="W2773" s="459"/>
      <c r="X2773" s="459"/>
      <c r="Y2773" s="666"/>
      <c r="Z2773" s="664"/>
      <c r="AA2773" s="665"/>
      <c r="AB2773" s="665"/>
      <c r="AC2773" s="665"/>
      <c r="AD2773" s="665"/>
      <c r="AE2773" s="665"/>
      <c r="AF2773" s="649"/>
      <c r="AG2773" s="650"/>
      <c r="AH2773" s="650"/>
      <c r="AI2773" s="667"/>
    </row>
    <row r="2774" spans="12:35" ht="45" customHeight="1" thickBot="1" x14ac:dyDescent="0.25">
      <c r="L2774" s="645"/>
      <c r="M2774" s="616"/>
      <c r="N2774" s="616"/>
      <c r="O2774" s="616"/>
      <c r="P2774" s="615"/>
      <c r="Q2774" s="616"/>
      <c r="R2774" s="663"/>
      <c r="S2774" s="459"/>
      <c r="T2774" s="459"/>
      <c r="U2774" s="459"/>
      <c r="V2774" s="459"/>
      <c r="W2774" s="459"/>
      <c r="X2774" s="459"/>
      <c r="Y2774" s="666"/>
      <c r="Z2774" s="664"/>
      <c r="AA2774" s="665"/>
      <c r="AB2774" s="665"/>
      <c r="AC2774" s="665"/>
      <c r="AD2774" s="665"/>
      <c r="AE2774" s="665"/>
      <c r="AF2774" s="649"/>
      <c r="AG2774" s="650"/>
      <c r="AH2774" s="650"/>
      <c r="AI2774" s="667"/>
    </row>
    <row r="2775" spans="12:35" ht="45" customHeight="1" thickBot="1" x14ac:dyDescent="0.25">
      <c r="L2775" s="645"/>
      <c r="M2775" s="616"/>
      <c r="N2775" s="616"/>
      <c r="O2775" s="616"/>
      <c r="P2775" s="615"/>
      <c r="Q2775" s="616"/>
      <c r="R2775" s="663"/>
      <c r="S2775" s="459"/>
      <c r="T2775" s="459"/>
      <c r="U2775" s="459"/>
      <c r="V2775" s="459"/>
      <c r="W2775" s="459"/>
      <c r="X2775" s="459"/>
      <c r="Y2775" s="666"/>
      <c r="Z2775" s="664"/>
      <c r="AA2775" s="665"/>
      <c r="AB2775" s="665"/>
      <c r="AC2775" s="665"/>
      <c r="AD2775" s="665"/>
      <c r="AE2775" s="665"/>
      <c r="AF2775" s="649"/>
      <c r="AG2775" s="650"/>
      <c r="AH2775" s="650"/>
      <c r="AI2775" s="667"/>
    </row>
    <row r="2776" spans="12:35" ht="45" customHeight="1" thickBot="1" x14ac:dyDescent="0.25">
      <c r="L2776" s="645"/>
      <c r="M2776" s="616"/>
      <c r="N2776" s="616"/>
      <c r="O2776" s="616"/>
      <c r="P2776" s="615"/>
      <c r="Q2776" s="616"/>
      <c r="R2776" s="663"/>
      <c r="S2776" s="459"/>
      <c r="T2776" s="459"/>
      <c r="U2776" s="459"/>
      <c r="V2776" s="459"/>
      <c r="W2776" s="459"/>
      <c r="X2776" s="459"/>
      <c r="Y2776" s="666"/>
      <c r="Z2776" s="664"/>
      <c r="AA2776" s="665"/>
      <c r="AB2776" s="665"/>
      <c r="AC2776" s="665"/>
      <c r="AD2776" s="665"/>
      <c r="AE2776" s="665"/>
      <c r="AF2776" s="649"/>
      <c r="AG2776" s="650"/>
      <c r="AH2776" s="650"/>
      <c r="AI2776" s="667"/>
    </row>
    <row r="2777" spans="12:35" ht="45" customHeight="1" thickBot="1" x14ac:dyDescent="0.25">
      <c r="L2777" s="645"/>
      <c r="M2777" s="616"/>
      <c r="N2777" s="616"/>
      <c r="O2777" s="616"/>
      <c r="P2777" s="615"/>
      <c r="Q2777" s="616"/>
      <c r="R2777" s="663"/>
      <c r="S2777" s="459"/>
      <c r="T2777" s="459"/>
      <c r="U2777" s="459"/>
      <c r="V2777" s="459"/>
      <c r="W2777" s="459"/>
      <c r="X2777" s="459"/>
      <c r="Y2777" s="666"/>
      <c r="Z2777" s="664"/>
      <c r="AA2777" s="665"/>
      <c r="AB2777" s="665"/>
      <c r="AC2777" s="665"/>
      <c r="AD2777" s="665"/>
      <c r="AE2777" s="665"/>
      <c r="AF2777" s="649"/>
      <c r="AG2777" s="650"/>
      <c r="AH2777" s="650"/>
      <c r="AI2777" s="667"/>
    </row>
    <row r="2778" spans="12:35" ht="45" customHeight="1" thickBot="1" x14ac:dyDescent="0.25">
      <c r="L2778" s="645"/>
      <c r="M2778" s="616"/>
      <c r="N2778" s="616"/>
      <c r="O2778" s="616"/>
      <c r="P2778" s="615"/>
      <c r="Q2778" s="616"/>
      <c r="R2778" s="663"/>
      <c r="S2778" s="459"/>
      <c r="T2778" s="459"/>
      <c r="U2778" s="459"/>
      <c r="V2778" s="459"/>
      <c r="W2778" s="459"/>
      <c r="X2778" s="459"/>
      <c r="Y2778" s="666"/>
      <c r="Z2778" s="664"/>
      <c r="AA2778" s="665"/>
      <c r="AB2778" s="665"/>
      <c r="AC2778" s="665"/>
      <c r="AD2778" s="665"/>
      <c r="AE2778" s="665"/>
      <c r="AF2778" s="649"/>
      <c r="AG2778" s="650"/>
      <c r="AH2778" s="650"/>
      <c r="AI2778" s="667"/>
    </row>
    <row r="2779" spans="12:35" ht="45" customHeight="1" thickBot="1" x14ac:dyDescent="0.25">
      <c r="L2779" s="645"/>
      <c r="M2779" s="616"/>
      <c r="N2779" s="616"/>
      <c r="O2779" s="616"/>
      <c r="P2779" s="615"/>
      <c r="Q2779" s="616"/>
      <c r="R2779" s="663"/>
      <c r="S2779" s="459"/>
      <c r="T2779" s="459"/>
      <c r="U2779" s="459"/>
      <c r="V2779" s="459"/>
      <c r="W2779" s="459"/>
      <c r="X2779" s="459"/>
      <c r="Y2779" s="666"/>
      <c r="Z2779" s="664"/>
      <c r="AA2779" s="665"/>
      <c r="AB2779" s="665"/>
      <c r="AC2779" s="665"/>
      <c r="AD2779" s="665"/>
      <c r="AE2779" s="665"/>
      <c r="AF2779" s="649"/>
      <c r="AG2779" s="650"/>
      <c r="AH2779" s="650"/>
      <c r="AI2779" s="667"/>
    </row>
    <row r="2780" spans="12:35" ht="45" customHeight="1" thickBot="1" x14ac:dyDescent="0.25">
      <c r="L2780" s="645"/>
      <c r="M2780" s="616"/>
      <c r="N2780" s="616"/>
      <c r="O2780" s="616"/>
      <c r="P2780" s="615"/>
      <c r="Q2780" s="616"/>
      <c r="R2780" s="663"/>
      <c r="S2780" s="459"/>
      <c r="T2780" s="459"/>
      <c r="U2780" s="459"/>
      <c r="V2780" s="459"/>
      <c r="W2780" s="459"/>
      <c r="X2780" s="459"/>
      <c r="Y2780" s="666"/>
      <c r="Z2780" s="664"/>
      <c r="AA2780" s="665"/>
      <c r="AB2780" s="665"/>
      <c r="AC2780" s="665"/>
      <c r="AD2780" s="665"/>
      <c r="AE2780" s="665"/>
      <c r="AF2780" s="649"/>
      <c r="AG2780" s="650"/>
      <c r="AH2780" s="650"/>
      <c r="AI2780" s="667"/>
    </row>
    <row r="2781" spans="12:35" ht="45" customHeight="1" thickBot="1" x14ac:dyDescent="0.25">
      <c r="L2781" s="645"/>
      <c r="M2781" s="616"/>
      <c r="N2781" s="616"/>
      <c r="O2781" s="616"/>
      <c r="P2781" s="615"/>
      <c r="Q2781" s="616"/>
      <c r="R2781" s="663"/>
      <c r="S2781" s="459"/>
      <c r="T2781" s="459"/>
      <c r="U2781" s="459"/>
      <c r="V2781" s="459"/>
      <c r="W2781" s="459"/>
      <c r="X2781" s="459"/>
      <c r="Y2781" s="666"/>
      <c r="Z2781" s="664"/>
      <c r="AA2781" s="665"/>
      <c r="AB2781" s="665"/>
      <c r="AC2781" s="665"/>
      <c r="AD2781" s="665"/>
      <c r="AE2781" s="665"/>
      <c r="AF2781" s="649"/>
      <c r="AG2781" s="650"/>
      <c r="AH2781" s="650"/>
      <c r="AI2781" s="667"/>
    </row>
    <row r="2782" spans="12:35" ht="45" customHeight="1" thickBot="1" x14ac:dyDescent="0.25">
      <c r="L2782" s="645"/>
      <c r="M2782" s="616"/>
      <c r="N2782" s="616"/>
      <c r="O2782" s="616"/>
      <c r="P2782" s="615"/>
      <c r="Q2782" s="616"/>
      <c r="R2782" s="663"/>
      <c r="S2782" s="459"/>
      <c r="T2782" s="459"/>
      <c r="U2782" s="459"/>
      <c r="V2782" s="459"/>
      <c r="W2782" s="459"/>
      <c r="X2782" s="459"/>
      <c r="Y2782" s="666"/>
      <c r="Z2782" s="664"/>
      <c r="AA2782" s="665"/>
      <c r="AB2782" s="665"/>
      <c r="AC2782" s="665"/>
      <c r="AD2782" s="665"/>
      <c r="AE2782" s="665"/>
      <c r="AF2782" s="649"/>
      <c r="AG2782" s="650"/>
      <c r="AH2782" s="650"/>
      <c r="AI2782" s="667"/>
    </row>
    <row r="2783" spans="12:35" ht="45" customHeight="1" thickBot="1" x14ac:dyDescent="0.25">
      <c r="L2783" s="645"/>
      <c r="M2783" s="616"/>
      <c r="N2783" s="616"/>
      <c r="O2783" s="616"/>
      <c r="P2783" s="615"/>
      <c r="Q2783" s="616"/>
      <c r="R2783" s="663"/>
      <c r="S2783" s="459"/>
      <c r="T2783" s="459"/>
      <c r="U2783" s="459"/>
      <c r="V2783" s="459"/>
      <c r="W2783" s="459"/>
      <c r="X2783" s="459"/>
      <c r="Y2783" s="666"/>
      <c r="Z2783" s="664"/>
      <c r="AA2783" s="665"/>
      <c r="AB2783" s="665"/>
      <c r="AC2783" s="665"/>
      <c r="AD2783" s="665"/>
      <c r="AE2783" s="665"/>
      <c r="AF2783" s="649"/>
      <c r="AG2783" s="650"/>
      <c r="AH2783" s="650"/>
      <c r="AI2783" s="667"/>
    </row>
    <row r="2784" spans="12:35" ht="45" customHeight="1" thickBot="1" x14ac:dyDescent="0.25">
      <c r="L2784" s="645"/>
      <c r="M2784" s="616"/>
      <c r="N2784" s="616"/>
      <c r="O2784" s="616"/>
      <c r="P2784" s="615"/>
      <c r="Q2784" s="616"/>
      <c r="R2784" s="663"/>
      <c r="S2784" s="459"/>
      <c r="T2784" s="459"/>
      <c r="U2784" s="459"/>
      <c r="V2784" s="459"/>
      <c r="W2784" s="459"/>
      <c r="X2784" s="459"/>
      <c r="Y2784" s="666"/>
      <c r="Z2784" s="664"/>
      <c r="AA2784" s="665"/>
      <c r="AB2784" s="665"/>
      <c r="AC2784" s="665"/>
      <c r="AD2784" s="665"/>
      <c r="AE2784" s="665"/>
      <c r="AF2784" s="649"/>
      <c r="AG2784" s="650"/>
      <c r="AH2784" s="650"/>
      <c r="AI2784" s="667"/>
    </row>
    <row r="2785" spans="12:35" ht="45" customHeight="1" thickBot="1" x14ac:dyDescent="0.25">
      <c r="L2785" s="645"/>
      <c r="M2785" s="616"/>
      <c r="N2785" s="616"/>
      <c r="O2785" s="616"/>
      <c r="P2785" s="615"/>
      <c r="Q2785" s="616"/>
      <c r="R2785" s="663"/>
      <c r="S2785" s="459"/>
      <c r="T2785" s="459"/>
      <c r="U2785" s="459"/>
      <c r="V2785" s="459"/>
      <c r="W2785" s="459"/>
      <c r="X2785" s="459"/>
      <c r="Y2785" s="666"/>
      <c r="Z2785" s="664"/>
      <c r="AA2785" s="665"/>
      <c r="AB2785" s="665"/>
      <c r="AC2785" s="665"/>
      <c r="AD2785" s="665"/>
      <c r="AE2785" s="665"/>
      <c r="AF2785" s="649"/>
      <c r="AG2785" s="650"/>
      <c r="AH2785" s="650"/>
      <c r="AI2785" s="667"/>
    </row>
    <row r="2786" spans="12:35" ht="45" customHeight="1" thickBot="1" x14ac:dyDescent="0.25">
      <c r="L2786" s="645"/>
      <c r="M2786" s="616"/>
      <c r="N2786" s="616"/>
      <c r="O2786" s="616"/>
      <c r="P2786" s="615"/>
      <c r="Q2786" s="616"/>
      <c r="R2786" s="663"/>
      <c r="S2786" s="459"/>
      <c r="T2786" s="459"/>
      <c r="U2786" s="459"/>
      <c r="V2786" s="459"/>
      <c r="W2786" s="459"/>
      <c r="X2786" s="459"/>
      <c r="Y2786" s="666"/>
      <c r="Z2786" s="664"/>
      <c r="AA2786" s="665"/>
      <c r="AB2786" s="665"/>
      <c r="AC2786" s="665"/>
      <c r="AD2786" s="665"/>
      <c r="AE2786" s="665"/>
      <c r="AF2786" s="649"/>
      <c r="AG2786" s="650"/>
      <c r="AH2786" s="650"/>
      <c r="AI2786" s="667"/>
    </row>
    <row r="2787" spans="12:35" ht="45" customHeight="1" thickBot="1" x14ac:dyDescent="0.25">
      <c r="L2787" s="645"/>
      <c r="M2787" s="616"/>
      <c r="N2787" s="616"/>
      <c r="O2787" s="616"/>
      <c r="P2787" s="615"/>
      <c r="Q2787" s="616"/>
      <c r="R2787" s="663"/>
      <c r="S2787" s="459"/>
      <c r="T2787" s="459"/>
      <c r="U2787" s="459"/>
      <c r="V2787" s="459"/>
      <c r="W2787" s="459"/>
      <c r="X2787" s="459"/>
      <c r="Y2787" s="666"/>
      <c r="Z2787" s="664"/>
      <c r="AA2787" s="665"/>
      <c r="AB2787" s="665"/>
      <c r="AC2787" s="665"/>
      <c r="AD2787" s="665"/>
      <c r="AE2787" s="665"/>
      <c r="AF2787" s="649"/>
      <c r="AG2787" s="650"/>
      <c r="AH2787" s="650"/>
      <c r="AI2787" s="667"/>
    </row>
    <row r="2788" spans="12:35" ht="45" customHeight="1" thickBot="1" x14ac:dyDescent="0.25">
      <c r="L2788" s="645"/>
      <c r="M2788" s="616"/>
      <c r="N2788" s="616"/>
      <c r="O2788" s="616"/>
      <c r="P2788" s="615"/>
      <c r="Q2788" s="616"/>
      <c r="R2788" s="663"/>
      <c r="S2788" s="459"/>
      <c r="T2788" s="459"/>
      <c r="U2788" s="459"/>
      <c r="V2788" s="459"/>
      <c r="W2788" s="459"/>
      <c r="X2788" s="459"/>
      <c r="Y2788" s="666"/>
      <c r="Z2788" s="664"/>
      <c r="AA2788" s="665"/>
      <c r="AB2788" s="665"/>
      <c r="AC2788" s="665"/>
      <c r="AD2788" s="665"/>
      <c r="AE2788" s="665"/>
      <c r="AF2788" s="649"/>
      <c r="AG2788" s="650"/>
      <c r="AH2788" s="650"/>
      <c r="AI2788" s="667"/>
    </row>
    <row r="2789" spans="12:35" ht="45" customHeight="1" thickBot="1" x14ac:dyDescent="0.25">
      <c r="L2789" s="645"/>
      <c r="M2789" s="616"/>
      <c r="N2789" s="616"/>
      <c r="O2789" s="616"/>
      <c r="P2789" s="615"/>
      <c r="Q2789" s="616"/>
      <c r="R2789" s="663"/>
      <c r="S2789" s="459"/>
      <c r="T2789" s="459"/>
      <c r="U2789" s="459"/>
      <c r="V2789" s="459"/>
      <c r="W2789" s="459"/>
      <c r="X2789" s="459"/>
      <c r="Y2789" s="666"/>
      <c r="Z2789" s="664"/>
      <c r="AA2789" s="665"/>
      <c r="AB2789" s="665"/>
      <c r="AC2789" s="665"/>
      <c r="AD2789" s="665"/>
      <c r="AE2789" s="665"/>
      <c r="AF2789" s="649"/>
      <c r="AG2789" s="650"/>
      <c r="AH2789" s="650"/>
      <c r="AI2789" s="667"/>
    </row>
    <row r="2790" spans="12:35" ht="45" customHeight="1" thickBot="1" x14ac:dyDescent="0.25">
      <c r="L2790" s="645"/>
      <c r="M2790" s="616"/>
      <c r="N2790" s="616"/>
      <c r="O2790" s="616"/>
      <c r="P2790" s="615"/>
      <c r="Q2790" s="616"/>
      <c r="R2790" s="663"/>
      <c r="S2790" s="459"/>
      <c r="T2790" s="459"/>
      <c r="U2790" s="459"/>
      <c r="V2790" s="459"/>
      <c r="W2790" s="459"/>
      <c r="X2790" s="459"/>
      <c r="Y2790" s="666"/>
      <c r="Z2790" s="664"/>
      <c r="AA2790" s="665"/>
      <c r="AB2790" s="665"/>
      <c r="AC2790" s="665"/>
      <c r="AD2790" s="665"/>
      <c r="AE2790" s="665"/>
      <c r="AF2790" s="649"/>
      <c r="AG2790" s="650"/>
      <c r="AH2790" s="650"/>
      <c r="AI2790" s="667"/>
    </row>
    <row r="2791" spans="12:35" ht="45" customHeight="1" thickBot="1" x14ac:dyDescent="0.25">
      <c r="L2791" s="645"/>
      <c r="M2791" s="616"/>
      <c r="N2791" s="616"/>
      <c r="O2791" s="616"/>
      <c r="P2791" s="615"/>
      <c r="Q2791" s="616"/>
      <c r="R2791" s="663"/>
      <c r="S2791" s="459"/>
      <c r="T2791" s="459"/>
      <c r="U2791" s="459"/>
      <c r="V2791" s="459"/>
      <c r="W2791" s="459"/>
      <c r="X2791" s="459"/>
      <c r="Y2791" s="666"/>
      <c r="Z2791" s="664"/>
      <c r="AA2791" s="665"/>
      <c r="AB2791" s="665"/>
      <c r="AC2791" s="665"/>
      <c r="AD2791" s="665"/>
      <c r="AE2791" s="665"/>
      <c r="AF2791" s="649"/>
      <c r="AG2791" s="650"/>
      <c r="AH2791" s="650"/>
      <c r="AI2791" s="667"/>
    </row>
    <row r="2792" spans="12:35" ht="45" customHeight="1" thickBot="1" x14ac:dyDescent="0.25">
      <c r="L2792" s="645"/>
      <c r="M2792" s="616"/>
      <c r="N2792" s="616"/>
      <c r="O2792" s="616"/>
      <c r="P2792" s="615"/>
      <c r="Q2792" s="616"/>
      <c r="R2792" s="663"/>
      <c r="S2792" s="459"/>
      <c r="T2792" s="459"/>
      <c r="U2792" s="459"/>
      <c r="V2792" s="459"/>
      <c r="W2792" s="459"/>
      <c r="X2792" s="459"/>
      <c r="Y2792" s="666"/>
      <c r="Z2792" s="664"/>
      <c r="AA2792" s="665"/>
      <c r="AB2792" s="665"/>
      <c r="AC2792" s="665"/>
      <c r="AD2792" s="665"/>
      <c r="AE2792" s="665"/>
      <c r="AF2792" s="649"/>
      <c r="AG2792" s="650"/>
      <c r="AH2792" s="650"/>
      <c r="AI2792" s="667"/>
    </row>
    <row r="2793" spans="12:35" ht="45" customHeight="1" thickBot="1" x14ac:dyDescent="0.25">
      <c r="L2793" s="645"/>
      <c r="M2793" s="616"/>
      <c r="N2793" s="616"/>
      <c r="O2793" s="616"/>
      <c r="P2793" s="615"/>
      <c r="Q2793" s="616"/>
      <c r="R2793" s="663"/>
      <c r="S2793" s="459"/>
      <c r="T2793" s="459"/>
      <c r="U2793" s="459"/>
      <c r="V2793" s="459"/>
      <c r="W2793" s="459"/>
      <c r="X2793" s="459"/>
      <c r="Y2793" s="666"/>
      <c r="Z2793" s="664"/>
      <c r="AA2793" s="665"/>
      <c r="AB2793" s="665"/>
      <c r="AC2793" s="665"/>
      <c r="AD2793" s="665"/>
      <c r="AE2793" s="665"/>
      <c r="AF2793" s="649"/>
      <c r="AG2793" s="650"/>
      <c r="AH2793" s="650"/>
      <c r="AI2793" s="667"/>
    </row>
    <row r="2794" spans="12:35" ht="45" customHeight="1" thickBot="1" x14ac:dyDescent="0.25">
      <c r="L2794" s="645"/>
      <c r="M2794" s="616"/>
      <c r="N2794" s="616"/>
      <c r="O2794" s="616"/>
      <c r="P2794" s="615"/>
      <c r="Q2794" s="616"/>
      <c r="R2794" s="663"/>
      <c r="S2794" s="459"/>
      <c r="T2794" s="459"/>
      <c r="U2794" s="459"/>
      <c r="V2794" s="459"/>
      <c r="W2794" s="459"/>
      <c r="X2794" s="459"/>
      <c r="Y2794" s="666"/>
      <c r="Z2794" s="664"/>
      <c r="AA2794" s="665"/>
      <c r="AB2794" s="665"/>
      <c r="AC2794" s="665"/>
      <c r="AD2794" s="665"/>
      <c r="AE2794" s="665"/>
      <c r="AF2794" s="649"/>
      <c r="AG2794" s="650"/>
      <c r="AH2794" s="650"/>
      <c r="AI2794" s="667"/>
    </row>
    <row r="2795" spans="12:35" ht="45" customHeight="1" thickBot="1" x14ac:dyDescent="0.25">
      <c r="L2795" s="645"/>
      <c r="M2795" s="616"/>
      <c r="N2795" s="616"/>
      <c r="O2795" s="616"/>
      <c r="P2795" s="615"/>
      <c r="Q2795" s="616"/>
      <c r="R2795" s="663"/>
      <c r="S2795" s="459"/>
      <c r="T2795" s="459"/>
      <c r="U2795" s="459"/>
      <c r="V2795" s="459"/>
      <c r="W2795" s="459"/>
      <c r="X2795" s="459"/>
      <c r="Y2795" s="666"/>
      <c r="Z2795" s="664"/>
      <c r="AA2795" s="665"/>
      <c r="AB2795" s="665"/>
      <c r="AC2795" s="665"/>
      <c r="AD2795" s="665"/>
      <c r="AE2795" s="665"/>
      <c r="AF2795" s="649"/>
      <c r="AG2795" s="650"/>
      <c r="AH2795" s="650"/>
      <c r="AI2795" s="667"/>
    </row>
    <row r="2796" spans="12:35" ht="45" customHeight="1" thickBot="1" x14ac:dyDescent="0.25">
      <c r="L2796" s="645"/>
      <c r="M2796" s="616"/>
      <c r="N2796" s="616"/>
      <c r="O2796" s="616"/>
      <c r="P2796" s="615"/>
      <c r="Q2796" s="616"/>
      <c r="R2796" s="663"/>
      <c r="S2796" s="459"/>
      <c r="T2796" s="459"/>
      <c r="U2796" s="459"/>
      <c r="V2796" s="459"/>
      <c r="W2796" s="459"/>
      <c r="X2796" s="459"/>
      <c r="Y2796" s="666"/>
      <c r="Z2796" s="664"/>
      <c r="AA2796" s="665"/>
      <c r="AB2796" s="665"/>
      <c r="AC2796" s="665"/>
      <c r="AD2796" s="665"/>
      <c r="AE2796" s="665"/>
      <c r="AF2796" s="649"/>
      <c r="AG2796" s="650"/>
      <c r="AH2796" s="650"/>
      <c r="AI2796" s="667"/>
    </row>
    <row r="2797" spans="12:35" ht="45" customHeight="1" thickBot="1" x14ac:dyDescent="0.25">
      <c r="L2797" s="645"/>
      <c r="M2797" s="616"/>
      <c r="N2797" s="616"/>
      <c r="O2797" s="616"/>
      <c r="P2797" s="615"/>
      <c r="Q2797" s="616"/>
      <c r="R2797" s="663"/>
      <c r="S2797" s="459"/>
      <c r="T2797" s="459"/>
      <c r="U2797" s="459"/>
      <c r="V2797" s="459"/>
      <c r="W2797" s="459"/>
      <c r="X2797" s="459"/>
      <c r="Y2797" s="666"/>
      <c r="Z2797" s="664"/>
      <c r="AA2797" s="665"/>
      <c r="AB2797" s="665"/>
      <c r="AC2797" s="665"/>
      <c r="AD2797" s="665"/>
      <c r="AE2797" s="665"/>
      <c r="AF2797" s="649"/>
      <c r="AG2797" s="650"/>
      <c r="AH2797" s="650"/>
      <c r="AI2797" s="667"/>
    </row>
    <row r="2798" spans="12:35" ht="45" customHeight="1" thickBot="1" x14ac:dyDescent="0.25">
      <c r="L2798" s="645"/>
      <c r="M2798" s="616"/>
      <c r="N2798" s="616"/>
      <c r="O2798" s="616"/>
      <c r="P2798" s="615"/>
      <c r="Q2798" s="616"/>
      <c r="R2798" s="663"/>
      <c r="S2798" s="459"/>
      <c r="T2798" s="459"/>
      <c r="U2798" s="459"/>
      <c r="V2798" s="459"/>
      <c r="W2798" s="459"/>
      <c r="X2798" s="459"/>
      <c r="Y2798" s="666"/>
      <c r="Z2798" s="664"/>
      <c r="AA2798" s="665"/>
      <c r="AB2798" s="665"/>
      <c r="AC2798" s="665"/>
      <c r="AD2798" s="665"/>
      <c r="AE2798" s="665"/>
      <c r="AF2798" s="649"/>
      <c r="AG2798" s="650"/>
      <c r="AH2798" s="650"/>
      <c r="AI2798" s="667"/>
    </row>
    <row r="2799" spans="12:35" ht="45" customHeight="1" thickBot="1" x14ac:dyDescent="0.25">
      <c r="L2799" s="645"/>
      <c r="M2799" s="616"/>
      <c r="N2799" s="616"/>
      <c r="O2799" s="616"/>
      <c r="P2799" s="615"/>
      <c r="Q2799" s="616"/>
      <c r="R2799" s="663"/>
      <c r="S2799" s="459"/>
      <c r="T2799" s="459"/>
      <c r="U2799" s="459"/>
      <c r="V2799" s="459"/>
      <c r="W2799" s="459"/>
      <c r="X2799" s="459"/>
      <c r="Y2799" s="666"/>
      <c r="Z2799" s="664"/>
      <c r="AA2799" s="665"/>
      <c r="AB2799" s="665"/>
      <c r="AC2799" s="665"/>
      <c r="AD2799" s="665"/>
      <c r="AE2799" s="665"/>
      <c r="AF2799" s="649"/>
      <c r="AG2799" s="650"/>
      <c r="AH2799" s="650"/>
      <c r="AI2799" s="667"/>
    </row>
    <row r="2800" spans="12:35" ht="45" customHeight="1" thickBot="1" x14ac:dyDescent="0.25">
      <c r="L2800" s="645"/>
      <c r="M2800" s="616"/>
      <c r="N2800" s="616"/>
      <c r="O2800" s="616"/>
      <c r="P2800" s="615"/>
      <c r="Q2800" s="616"/>
      <c r="R2800" s="663"/>
      <c r="S2800" s="459"/>
      <c r="T2800" s="459"/>
      <c r="U2800" s="459"/>
      <c r="V2800" s="459"/>
      <c r="W2800" s="459"/>
      <c r="X2800" s="459"/>
      <c r="Y2800" s="666"/>
      <c r="Z2800" s="664"/>
      <c r="AA2800" s="665"/>
      <c r="AB2800" s="665"/>
      <c r="AC2800" s="665"/>
      <c r="AD2800" s="665"/>
      <c r="AE2800" s="665"/>
      <c r="AF2800" s="649"/>
      <c r="AG2800" s="650"/>
      <c r="AH2800" s="650"/>
      <c r="AI2800" s="667"/>
    </row>
    <row r="2801" spans="12:35" ht="45" customHeight="1" thickBot="1" x14ac:dyDescent="0.25">
      <c r="L2801" s="645"/>
      <c r="M2801" s="616"/>
      <c r="N2801" s="616"/>
      <c r="O2801" s="616"/>
      <c r="P2801" s="615"/>
      <c r="Q2801" s="616"/>
      <c r="R2801" s="663"/>
      <c r="S2801" s="459"/>
      <c r="T2801" s="459"/>
      <c r="U2801" s="459"/>
      <c r="V2801" s="459"/>
      <c r="W2801" s="459"/>
      <c r="X2801" s="459"/>
      <c r="Y2801" s="666"/>
      <c r="Z2801" s="664"/>
      <c r="AA2801" s="665"/>
      <c r="AB2801" s="665"/>
      <c r="AC2801" s="665"/>
      <c r="AD2801" s="665"/>
      <c r="AE2801" s="665"/>
      <c r="AF2801" s="649"/>
      <c r="AG2801" s="650"/>
      <c r="AH2801" s="650"/>
      <c r="AI2801" s="667"/>
    </row>
    <row r="2802" spans="12:35" ht="45" customHeight="1" thickBot="1" x14ac:dyDescent="0.25">
      <c r="L2802" s="645"/>
      <c r="M2802" s="616"/>
      <c r="N2802" s="616"/>
      <c r="O2802" s="616"/>
      <c r="P2802" s="615"/>
      <c r="Q2802" s="616"/>
      <c r="R2802" s="663"/>
      <c r="S2802" s="459"/>
      <c r="T2802" s="459"/>
      <c r="U2802" s="459"/>
      <c r="V2802" s="459"/>
      <c r="W2802" s="459"/>
      <c r="X2802" s="459"/>
      <c r="Y2802" s="666"/>
      <c r="Z2802" s="664"/>
      <c r="AA2802" s="665"/>
      <c r="AB2802" s="665"/>
      <c r="AC2802" s="665"/>
      <c r="AD2802" s="665"/>
      <c r="AE2802" s="665"/>
      <c r="AF2802" s="649"/>
      <c r="AG2802" s="650"/>
      <c r="AH2802" s="650"/>
      <c r="AI2802" s="667"/>
    </row>
    <row r="2803" spans="12:35" ht="45" customHeight="1" thickBot="1" x14ac:dyDescent="0.25">
      <c r="L2803" s="645"/>
      <c r="M2803" s="616"/>
      <c r="N2803" s="616"/>
      <c r="O2803" s="616"/>
      <c r="P2803" s="615"/>
      <c r="Q2803" s="616"/>
      <c r="R2803" s="663"/>
      <c r="S2803" s="459"/>
      <c r="T2803" s="459"/>
      <c r="U2803" s="459"/>
      <c r="V2803" s="459"/>
      <c r="W2803" s="459"/>
      <c r="X2803" s="459"/>
      <c r="Y2803" s="666"/>
      <c r="Z2803" s="664"/>
      <c r="AA2803" s="665"/>
      <c r="AB2803" s="665"/>
      <c r="AC2803" s="665"/>
      <c r="AD2803" s="665"/>
      <c r="AE2803" s="665"/>
      <c r="AF2803" s="649"/>
      <c r="AG2803" s="650"/>
      <c r="AH2803" s="650"/>
      <c r="AI2803" s="667"/>
    </row>
    <row r="2804" spans="12:35" ht="45" customHeight="1" thickBot="1" x14ac:dyDescent="0.25">
      <c r="L2804" s="645"/>
      <c r="M2804" s="616"/>
      <c r="N2804" s="616"/>
      <c r="O2804" s="616"/>
      <c r="P2804" s="615"/>
      <c r="Q2804" s="616"/>
      <c r="R2804" s="663"/>
      <c r="S2804" s="459"/>
      <c r="T2804" s="459"/>
      <c r="U2804" s="459"/>
      <c r="V2804" s="459"/>
      <c r="W2804" s="459"/>
      <c r="X2804" s="459"/>
      <c r="Y2804" s="666"/>
      <c r="Z2804" s="664"/>
      <c r="AA2804" s="665"/>
      <c r="AB2804" s="665"/>
      <c r="AC2804" s="665"/>
      <c r="AD2804" s="665"/>
      <c r="AE2804" s="665"/>
      <c r="AF2804" s="649"/>
      <c r="AG2804" s="650"/>
      <c r="AH2804" s="650"/>
      <c r="AI2804" s="667"/>
    </row>
    <row r="2805" spans="12:35" ht="45" customHeight="1" thickBot="1" x14ac:dyDescent="0.25">
      <c r="L2805" s="645"/>
      <c r="M2805" s="616"/>
      <c r="N2805" s="616"/>
      <c r="O2805" s="616"/>
      <c r="P2805" s="615"/>
      <c r="Q2805" s="616"/>
      <c r="R2805" s="663"/>
      <c r="S2805" s="459"/>
      <c r="T2805" s="459"/>
      <c r="U2805" s="459"/>
      <c r="V2805" s="459"/>
      <c r="W2805" s="459"/>
      <c r="X2805" s="459"/>
      <c r="Y2805" s="666"/>
      <c r="Z2805" s="664"/>
      <c r="AA2805" s="665"/>
      <c r="AB2805" s="665"/>
      <c r="AC2805" s="665"/>
      <c r="AD2805" s="665"/>
      <c r="AE2805" s="665"/>
      <c r="AF2805" s="649"/>
      <c r="AG2805" s="650"/>
      <c r="AH2805" s="650"/>
      <c r="AI2805" s="667"/>
    </row>
    <row r="2806" spans="12:35" ht="45" customHeight="1" thickBot="1" x14ac:dyDescent="0.25">
      <c r="L2806" s="645"/>
      <c r="M2806" s="616"/>
      <c r="N2806" s="616"/>
      <c r="O2806" s="616"/>
      <c r="P2806" s="615"/>
      <c r="Q2806" s="616"/>
      <c r="R2806" s="663"/>
      <c r="S2806" s="459"/>
      <c r="T2806" s="459"/>
      <c r="U2806" s="459"/>
      <c r="V2806" s="459"/>
      <c r="W2806" s="459"/>
      <c r="X2806" s="459"/>
      <c r="Y2806" s="666"/>
      <c r="Z2806" s="664"/>
      <c r="AA2806" s="665"/>
      <c r="AB2806" s="665"/>
      <c r="AC2806" s="665"/>
      <c r="AD2806" s="665"/>
      <c r="AE2806" s="665"/>
      <c r="AF2806" s="649"/>
      <c r="AG2806" s="650"/>
      <c r="AH2806" s="650"/>
      <c r="AI2806" s="667"/>
    </row>
    <row r="2807" spans="12:35" ht="45" customHeight="1" thickBot="1" x14ac:dyDescent="0.25">
      <c r="L2807" s="645"/>
      <c r="M2807" s="616"/>
      <c r="N2807" s="616"/>
      <c r="O2807" s="616"/>
      <c r="P2807" s="615"/>
      <c r="Q2807" s="616"/>
      <c r="R2807" s="663"/>
      <c r="S2807" s="459"/>
      <c r="T2807" s="459"/>
      <c r="U2807" s="459"/>
      <c r="V2807" s="459"/>
      <c r="W2807" s="459"/>
      <c r="X2807" s="459"/>
      <c r="Y2807" s="666"/>
      <c r="Z2807" s="664"/>
      <c r="AA2807" s="665"/>
      <c r="AB2807" s="665"/>
      <c r="AC2807" s="665"/>
      <c r="AD2807" s="665"/>
      <c r="AE2807" s="665"/>
      <c r="AF2807" s="649"/>
      <c r="AG2807" s="650"/>
      <c r="AH2807" s="650"/>
      <c r="AI2807" s="667"/>
    </row>
    <row r="2808" spans="12:35" ht="45" customHeight="1" thickBot="1" x14ac:dyDescent="0.25">
      <c r="L2808" s="645"/>
      <c r="M2808" s="616"/>
      <c r="N2808" s="616"/>
      <c r="O2808" s="616"/>
      <c r="P2808" s="615"/>
      <c r="Q2808" s="616"/>
      <c r="R2808" s="663"/>
      <c r="S2808" s="459"/>
      <c r="T2808" s="459"/>
      <c r="U2808" s="459"/>
      <c r="V2808" s="459"/>
      <c r="W2808" s="459"/>
      <c r="X2808" s="459"/>
      <c r="Y2808" s="666"/>
      <c r="Z2808" s="664"/>
      <c r="AA2808" s="665"/>
      <c r="AB2808" s="665"/>
      <c r="AC2808" s="665"/>
      <c r="AD2808" s="665"/>
      <c r="AE2808" s="665"/>
      <c r="AF2808" s="649"/>
      <c r="AG2808" s="650"/>
      <c r="AH2808" s="650"/>
      <c r="AI2808" s="667"/>
    </row>
    <row r="2809" spans="12:35" ht="45" customHeight="1" thickBot="1" x14ac:dyDescent="0.25">
      <c r="L2809" s="645"/>
      <c r="M2809" s="616"/>
      <c r="N2809" s="616"/>
      <c r="O2809" s="616"/>
      <c r="P2809" s="615"/>
      <c r="Q2809" s="616"/>
      <c r="R2809" s="663"/>
      <c r="S2809" s="459"/>
      <c r="T2809" s="459"/>
      <c r="U2809" s="459"/>
      <c r="V2809" s="459"/>
      <c r="W2809" s="459"/>
      <c r="X2809" s="459"/>
      <c r="Y2809" s="666"/>
      <c r="Z2809" s="664"/>
      <c r="AA2809" s="665"/>
      <c r="AB2809" s="665"/>
      <c r="AC2809" s="665"/>
      <c r="AD2809" s="665"/>
      <c r="AE2809" s="665"/>
      <c r="AF2809" s="649"/>
      <c r="AG2809" s="650"/>
      <c r="AH2809" s="650"/>
      <c r="AI2809" s="667"/>
    </row>
    <row r="2810" spans="12:35" ht="45" customHeight="1" thickBot="1" x14ac:dyDescent="0.25">
      <c r="L2810" s="645"/>
      <c r="M2810" s="616"/>
      <c r="N2810" s="616"/>
      <c r="O2810" s="616"/>
      <c r="P2810" s="615"/>
      <c r="Q2810" s="616"/>
      <c r="R2810" s="663"/>
      <c r="S2810" s="459"/>
      <c r="T2810" s="459"/>
      <c r="U2810" s="459"/>
      <c r="V2810" s="459"/>
      <c r="W2810" s="459"/>
      <c r="X2810" s="459"/>
      <c r="Y2810" s="666"/>
      <c r="Z2810" s="664"/>
      <c r="AA2810" s="665"/>
      <c r="AB2810" s="665"/>
      <c r="AC2810" s="665"/>
      <c r="AD2810" s="665"/>
      <c r="AE2810" s="665"/>
      <c r="AF2810" s="649"/>
      <c r="AG2810" s="650"/>
      <c r="AH2810" s="650"/>
      <c r="AI2810" s="667"/>
    </row>
    <row r="2811" spans="12:35" ht="45" customHeight="1" thickBot="1" x14ac:dyDescent="0.25">
      <c r="L2811" s="645"/>
      <c r="M2811" s="616"/>
      <c r="N2811" s="616"/>
      <c r="O2811" s="616"/>
      <c r="P2811" s="615"/>
      <c r="Q2811" s="616"/>
      <c r="R2811" s="663"/>
      <c r="S2811" s="459"/>
      <c r="T2811" s="459"/>
      <c r="U2811" s="459"/>
      <c r="V2811" s="459"/>
      <c r="W2811" s="459"/>
      <c r="X2811" s="459"/>
      <c r="Y2811" s="666"/>
      <c r="Z2811" s="664"/>
      <c r="AA2811" s="665"/>
      <c r="AB2811" s="665"/>
      <c r="AC2811" s="665"/>
      <c r="AD2811" s="665"/>
      <c r="AE2811" s="665"/>
      <c r="AF2811" s="649"/>
      <c r="AG2811" s="650"/>
      <c r="AH2811" s="650"/>
      <c r="AI2811" s="667"/>
    </row>
    <row r="2812" spans="12:35" ht="45" customHeight="1" thickBot="1" x14ac:dyDescent="0.25">
      <c r="L2812" s="645"/>
      <c r="M2812" s="616"/>
      <c r="N2812" s="616"/>
      <c r="O2812" s="616"/>
      <c r="P2812" s="615"/>
      <c r="Q2812" s="616"/>
      <c r="R2812" s="663"/>
      <c r="S2812" s="459"/>
      <c r="T2812" s="459"/>
      <c r="U2812" s="459"/>
      <c r="V2812" s="459"/>
      <c r="W2812" s="459"/>
      <c r="X2812" s="459"/>
      <c r="Y2812" s="666"/>
      <c r="Z2812" s="664"/>
      <c r="AA2812" s="665"/>
      <c r="AB2812" s="665"/>
      <c r="AC2812" s="665"/>
      <c r="AD2812" s="665"/>
      <c r="AE2812" s="665"/>
      <c r="AF2812" s="649"/>
      <c r="AG2812" s="650"/>
      <c r="AH2812" s="650"/>
      <c r="AI2812" s="667"/>
    </row>
    <row r="2813" spans="12:35" ht="45" customHeight="1" thickBot="1" x14ac:dyDescent="0.25">
      <c r="L2813" s="645"/>
      <c r="M2813" s="616"/>
      <c r="N2813" s="616"/>
      <c r="O2813" s="616"/>
      <c r="P2813" s="615"/>
      <c r="Q2813" s="616"/>
      <c r="R2813" s="663"/>
      <c r="S2813" s="459"/>
      <c r="T2813" s="459"/>
      <c r="U2813" s="459"/>
      <c r="V2813" s="459"/>
      <c r="W2813" s="459"/>
      <c r="X2813" s="459"/>
      <c r="Y2813" s="666"/>
      <c r="Z2813" s="664"/>
      <c r="AA2813" s="665"/>
      <c r="AB2813" s="665"/>
      <c r="AC2813" s="665"/>
      <c r="AD2813" s="665"/>
      <c r="AE2813" s="665"/>
      <c r="AF2813" s="649"/>
      <c r="AG2813" s="650"/>
      <c r="AH2813" s="650"/>
      <c r="AI2813" s="667"/>
    </row>
    <row r="2814" spans="12:35" ht="45" customHeight="1" thickBot="1" x14ac:dyDescent="0.25">
      <c r="L2814" s="645"/>
      <c r="M2814" s="616"/>
      <c r="N2814" s="616"/>
      <c r="O2814" s="616"/>
      <c r="P2814" s="615"/>
      <c r="Q2814" s="616"/>
      <c r="R2814" s="663"/>
      <c r="S2814" s="459"/>
      <c r="T2814" s="459"/>
      <c r="U2814" s="459"/>
      <c r="V2814" s="459"/>
      <c r="W2814" s="459"/>
      <c r="X2814" s="459"/>
      <c r="Y2814" s="666"/>
      <c r="Z2814" s="664"/>
      <c r="AA2814" s="665"/>
      <c r="AB2814" s="665"/>
      <c r="AC2814" s="665"/>
      <c r="AD2814" s="665"/>
      <c r="AE2814" s="665"/>
      <c r="AF2814" s="649"/>
      <c r="AG2814" s="650"/>
      <c r="AH2814" s="650"/>
      <c r="AI2814" s="667"/>
    </row>
    <row r="2815" spans="12:35" ht="45" customHeight="1" thickBot="1" x14ac:dyDescent="0.25">
      <c r="L2815" s="645"/>
      <c r="M2815" s="616"/>
      <c r="N2815" s="616"/>
      <c r="O2815" s="616"/>
      <c r="P2815" s="615"/>
      <c r="Q2815" s="616"/>
      <c r="R2815" s="663"/>
      <c r="S2815" s="459"/>
      <c r="T2815" s="459"/>
      <c r="U2815" s="459"/>
      <c r="V2815" s="459"/>
      <c r="W2815" s="459"/>
      <c r="X2815" s="459"/>
      <c r="Y2815" s="666"/>
      <c r="Z2815" s="664"/>
      <c r="AA2815" s="665"/>
      <c r="AB2815" s="665"/>
      <c r="AC2815" s="665"/>
      <c r="AD2815" s="665"/>
      <c r="AE2815" s="665"/>
      <c r="AF2815" s="649"/>
      <c r="AG2815" s="650"/>
      <c r="AH2815" s="650"/>
      <c r="AI2815" s="667"/>
    </row>
    <row r="2816" spans="12:35" ht="45" customHeight="1" thickBot="1" x14ac:dyDescent="0.25">
      <c r="L2816" s="645"/>
      <c r="M2816" s="616"/>
      <c r="N2816" s="616"/>
      <c r="O2816" s="616"/>
      <c r="P2816" s="615"/>
      <c r="Q2816" s="616"/>
      <c r="R2816" s="663"/>
      <c r="S2816" s="459"/>
      <c r="T2816" s="459"/>
      <c r="U2816" s="459"/>
      <c r="V2816" s="459"/>
      <c r="W2816" s="459"/>
      <c r="X2816" s="459"/>
      <c r="Y2816" s="666"/>
      <c r="Z2816" s="664"/>
      <c r="AA2816" s="665"/>
      <c r="AB2816" s="665"/>
      <c r="AC2816" s="665"/>
      <c r="AD2816" s="665"/>
      <c r="AE2816" s="665"/>
      <c r="AF2816" s="649"/>
      <c r="AG2816" s="650"/>
      <c r="AH2816" s="650"/>
      <c r="AI2816" s="667"/>
    </row>
    <row r="2817" spans="12:35" ht="45" customHeight="1" thickBot="1" x14ac:dyDescent="0.25">
      <c r="L2817" s="645"/>
      <c r="M2817" s="616"/>
      <c r="N2817" s="616"/>
      <c r="O2817" s="616"/>
      <c r="P2817" s="615"/>
      <c r="Q2817" s="616"/>
      <c r="R2817" s="663"/>
      <c r="S2817" s="459"/>
      <c r="T2817" s="459"/>
      <c r="U2817" s="459"/>
      <c r="V2817" s="459"/>
      <c r="W2817" s="459"/>
      <c r="X2817" s="459"/>
      <c r="Y2817" s="666"/>
      <c r="Z2817" s="664"/>
      <c r="AA2817" s="665"/>
      <c r="AB2817" s="665"/>
      <c r="AC2817" s="665"/>
      <c r="AD2817" s="665"/>
      <c r="AE2817" s="665"/>
      <c r="AF2817" s="649"/>
      <c r="AG2817" s="650"/>
      <c r="AH2817" s="650"/>
      <c r="AI2817" s="667"/>
    </row>
    <row r="2818" spans="12:35" ht="45" customHeight="1" thickBot="1" x14ac:dyDescent="0.25">
      <c r="L2818" s="645"/>
      <c r="M2818" s="616"/>
      <c r="N2818" s="616"/>
      <c r="O2818" s="616"/>
      <c r="P2818" s="615"/>
      <c r="Q2818" s="616"/>
      <c r="R2818" s="663"/>
      <c r="S2818" s="459"/>
      <c r="T2818" s="459"/>
      <c r="U2818" s="459"/>
      <c r="V2818" s="459"/>
      <c r="W2818" s="459"/>
      <c r="X2818" s="459"/>
      <c r="Y2818" s="666"/>
      <c r="Z2818" s="664"/>
      <c r="AA2818" s="665"/>
      <c r="AB2818" s="665"/>
      <c r="AC2818" s="665"/>
      <c r="AD2818" s="665"/>
      <c r="AE2818" s="665"/>
      <c r="AF2818" s="649"/>
      <c r="AG2818" s="650"/>
      <c r="AH2818" s="650"/>
      <c r="AI2818" s="667"/>
    </row>
    <row r="2819" spans="12:35" ht="45" customHeight="1" thickBot="1" x14ac:dyDescent="0.25">
      <c r="L2819" s="645"/>
      <c r="M2819" s="616"/>
      <c r="N2819" s="616"/>
      <c r="O2819" s="616"/>
      <c r="P2819" s="615"/>
      <c r="Q2819" s="616"/>
      <c r="R2819" s="663"/>
      <c r="S2819" s="459"/>
      <c r="T2819" s="459"/>
      <c r="U2819" s="459"/>
      <c r="V2819" s="459"/>
      <c r="W2819" s="459"/>
      <c r="X2819" s="459"/>
      <c r="Y2819" s="666"/>
      <c r="Z2819" s="664"/>
      <c r="AA2819" s="665"/>
      <c r="AB2819" s="665"/>
      <c r="AC2819" s="665"/>
      <c r="AD2819" s="665"/>
      <c r="AE2819" s="665"/>
      <c r="AF2819" s="649"/>
      <c r="AG2819" s="650"/>
      <c r="AH2819" s="650"/>
      <c r="AI2819" s="667"/>
    </row>
    <row r="2820" spans="12:35" ht="45" customHeight="1" thickBot="1" x14ac:dyDescent="0.25">
      <c r="L2820" s="645"/>
      <c r="M2820" s="616"/>
      <c r="N2820" s="616"/>
      <c r="O2820" s="616"/>
      <c r="P2820" s="615"/>
      <c r="Q2820" s="616"/>
      <c r="R2820" s="663"/>
      <c r="S2820" s="459"/>
      <c r="T2820" s="459"/>
      <c r="U2820" s="459"/>
      <c r="V2820" s="459"/>
      <c r="W2820" s="459"/>
      <c r="X2820" s="459"/>
      <c r="Y2820" s="666"/>
      <c r="Z2820" s="664"/>
      <c r="AA2820" s="665"/>
      <c r="AB2820" s="665"/>
      <c r="AC2820" s="665"/>
      <c r="AD2820" s="665"/>
      <c r="AE2820" s="665"/>
      <c r="AF2820" s="649"/>
      <c r="AG2820" s="650"/>
      <c r="AH2820" s="650"/>
      <c r="AI2820" s="667"/>
    </row>
    <row r="2821" spans="12:35" ht="45" customHeight="1" thickBot="1" x14ac:dyDescent="0.25">
      <c r="L2821" s="645"/>
      <c r="M2821" s="616"/>
      <c r="N2821" s="616"/>
      <c r="O2821" s="616"/>
      <c r="P2821" s="615"/>
      <c r="Q2821" s="616"/>
      <c r="R2821" s="663"/>
      <c r="S2821" s="459"/>
      <c r="T2821" s="459"/>
      <c r="U2821" s="459"/>
      <c r="V2821" s="459"/>
      <c r="W2821" s="459"/>
      <c r="X2821" s="459"/>
      <c r="Y2821" s="666"/>
      <c r="Z2821" s="664"/>
      <c r="AA2821" s="665"/>
      <c r="AB2821" s="665"/>
      <c r="AC2821" s="665"/>
      <c r="AD2821" s="665"/>
      <c r="AE2821" s="665"/>
      <c r="AF2821" s="649"/>
      <c r="AG2821" s="650"/>
      <c r="AH2821" s="650"/>
      <c r="AI2821" s="667"/>
    </row>
    <row r="2822" spans="12:35" ht="45" customHeight="1" thickBot="1" x14ac:dyDescent="0.25">
      <c r="L2822" s="645"/>
      <c r="M2822" s="616"/>
      <c r="N2822" s="616"/>
      <c r="O2822" s="616"/>
      <c r="P2822" s="615"/>
      <c r="Q2822" s="616"/>
      <c r="R2822" s="663"/>
      <c r="S2822" s="459"/>
      <c r="T2822" s="459"/>
      <c r="U2822" s="459"/>
      <c r="V2822" s="459"/>
      <c r="W2822" s="459"/>
      <c r="X2822" s="459"/>
      <c r="Y2822" s="666"/>
      <c r="Z2822" s="664"/>
      <c r="AA2822" s="665"/>
      <c r="AB2822" s="665"/>
      <c r="AC2822" s="665"/>
      <c r="AD2822" s="665"/>
      <c r="AE2822" s="665"/>
      <c r="AF2822" s="649"/>
      <c r="AG2822" s="650"/>
      <c r="AH2822" s="650"/>
      <c r="AI2822" s="667"/>
    </row>
    <row r="2823" spans="12:35" ht="45" customHeight="1" thickBot="1" x14ac:dyDescent="0.25">
      <c r="L2823" s="645"/>
      <c r="M2823" s="616"/>
      <c r="N2823" s="616"/>
      <c r="O2823" s="616"/>
      <c r="P2823" s="615"/>
      <c r="Q2823" s="616"/>
      <c r="R2823" s="663"/>
      <c r="S2823" s="459"/>
      <c r="T2823" s="459"/>
      <c r="U2823" s="459"/>
      <c r="V2823" s="459"/>
      <c r="W2823" s="459"/>
      <c r="X2823" s="459"/>
      <c r="Y2823" s="666"/>
      <c r="Z2823" s="664"/>
      <c r="AA2823" s="665"/>
      <c r="AB2823" s="665"/>
      <c r="AC2823" s="665"/>
      <c r="AD2823" s="665"/>
      <c r="AE2823" s="665"/>
      <c r="AF2823" s="649"/>
      <c r="AG2823" s="650"/>
      <c r="AH2823" s="650"/>
      <c r="AI2823" s="667"/>
    </row>
    <row r="2824" spans="12:35" ht="45" customHeight="1" thickBot="1" x14ac:dyDescent="0.25">
      <c r="L2824" s="645"/>
      <c r="M2824" s="616"/>
      <c r="N2824" s="616"/>
      <c r="O2824" s="616"/>
      <c r="P2824" s="615"/>
      <c r="Q2824" s="616"/>
      <c r="R2824" s="663"/>
      <c r="S2824" s="459"/>
      <c r="T2824" s="459"/>
      <c r="U2824" s="459"/>
      <c r="V2824" s="459"/>
      <c r="W2824" s="459"/>
      <c r="X2824" s="459"/>
      <c r="Y2824" s="666"/>
      <c r="Z2824" s="664"/>
      <c r="AA2824" s="665"/>
      <c r="AB2824" s="665"/>
      <c r="AC2824" s="665"/>
      <c r="AD2824" s="665"/>
      <c r="AE2824" s="665"/>
      <c r="AF2824" s="649"/>
      <c r="AG2824" s="650"/>
      <c r="AH2824" s="650"/>
      <c r="AI2824" s="667"/>
    </row>
    <row r="2825" spans="12:35" ht="45" customHeight="1" thickBot="1" x14ac:dyDescent="0.25">
      <c r="L2825" s="645"/>
      <c r="M2825" s="616"/>
      <c r="N2825" s="616"/>
      <c r="O2825" s="616"/>
      <c r="P2825" s="615"/>
      <c r="Q2825" s="616"/>
      <c r="R2825" s="663"/>
      <c r="S2825" s="459"/>
      <c r="T2825" s="459"/>
      <c r="U2825" s="459"/>
      <c r="V2825" s="459"/>
      <c r="W2825" s="459"/>
      <c r="X2825" s="459"/>
      <c r="Y2825" s="666"/>
      <c r="Z2825" s="664"/>
      <c r="AA2825" s="665"/>
      <c r="AB2825" s="665"/>
      <c r="AC2825" s="665"/>
      <c r="AD2825" s="665"/>
      <c r="AE2825" s="665"/>
      <c r="AF2825" s="649"/>
      <c r="AG2825" s="650"/>
      <c r="AH2825" s="650"/>
      <c r="AI2825" s="667"/>
    </row>
    <row r="2826" spans="12:35" ht="45" customHeight="1" thickBot="1" x14ac:dyDescent="0.25">
      <c r="L2826" s="645"/>
      <c r="M2826" s="616"/>
      <c r="N2826" s="616"/>
      <c r="O2826" s="616"/>
      <c r="P2826" s="615"/>
      <c r="Q2826" s="616"/>
      <c r="R2826" s="663"/>
      <c r="S2826" s="459"/>
      <c r="T2826" s="459"/>
      <c r="U2826" s="459"/>
      <c r="V2826" s="459"/>
      <c r="W2826" s="459"/>
      <c r="X2826" s="459"/>
      <c r="Y2826" s="666"/>
      <c r="Z2826" s="664"/>
      <c r="AA2826" s="665"/>
      <c r="AB2826" s="665"/>
      <c r="AC2826" s="665"/>
      <c r="AD2826" s="665"/>
      <c r="AE2826" s="665"/>
      <c r="AF2826" s="649"/>
      <c r="AG2826" s="650"/>
      <c r="AH2826" s="650"/>
      <c r="AI2826" s="667"/>
    </row>
    <row r="2827" spans="12:35" ht="45" customHeight="1" thickBot="1" x14ac:dyDescent="0.25">
      <c r="L2827" s="645"/>
      <c r="M2827" s="616"/>
      <c r="N2827" s="616"/>
      <c r="O2827" s="616"/>
      <c r="P2827" s="615"/>
      <c r="Q2827" s="616"/>
      <c r="R2827" s="663"/>
      <c r="S2827" s="459"/>
      <c r="T2827" s="459"/>
      <c r="U2827" s="459"/>
      <c r="V2827" s="459"/>
      <c r="W2827" s="459"/>
      <c r="X2827" s="459"/>
      <c r="Y2827" s="666"/>
      <c r="Z2827" s="664"/>
      <c r="AA2827" s="665"/>
      <c r="AB2827" s="665"/>
      <c r="AC2827" s="665"/>
      <c r="AD2827" s="665"/>
      <c r="AE2827" s="665"/>
      <c r="AF2827" s="649"/>
      <c r="AG2827" s="650"/>
      <c r="AH2827" s="650"/>
      <c r="AI2827" s="667"/>
    </row>
    <row r="2828" spans="12:35" ht="45" customHeight="1" thickBot="1" x14ac:dyDescent="0.25">
      <c r="L2828" s="645"/>
      <c r="M2828" s="616"/>
      <c r="N2828" s="616"/>
      <c r="O2828" s="616"/>
      <c r="P2828" s="615"/>
      <c r="Q2828" s="616"/>
      <c r="R2828" s="663"/>
      <c r="S2828" s="459"/>
      <c r="T2828" s="459"/>
      <c r="U2828" s="459"/>
      <c r="V2828" s="459"/>
      <c r="W2828" s="459"/>
      <c r="X2828" s="459"/>
      <c r="Y2828" s="666"/>
      <c r="Z2828" s="664"/>
      <c r="AA2828" s="665"/>
      <c r="AB2828" s="665"/>
      <c r="AC2828" s="665"/>
      <c r="AD2828" s="665"/>
      <c r="AE2828" s="665"/>
      <c r="AF2828" s="649"/>
      <c r="AG2828" s="650"/>
      <c r="AH2828" s="650"/>
      <c r="AI2828" s="667"/>
    </row>
    <row r="2829" spans="12:35" ht="45" customHeight="1" thickBot="1" x14ac:dyDescent="0.25">
      <c r="L2829" s="645"/>
      <c r="M2829" s="616"/>
      <c r="N2829" s="616"/>
      <c r="O2829" s="616"/>
      <c r="P2829" s="615"/>
      <c r="Q2829" s="616"/>
      <c r="R2829" s="663"/>
      <c r="S2829" s="459"/>
      <c r="T2829" s="459"/>
      <c r="U2829" s="459"/>
      <c r="V2829" s="459"/>
      <c r="W2829" s="459"/>
      <c r="X2829" s="459"/>
      <c r="Y2829" s="666"/>
      <c r="Z2829" s="664"/>
      <c r="AA2829" s="665"/>
      <c r="AB2829" s="665"/>
      <c r="AC2829" s="665"/>
      <c r="AD2829" s="665"/>
      <c r="AE2829" s="665"/>
      <c r="AF2829" s="649"/>
      <c r="AG2829" s="650"/>
      <c r="AH2829" s="650"/>
      <c r="AI2829" s="667"/>
    </row>
    <row r="2830" spans="12:35" ht="45" customHeight="1" thickBot="1" x14ac:dyDescent="0.25">
      <c r="L2830" s="645"/>
      <c r="M2830" s="616"/>
      <c r="N2830" s="616"/>
      <c r="O2830" s="616"/>
      <c r="P2830" s="615"/>
      <c r="Q2830" s="616"/>
      <c r="R2830" s="663"/>
      <c r="S2830" s="459"/>
      <c r="T2830" s="459"/>
      <c r="U2830" s="459"/>
      <c r="V2830" s="459"/>
      <c r="W2830" s="459"/>
      <c r="X2830" s="459"/>
      <c r="Y2830" s="666"/>
      <c r="Z2830" s="664"/>
      <c r="AA2830" s="665"/>
      <c r="AB2830" s="665"/>
      <c r="AC2830" s="665"/>
      <c r="AD2830" s="665"/>
      <c r="AE2830" s="665"/>
      <c r="AF2830" s="649"/>
      <c r="AG2830" s="650"/>
      <c r="AH2830" s="650"/>
      <c r="AI2830" s="667"/>
    </row>
    <row r="2831" spans="12:35" ht="45" customHeight="1" thickBot="1" x14ac:dyDescent="0.25">
      <c r="L2831" s="645"/>
      <c r="M2831" s="616"/>
      <c r="N2831" s="616"/>
      <c r="O2831" s="616"/>
      <c r="P2831" s="615"/>
      <c r="Q2831" s="616"/>
      <c r="R2831" s="663"/>
      <c r="S2831" s="459"/>
      <c r="T2831" s="459"/>
      <c r="U2831" s="459"/>
      <c r="V2831" s="459"/>
      <c r="W2831" s="459"/>
      <c r="X2831" s="459"/>
      <c r="Y2831" s="666"/>
      <c r="Z2831" s="664"/>
      <c r="AA2831" s="665"/>
      <c r="AB2831" s="665"/>
      <c r="AC2831" s="665"/>
      <c r="AD2831" s="665"/>
      <c r="AE2831" s="665"/>
      <c r="AF2831" s="649"/>
      <c r="AG2831" s="650"/>
      <c r="AH2831" s="650"/>
      <c r="AI2831" s="667"/>
    </row>
    <row r="2832" spans="12:35" ht="45" customHeight="1" thickBot="1" x14ac:dyDescent="0.25">
      <c r="L2832" s="645"/>
      <c r="M2832" s="616"/>
      <c r="N2832" s="616"/>
      <c r="O2832" s="616"/>
      <c r="P2832" s="615"/>
      <c r="Q2832" s="616"/>
      <c r="R2832" s="663"/>
      <c r="S2832" s="459"/>
      <c r="T2832" s="459"/>
      <c r="U2832" s="459"/>
      <c r="V2832" s="459"/>
      <c r="W2832" s="459"/>
      <c r="X2832" s="459"/>
      <c r="Y2832" s="666"/>
      <c r="Z2832" s="664"/>
      <c r="AA2832" s="665"/>
      <c r="AB2832" s="665"/>
      <c r="AC2832" s="665"/>
      <c r="AD2832" s="665"/>
      <c r="AE2832" s="665"/>
      <c r="AF2832" s="649"/>
      <c r="AG2832" s="650"/>
      <c r="AH2832" s="650"/>
      <c r="AI2832" s="667"/>
    </row>
    <row r="2833" spans="12:35" ht="45" customHeight="1" thickBot="1" x14ac:dyDescent="0.25">
      <c r="L2833" s="645"/>
      <c r="M2833" s="616"/>
      <c r="N2833" s="616"/>
      <c r="O2833" s="616"/>
      <c r="P2833" s="615"/>
      <c r="Q2833" s="616"/>
      <c r="R2833" s="663"/>
      <c r="S2833" s="459"/>
      <c r="T2833" s="459"/>
      <c r="U2833" s="459"/>
      <c r="V2833" s="459"/>
      <c r="W2833" s="459"/>
      <c r="X2833" s="459"/>
      <c r="Y2833" s="666"/>
      <c r="Z2833" s="664"/>
      <c r="AA2833" s="665"/>
      <c r="AB2833" s="665"/>
      <c r="AC2833" s="665"/>
      <c r="AD2833" s="665"/>
      <c r="AE2833" s="665"/>
      <c r="AF2833" s="649"/>
      <c r="AG2833" s="650"/>
      <c r="AH2833" s="650"/>
      <c r="AI2833" s="667"/>
    </row>
    <row r="2834" spans="12:35" ht="45" customHeight="1" thickBot="1" x14ac:dyDescent="0.25">
      <c r="L2834" s="645"/>
      <c r="M2834" s="616"/>
      <c r="N2834" s="616"/>
      <c r="O2834" s="616"/>
      <c r="P2834" s="615"/>
      <c r="Q2834" s="616"/>
      <c r="R2834" s="663"/>
      <c r="S2834" s="459"/>
      <c r="T2834" s="459"/>
      <c r="U2834" s="459"/>
      <c r="V2834" s="459"/>
      <c r="W2834" s="459"/>
      <c r="X2834" s="459"/>
      <c r="Y2834" s="666"/>
      <c r="Z2834" s="664"/>
      <c r="AA2834" s="665"/>
      <c r="AB2834" s="665"/>
      <c r="AC2834" s="665"/>
      <c r="AD2834" s="665"/>
      <c r="AE2834" s="665"/>
      <c r="AF2834" s="649"/>
      <c r="AG2834" s="650"/>
      <c r="AH2834" s="650"/>
      <c r="AI2834" s="667"/>
    </row>
    <row r="2835" spans="12:35" ht="45" customHeight="1" thickBot="1" x14ac:dyDescent="0.25">
      <c r="L2835" s="645"/>
      <c r="M2835" s="616"/>
      <c r="N2835" s="616"/>
      <c r="O2835" s="616"/>
      <c r="P2835" s="615"/>
      <c r="Q2835" s="616"/>
      <c r="R2835" s="663"/>
      <c r="S2835" s="459"/>
      <c r="T2835" s="459"/>
      <c r="U2835" s="459"/>
      <c r="V2835" s="459"/>
      <c r="W2835" s="459"/>
      <c r="X2835" s="459"/>
      <c r="Y2835" s="666"/>
      <c r="Z2835" s="664"/>
      <c r="AA2835" s="665"/>
      <c r="AB2835" s="665"/>
      <c r="AC2835" s="665"/>
      <c r="AD2835" s="665"/>
      <c r="AE2835" s="665"/>
      <c r="AF2835" s="649"/>
      <c r="AG2835" s="650"/>
      <c r="AH2835" s="650"/>
      <c r="AI2835" s="667"/>
    </row>
    <row r="2836" spans="12:35" ht="45" customHeight="1" thickBot="1" x14ac:dyDescent="0.25">
      <c r="L2836" s="645"/>
      <c r="M2836" s="616"/>
      <c r="N2836" s="616"/>
      <c r="O2836" s="616"/>
      <c r="P2836" s="615"/>
      <c r="Q2836" s="616"/>
      <c r="R2836" s="663"/>
      <c r="S2836" s="459"/>
      <c r="T2836" s="459"/>
      <c r="U2836" s="459"/>
      <c r="V2836" s="459"/>
      <c r="W2836" s="459"/>
      <c r="X2836" s="459"/>
      <c r="Y2836" s="666"/>
      <c r="Z2836" s="664"/>
      <c r="AA2836" s="665"/>
      <c r="AB2836" s="665"/>
      <c r="AC2836" s="665"/>
      <c r="AD2836" s="665"/>
      <c r="AE2836" s="665"/>
      <c r="AF2836" s="649"/>
      <c r="AG2836" s="650"/>
      <c r="AH2836" s="650"/>
      <c r="AI2836" s="667"/>
    </row>
    <row r="2837" spans="12:35" ht="45" customHeight="1" thickBot="1" x14ac:dyDescent="0.25">
      <c r="L2837" s="645"/>
      <c r="M2837" s="616"/>
      <c r="N2837" s="616"/>
      <c r="O2837" s="616"/>
      <c r="P2837" s="615"/>
      <c r="Q2837" s="616"/>
      <c r="R2837" s="663"/>
      <c r="S2837" s="459"/>
      <c r="T2837" s="459"/>
      <c r="U2837" s="459"/>
      <c r="V2837" s="459"/>
      <c r="W2837" s="459"/>
      <c r="X2837" s="459"/>
      <c r="Y2837" s="666"/>
      <c r="Z2837" s="664"/>
      <c r="AA2837" s="665"/>
      <c r="AB2837" s="665"/>
      <c r="AC2837" s="665"/>
      <c r="AD2837" s="665"/>
      <c r="AE2837" s="665"/>
      <c r="AF2837" s="649"/>
      <c r="AG2837" s="650"/>
      <c r="AH2837" s="650"/>
      <c r="AI2837" s="667"/>
    </row>
    <row r="2838" spans="12:35" ht="45" customHeight="1" thickBot="1" x14ac:dyDescent="0.25">
      <c r="L2838" s="645"/>
      <c r="M2838" s="616"/>
      <c r="N2838" s="616"/>
      <c r="O2838" s="616"/>
      <c r="P2838" s="615"/>
      <c r="Q2838" s="616"/>
      <c r="R2838" s="663"/>
      <c r="S2838" s="459"/>
      <c r="T2838" s="459"/>
      <c r="U2838" s="459"/>
      <c r="V2838" s="459"/>
      <c r="W2838" s="459"/>
      <c r="X2838" s="459"/>
      <c r="Y2838" s="666"/>
      <c r="Z2838" s="664"/>
      <c r="AA2838" s="665"/>
      <c r="AB2838" s="665"/>
      <c r="AC2838" s="665"/>
      <c r="AD2838" s="665"/>
      <c r="AE2838" s="665"/>
      <c r="AF2838" s="649"/>
      <c r="AG2838" s="650"/>
      <c r="AH2838" s="650"/>
      <c r="AI2838" s="667"/>
    </row>
    <row r="2839" spans="12:35" ht="45" customHeight="1" thickBot="1" x14ac:dyDescent="0.25">
      <c r="L2839" s="645"/>
      <c r="M2839" s="616"/>
      <c r="N2839" s="616"/>
      <c r="O2839" s="616"/>
      <c r="P2839" s="615"/>
      <c r="Q2839" s="616"/>
      <c r="R2839" s="663"/>
      <c r="S2839" s="459"/>
      <c r="T2839" s="459"/>
      <c r="U2839" s="459"/>
      <c r="V2839" s="459"/>
      <c r="W2839" s="459"/>
      <c r="X2839" s="459"/>
      <c r="Y2839" s="666"/>
      <c r="Z2839" s="664"/>
      <c r="AA2839" s="665"/>
      <c r="AB2839" s="665"/>
      <c r="AC2839" s="665"/>
      <c r="AD2839" s="665"/>
      <c r="AE2839" s="665"/>
      <c r="AF2839" s="649"/>
      <c r="AG2839" s="650"/>
      <c r="AH2839" s="650"/>
      <c r="AI2839" s="667"/>
    </row>
    <row r="2840" spans="12:35" ht="45" customHeight="1" thickBot="1" x14ac:dyDescent="0.25">
      <c r="L2840" s="645"/>
      <c r="M2840" s="616"/>
      <c r="N2840" s="616"/>
      <c r="O2840" s="616"/>
      <c r="P2840" s="615"/>
      <c r="Q2840" s="616"/>
      <c r="R2840" s="663"/>
      <c r="S2840" s="459"/>
      <c r="T2840" s="459"/>
      <c r="U2840" s="459"/>
      <c r="V2840" s="459"/>
      <c r="W2840" s="459"/>
      <c r="X2840" s="459"/>
      <c r="Y2840" s="666"/>
      <c r="Z2840" s="664"/>
      <c r="AA2840" s="665"/>
      <c r="AB2840" s="665"/>
      <c r="AC2840" s="665"/>
      <c r="AD2840" s="665"/>
      <c r="AE2840" s="665"/>
      <c r="AF2840" s="649"/>
      <c r="AG2840" s="650"/>
      <c r="AH2840" s="650"/>
      <c r="AI2840" s="667"/>
    </row>
    <row r="2841" spans="12:35" ht="45" customHeight="1" thickBot="1" x14ac:dyDescent="0.25">
      <c r="L2841" s="645"/>
      <c r="M2841" s="616"/>
      <c r="N2841" s="616"/>
      <c r="O2841" s="616"/>
      <c r="P2841" s="615"/>
      <c r="Q2841" s="616"/>
      <c r="R2841" s="663"/>
      <c r="S2841" s="459"/>
      <c r="T2841" s="459"/>
      <c r="U2841" s="459"/>
      <c r="V2841" s="459"/>
      <c r="W2841" s="459"/>
      <c r="X2841" s="459"/>
      <c r="Y2841" s="666"/>
      <c r="Z2841" s="664"/>
      <c r="AA2841" s="665"/>
      <c r="AB2841" s="665"/>
      <c r="AC2841" s="665"/>
      <c r="AD2841" s="665"/>
      <c r="AE2841" s="665"/>
      <c r="AF2841" s="649"/>
      <c r="AG2841" s="650"/>
      <c r="AH2841" s="650"/>
      <c r="AI2841" s="667"/>
    </row>
    <row r="2842" spans="12:35" ht="45" customHeight="1" thickBot="1" x14ac:dyDescent="0.25">
      <c r="L2842" s="645"/>
      <c r="M2842" s="616"/>
      <c r="N2842" s="616"/>
      <c r="O2842" s="616"/>
      <c r="P2842" s="615"/>
      <c r="Q2842" s="616"/>
      <c r="R2842" s="663"/>
      <c r="S2842" s="459"/>
      <c r="T2842" s="459"/>
      <c r="U2842" s="459"/>
      <c r="V2842" s="459"/>
      <c r="W2842" s="459"/>
      <c r="X2842" s="459"/>
      <c r="Y2842" s="666"/>
      <c r="Z2842" s="664"/>
      <c r="AA2842" s="665"/>
      <c r="AB2842" s="665"/>
      <c r="AC2842" s="665"/>
      <c r="AD2842" s="665"/>
      <c r="AE2842" s="665"/>
      <c r="AF2842" s="649"/>
      <c r="AG2842" s="650"/>
      <c r="AH2842" s="650"/>
      <c r="AI2842" s="667"/>
    </row>
    <row r="2843" spans="12:35" ht="45" customHeight="1" thickBot="1" x14ac:dyDescent="0.25">
      <c r="L2843" s="645"/>
      <c r="M2843" s="616"/>
      <c r="N2843" s="616"/>
      <c r="O2843" s="616"/>
      <c r="P2843" s="615"/>
      <c r="Q2843" s="616"/>
      <c r="R2843" s="663"/>
      <c r="S2843" s="459"/>
      <c r="T2843" s="459"/>
      <c r="U2843" s="459"/>
      <c r="V2843" s="459"/>
      <c r="W2843" s="459"/>
      <c r="X2843" s="459"/>
      <c r="Y2843" s="666"/>
      <c r="Z2843" s="664"/>
      <c r="AA2843" s="665"/>
      <c r="AB2843" s="665"/>
      <c r="AC2843" s="665"/>
      <c r="AD2843" s="665"/>
      <c r="AE2843" s="665"/>
      <c r="AF2843" s="649"/>
      <c r="AG2843" s="650"/>
      <c r="AH2843" s="650"/>
      <c r="AI2843" s="667"/>
    </row>
    <row r="2844" spans="12:35" ht="45" customHeight="1" thickBot="1" x14ac:dyDescent="0.25">
      <c r="L2844" s="645"/>
      <c r="M2844" s="616"/>
      <c r="N2844" s="616"/>
      <c r="O2844" s="616"/>
      <c r="P2844" s="615"/>
      <c r="Q2844" s="616"/>
      <c r="R2844" s="663"/>
      <c r="S2844" s="459"/>
      <c r="T2844" s="459"/>
      <c r="U2844" s="459"/>
      <c r="V2844" s="459"/>
      <c r="W2844" s="459"/>
      <c r="X2844" s="459"/>
      <c r="Y2844" s="666"/>
      <c r="Z2844" s="664"/>
      <c r="AA2844" s="665"/>
      <c r="AB2844" s="665"/>
      <c r="AC2844" s="665"/>
      <c r="AD2844" s="665"/>
      <c r="AE2844" s="665"/>
      <c r="AF2844" s="649"/>
      <c r="AG2844" s="650"/>
      <c r="AH2844" s="650"/>
      <c r="AI2844" s="667"/>
    </row>
    <row r="2845" spans="12:35" ht="45" customHeight="1" thickBot="1" x14ac:dyDescent="0.25">
      <c r="L2845" s="645"/>
      <c r="M2845" s="616"/>
      <c r="N2845" s="616"/>
      <c r="O2845" s="616"/>
      <c r="P2845" s="615"/>
      <c r="Q2845" s="616"/>
      <c r="R2845" s="663"/>
      <c r="S2845" s="459"/>
      <c r="T2845" s="459"/>
      <c r="U2845" s="459"/>
      <c r="V2845" s="459"/>
      <c r="W2845" s="459"/>
      <c r="X2845" s="459"/>
      <c r="Y2845" s="666"/>
      <c r="Z2845" s="664"/>
      <c r="AA2845" s="665"/>
      <c r="AB2845" s="665"/>
      <c r="AC2845" s="665"/>
      <c r="AD2845" s="665"/>
      <c r="AE2845" s="665"/>
      <c r="AF2845" s="649"/>
      <c r="AG2845" s="650"/>
      <c r="AH2845" s="650"/>
      <c r="AI2845" s="667"/>
    </row>
    <row r="2846" spans="12:35" ht="45" customHeight="1" thickBot="1" x14ac:dyDescent="0.25">
      <c r="L2846" s="645"/>
      <c r="M2846" s="616"/>
      <c r="N2846" s="616"/>
      <c r="O2846" s="616"/>
      <c r="P2846" s="615"/>
      <c r="Q2846" s="616"/>
      <c r="R2846" s="663"/>
      <c r="S2846" s="459"/>
      <c r="T2846" s="459"/>
      <c r="U2846" s="459"/>
      <c r="V2846" s="459"/>
      <c r="W2846" s="459"/>
      <c r="X2846" s="459"/>
      <c r="Y2846" s="666"/>
      <c r="Z2846" s="664"/>
      <c r="AA2846" s="665"/>
      <c r="AB2846" s="665"/>
      <c r="AC2846" s="665"/>
      <c r="AD2846" s="665"/>
      <c r="AE2846" s="665"/>
      <c r="AF2846" s="649"/>
      <c r="AG2846" s="650"/>
      <c r="AH2846" s="650"/>
      <c r="AI2846" s="667"/>
    </row>
    <row r="2847" spans="12:35" ht="45" customHeight="1" thickBot="1" x14ac:dyDescent="0.25">
      <c r="L2847" s="645"/>
      <c r="M2847" s="616"/>
      <c r="N2847" s="616"/>
      <c r="O2847" s="616"/>
      <c r="P2847" s="615"/>
      <c r="Q2847" s="616"/>
      <c r="R2847" s="663"/>
      <c r="S2847" s="459"/>
      <c r="T2847" s="459"/>
      <c r="U2847" s="459"/>
      <c r="V2847" s="459"/>
      <c r="W2847" s="459"/>
      <c r="X2847" s="459"/>
      <c r="Y2847" s="666"/>
      <c r="Z2847" s="664"/>
      <c r="AA2847" s="665"/>
      <c r="AB2847" s="665"/>
      <c r="AC2847" s="665"/>
      <c r="AD2847" s="665"/>
      <c r="AE2847" s="665"/>
      <c r="AF2847" s="649"/>
      <c r="AG2847" s="650"/>
      <c r="AH2847" s="650"/>
      <c r="AI2847" s="667"/>
    </row>
    <row r="2848" spans="12:35" ht="45" customHeight="1" thickBot="1" x14ac:dyDescent="0.25">
      <c r="L2848" s="645"/>
      <c r="M2848" s="616"/>
      <c r="N2848" s="616"/>
      <c r="O2848" s="616"/>
      <c r="P2848" s="615"/>
      <c r="Q2848" s="616"/>
      <c r="R2848" s="663"/>
      <c r="S2848" s="459"/>
      <c r="T2848" s="459"/>
      <c r="U2848" s="459"/>
      <c r="V2848" s="459"/>
      <c r="W2848" s="459"/>
      <c r="X2848" s="459"/>
      <c r="Y2848" s="666"/>
      <c r="Z2848" s="664"/>
      <c r="AA2848" s="665"/>
      <c r="AB2848" s="665"/>
      <c r="AC2848" s="665"/>
      <c r="AD2848" s="665"/>
      <c r="AE2848" s="665"/>
      <c r="AF2848" s="649"/>
      <c r="AG2848" s="650"/>
      <c r="AH2848" s="650"/>
      <c r="AI2848" s="667"/>
    </row>
    <row r="2849" spans="12:35" ht="45" customHeight="1" thickBot="1" x14ac:dyDescent="0.25">
      <c r="L2849" s="645"/>
      <c r="M2849" s="616"/>
      <c r="N2849" s="616"/>
      <c r="O2849" s="616"/>
      <c r="P2849" s="615"/>
      <c r="Q2849" s="616"/>
      <c r="R2849" s="663"/>
      <c r="S2849" s="459"/>
      <c r="T2849" s="459"/>
      <c r="U2849" s="459"/>
      <c r="V2849" s="459"/>
      <c r="W2849" s="459"/>
      <c r="X2849" s="459"/>
      <c r="Y2849" s="666"/>
      <c r="Z2849" s="664"/>
      <c r="AA2849" s="665"/>
      <c r="AB2849" s="665"/>
      <c r="AC2849" s="665"/>
      <c r="AD2849" s="665"/>
      <c r="AE2849" s="665"/>
      <c r="AF2849" s="649"/>
      <c r="AG2849" s="650"/>
      <c r="AH2849" s="650"/>
      <c r="AI2849" s="667"/>
    </row>
    <row r="2850" spans="12:35" ht="45" customHeight="1" thickBot="1" x14ac:dyDescent="0.25">
      <c r="L2850" s="645"/>
      <c r="M2850" s="616"/>
      <c r="N2850" s="616"/>
      <c r="O2850" s="616"/>
      <c r="P2850" s="615"/>
      <c r="Q2850" s="616"/>
      <c r="R2850" s="663"/>
      <c r="S2850" s="459"/>
      <c r="T2850" s="459"/>
      <c r="U2850" s="459"/>
      <c r="V2850" s="459"/>
      <c r="W2850" s="459"/>
      <c r="X2850" s="459"/>
      <c r="Y2850" s="666"/>
      <c r="Z2850" s="664"/>
      <c r="AA2850" s="665"/>
      <c r="AB2850" s="665"/>
      <c r="AC2850" s="665"/>
      <c r="AD2850" s="665"/>
      <c r="AE2850" s="665"/>
      <c r="AF2850" s="649"/>
      <c r="AG2850" s="650"/>
      <c r="AH2850" s="650"/>
      <c r="AI2850" s="667"/>
    </row>
    <row r="2851" spans="12:35" ht="45" customHeight="1" thickBot="1" x14ac:dyDescent="0.25">
      <c r="L2851" s="645"/>
      <c r="M2851" s="616"/>
      <c r="N2851" s="616"/>
      <c r="O2851" s="616"/>
      <c r="P2851" s="615"/>
      <c r="Q2851" s="616"/>
      <c r="R2851" s="663"/>
      <c r="S2851" s="459"/>
      <c r="T2851" s="459"/>
      <c r="U2851" s="459"/>
      <c r="V2851" s="459"/>
      <c r="W2851" s="459"/>
      <c r="X2851" s="459"/>
      <c r="Y2851" s="666"/>
      <c r="Z2851" s="664"/>
      <c r="AA2851" s="665"/>
      <c r="AB2851" s="665"/>
      <c r="AC2851" s="665"/>
      <c r="AD2851" s="665"/>
      <c r="AE2851" s="665"/>
      <c r="AF2851" s="649"/>
      <c r="AG2851" s="650"/>
      <c r="AH2851" s="650"/>
      <c r="AI2851" s="667"/>
    </row>
    <row r="2852" spans="12:35" ht="45" customHeight="1" thickBot="1" x14ac:dyDescent="0.25">
      <c r="L2852" s="645"/>
      <c r="M2852" s="616"/>
      <c r="N2852" s="616"/>
      <c r="O2852" s="616"/>
      <c r="P2852" s="615"/>
      <c r="Q2852" s="616"/>
      <c r="R2852" s="663"/>
      <c r="S2852" s="459"/>
      <c r="T2852" s="459"/>
      <c r="U2852" s="459"/>
      <c r="V2852" s="459"/>
      <c r="W2852" s="459"/>
      <c r="X2852" s="459"/>
      <c r="Y2852" s="666"/>
      <c r="Z2852" s="664"/>
      <c r="AA2852" s="665"/>
      <c r="AB2852" s="665"/>
      <c r="AC2852" s="665"/>
      <c r="AD2852" s="665"/>
      <c r="AE2852" s="665"/>
      <c r="AF2852" s="649"/>
      <c r="AG2852" s="650"/>
      <c r="AH2852" s="650"/>
      <c r="AI2852" s="667"/>
    </row>
    <row r="2853" spans="12:35" ht="45" customHeight="1" thickBot="1" x14ac:dyDescent="0.25">
      <c r="L2853" s="645"/>
      <c r="M2853" s="616"/>
      <c r="N2853" s="616"/>
      <c r="O2853" s="616"/>
      <c r="P2853" s="615"/>
      <c r="Q2853" s="616"/>
      <c r="R2853" s="663"/>
      <c r="S2853" s="459"/>
      <c r="T2853" s="459"/>
      <c r="U2853" s="459"/>
      <c r="V2853" s="459"/>
      <c r="W2853" s="459"/>
      <c r="X2853" s="459"/>
      <c r="Y2853" s="666"/>
      <c r="Z2853" s="664"/>
      <c r="AA2853" s="665"/>
      <c r="AB2853" s="665"/>
      <c r="AC2853" s="665"/>
      <c r="AD2853" s="665"/>
      <c r="AE2853" s="665"/>
      <c r="AF2853" s="649"/>
      <c r="AG2853" s="650"/>
      <c r="AH2853" s="650"/>
      <c r="AI2853" s="667"/>
    </row>
    <row r="2854" spans="12:35" ht="45" customHeight="1" thickBot="1" x14ac:dyDescent="0.25">
      <c r="L2854" s="645"/>
      <c r="M2854" s="616"/>
      <c r="N2854" s="616"/>
      <c r="O2854" s="616"/>
      <c r="P2854" s="615"/>
      <c r="Q2854" s="616"/>
      <c r="R2854" s="663"/>
      <c r="S2854" s="459"/>
      <c r="T2854" s="459"/>
      <c r="U2854" s="459"/>
      <c r="V2854" s="459"/>
      <c r="W2854" s="459"/>
      <c r="X2854" s="459"/>
      <c r="Y2854" s="666"/>
      <c r="Z2854" s="664"/>
      <c r="AA2854" s="665"/>
      <c r="AB2854" s="665"/>
      <c r="AC2854" s="665"/>
      <c r="AD2854" s="665"/>
      <c r="AE2854" s="665"/>
      <c r="AF2854" s="649"/>
      <c r="AG2854" s="650"/>
      <c r="AH2854" s="650"/>
      <c r="AI2854" s="667"/>
    </row>
    <row r="2855" spans="12:35" ht="45" customHeight="1" thickBot="1" x14ac:dyDescent="0.25">
      <c r="L2855" s="645"/>
      <c r="M2855" s="616"/>
      <c r="N2855" s="616"/>
      <c r="O2855" s="616"/>
      <c r="P2855" s="615"/>
      <c r="Q2855" s="616"/>
      <c r="R2855" s="663"/>
      <c r="S2855" s="459"/>
      <c r="T2855" s="459"/>
      <c r="U2855" s="459"/>
      <c r="V2855" s="459"/>
      <c r="W2855" s="459"/>
      <c r="X2855" s="459"/>
      <c r="Y2855" s="666"/>
      <c r="Z2855" s="664"/>
      <c r="AA2855" s="665"/>
      <c r="AB2855" s="665"/>
      <c r="AC2855" s="665"/>
      <c r="AD2855" s="665"/>
      <c r="AE2855" s="665"/>
      <c r="AF2855" s="649"/>
      <c r="AG2855" s="650"/>
      <c r="AH2855" s="650"/>
      <c r="AI2855" s="667"/>
    </row>
    <row r="2856" spans="12:35" ht="45" customHeight="1" thickBot="1" x14ac:dyDescent="0.25">
      <c r="L2856" s="645"/>
      <c r="M2856" s="616"/>
      <c r="N2856" s="616"/>
      <c r="O2856" s="616"/>
      <c r="P2856" s="615"/>
      <c r="Q2856" s="616"/>
      <c r="R2856" s="663"/>
      <c r="S2856" s="459"/>
      <c r="T2856" s="459"/>
      <c r="U2856" s="459"/>
      <c r="V2856" s="459"/>
      <c r="W2856" s="459"/>
      <c r="X2856" s="459"/>
      <c r="Y2856" s="666"/>
      <c r="Z2856" s="664"/>
      <c r="AA2856" s="665"/>
      <c r="AB2856" s="665"/>
      <c r="AC2856" s="665"/>
      <c r="AD2856" s="665"/>
      <c r="AE2856" s="665"/>
      <c r="AF2856" s="649"/>
      <c r="AG2856" s="650"/>
      <c r="AH2856" s="650"/>
      <c r="AI2856" s="667"/>
    </row>
    <row r="2857" spans="12:35" ht="45" customHeight="1" thickBot="1" x14ac:dyDescent="0.25">
      <c r="L2857" s="645"/>
      <c r="M2857" s="616"/>
      <c r="N2857" s="616"/>
      <c r="O2857" s="616"/>
      <c r="P2857" s="615"/>
      <c r="Q2857" s="616"/>
      <c r="R2857" s="663"/>
      <c r="S2857" s="459"/>
      <c r="T2857" s="459"/>
      <c r="U2857" s="459"/>
      <c r="V2857" s="459"/>
      <c r="W2857" s="459"/>
      <c r="X2857" s="459"/>
      <c r="Y2857" s="666"/>
      <c r="Z2857" s="664"/>
      <c r="AA2857" s="665"/>
      <c r="AB2857" s="665"/>
      <c r="AC2857" s="665"/>
      <c r="AD2857" s="665"/>
      <c r="AE2857" s="665"/>
      <c r="AF2857" s="649"/>
      <c r="AG2857" s="650"/>
      <c r="AH2857" s="650"/>
      <c r="AI2857" s="667"/>
    </row>
    <row r="2858" spans="12:35" ht="45" customHeight="1" thickBot="1" x14ac:dyDescent="0.25">
      <c r="L2858" s="645"/>
      <c r="M2858" s="616"/>
      <c r="N2858" s="616"/>
      <c r="O2858" s="616"/>
      <c r="P2858" s="615"/>
      <c r="Q2858" s="616"/>
      <c r="R2858" s="663"/>
      <c r="S2858" s="459"/>
      <c r="T2858" s="459"/>
      <c r="U2858" s="459"/>
      <c r="V2858" s="459"/>
      <c r="W2858" s="459"/>
      <c r="X2858" s="459"/>
      <c r="Y2858" s="666"/>
      <c r="Z2858" s="664"/>
      <c r="AA2858" s="665"/>
      <c r="AB2858" s="665"/>
      <c r="AC2858" s="665"/>
      <c r="AD2858" s="665"/>
      <c r="AE2858" s="665"/>
      <c r="AF2858" s="649"/>
      <c r="AG2858" s="650"/>
      <c r="AH2858" s="650"/>
      <c r="AI2858" s="667"/>
    </row>
    <row r="2859" spans="12:35" ht="45" customHeight="1" thickBot="1" x14ac:dyDescent="0.25">
      <c r="L2859" s="645"/>
      <c r="M2859" s="616"/>
      <c r="N2859" s="616"/>
      <c r="O2859" s="616"/>
      <c r="P2859" s="615"/>
      <c r="Q2859" s="616"/>
      <c r="R2859" s="663"/>
      <c r="S2859" s="459"/>
      <c r="T2859" s="459"/>
      <c r="U2859" s="459"/>
      <c r="V2859" s="459"/>
      <c r="W2859" s="459"/>
      <c r="X2859" s="459"/>
      <c r="Y2859" s="666"/>
      <c r="Z2859" s="664"/>
      <c r="AA2859" s="665"/>
      <c r="AB2859" s="665"/>
      <c r="AC2859" s="665"/>
      <c r="AD2859" s="665"/>
      <c r="AE2859" s="665"/>
      <c r="AF2859" s="649"/>
      <c r="AG2859" s="650"/>
      <c r="AH2859" s="650"/>
      <c r="AI2859" s="667"/>
    </row>
    <row r="2860" spans="12:35" ht="45" customHeight="1" thickBot="1" x14ac:dyDescent="0.25">
      <c r="L2860" s="645"/>
      <c r="M2860" s="616"/>
      <c r="N2860" s="616"/>
      <c r="O2860" s="616"/>
      <c r="P2860" s="615"/>
      <c r="Q2860" s="616"/>
      <c r="R2860" s="663"/>
      <c r="S2860" s="459"/>
      <c r="T2860" s="459"/>
      <c r="U2860" s="459"/>
      <c r="V2860" s="459"/>
      <c r="W2860" s="459"/>
      <c r="X2860" s="459"/>
      <c r="Y2860" s="666"/>
      <c r="Z2860" s="664"/>
      <c r="AA2860" s="665"/>
      <c r="AB2860" s="665"/>
      <c r="AC2860" s="665"/>
      <c r="AD2860" s="665"/>
      <c r="AE2860" s="665"/>
      <c r="AF2860" s="649"/>
      <c r="AG2860" s="650"/>
      <c r="AH2860" s="650"/>
      <c r="AI2860" s="667"/>
    </row>
    <row r="2861" spans="12:35" ht="45" customHeight="1" thickBot="1" x14ac:dyDescent="0.25">
      <c r="L2861" s="645"/>
      <c r="M2861" s="616"/>
      <c r="N2861" s="616"/>
      <c r="O2861" s="616"/>
      <c r="P2861" s="615"/>
      <c r="Q2861" s="616"/>
      <c r="R2861" s="663"/>
      <c r="S2861" s="459"/>
      <c r="T2861" s="459"/>
      <c r="U2861" s="459"/>
      <c r="V2861" s="459"/>
      <c r="W2861" s="459"/>
      <c r="X2861" s="459"/>
      <c r="Y2861" s="666"/>
      <c r="Z2861" s="664"/>
      <c r="AA2861" s="665"/>
      <c r="AB2861" s="665"/>
      <c r="AC2861" s="665"/>
      <c r="AD2861" s="665"/>
      <c r="AE2861" s="665"/>
      <c r="AF2861" s="649"/>
      <c r="AG2861" s="650"/>
      <c r="AH2861" s="650"/>
      <c r="AI2861" s="667"/>
    </row>
    <row r="2862" spans="12:35" ht="45" customHeight="1" thickBot="1" x14ac:dyDescent="0.25">
      <c r="L2862" s="645"/>
      <c r="M2862" s="616"/>
      <c r="N2862" s="616"/>
      <c r="O2862" s="616"/>
      <c r="P2862" s="615"/>
      <c r="Q2862" s="616"/>
      <c r="R2862" s="663"/>
      <c r="S2862" s="459"/>
      <c r="T2862" s="459"/>
      <c r="U2862" s="459"/>
      <c r="V2862" s="459"/>
      <c r="W2862" s="459"/>
      <c r="X2862" s="459"/>
      <c r="Y2862" s="666"/>
      <c r="Z2862" s="664"/>
      <c r="AA2862" s="665"/>
      <c r="AB2862" s="665"/>
      <c r="AC2862" s="665"/>
      <c r="AD2862" s="665"/>
      <c r="AE2862" s="665"/>
      <c r="AF2862" s="649"/>
      <c r="AG2862" s="650"/>
      <c r="AH2862" s="650"/>
      <c r="AI2862" s="667"/>
    </row>
    <row r="2863" spans="12:35" ht="45" customHeight="1" thickBot="1" x14ac:dyDescent="0.25">
      <c r="L2863" s="645"/>
      <c r="M2863" s="616"/>
      <c r="N2863" s="616"/>
      <c r="O2863" s="616"/>
      <c r="P2863" s="615"/>
      <c r="Q2863" s="616"/>
      <c r="R2863" s="663"/>
      <c r="S2863" s="459"/>
      <c r="T2863" s="459"/>
      <c r="U2863" s="459"/>
      <c r="V2863" s="459"/>
      <c r="W2863" s="459"/>
      <c r="X2863" s="459"/>
      <c r="Y2863" s="666"/>
      <c r="Z2863" s="664"/>
      <c r="AA2863" s="665"/>
      <c r="AB2863" s="665"/>
      <c r="AC2863" s="665"/>
      <c r="AD2863" s="665"/>
      <c r="AE2863" s="665"/>
      <c r="AF2863" s="649"/>
      <c r="AG2863" s="650"/>
      <c r="AH2863" s="650"/>
      <c r="AI2863" s="667"/>
    </row>
    <row r="2864" spans="12:35" ht="45" customHeight="1" thickBot="1" x14ac:dyDescent="0.25">
      <c r="L2864" s="645"/>
      <c r="M2864" s="616"/>
      <c r="N2864" s="616"/>
      <c r="O2864" s="616"/>
      <c r="P2864" s="615"/>
      <c r="Q2864" s="616"/>
      <c r="R2864" s="663"/>
      <c r="S2864" s="459"/>
      <c r="T2864" s="459"/>
      <c r="U2864" s="459"/>
      <c r="V2864" s="459"/>
      <c r="W2864" s="459"/>
      <c r="X2864" s="459"/>
      <c r="Y2864" s="666"/>
      <c r="Z2864" s="664"/>
      <c r="AA2864" s="665"/>
      <c r="AB2864" s="665"/>
      <c r="AC2864" s="665"/>
      <c r="AD2864" s="665"/>
      <c r="AE2864" s="665"/>
      <c r="AF2864" s="649"/>
      <c r="AG2864" s="650"/>
      <c r="AH2864" s="650"/>
      <c r="AI2864" s="667"/>
    </row>
    <row r="2865" spans="12:35" ht="45" customHeight="1" thickBot="1" x14ac:dyDescent="0.25">
      <c r="L2865" s="645"/>
      <c r="M2865" s="616"/>
      <c r="N2865" s="616"/>
      <c r="O2865" s="616"/>
      <c r="P2865" s="615"/>
      <c r="Q2865" s="616"/>
      <c r="R2865" s="663"/>
      <c r="S2865" s="459"/>
      <c r="T2865" s="459"/>
      <c r="U2865" s="459"/>
      <c r="V2865" s="459"/>
      <c r="W2865" s="459"/>
      <c r="X2865" s="459"/>
      <c r="Y2865" s="666"/>
      <c r="Z2865" s="664"/>
      <c r="AA2865" s="665"/>
      <c r="AB2865" s="665"/>
      <c r="AC2865" s="665"/>
      <c r="AD2865" s="665"/>
      <c r="AE2865" s="665"/>
      <c r="AF2865" s="649"/>
      <c r="AG2865" s="650"/>
      <c r="AH2865" s="650"/>
      <c r="AI2865" s="667"/>
    </row>
    <row r="2866" spans="12:35" ht="45" customHeight="1" thickBot="1" x14ac:dyDescent="0.25">
      <c r="L2866" s="645"/>
      <c r="M2866" s="616"/>
      <c r="N2866" s="616"/>
      <c r="O2866" s="616"/>
      <c r="P2866" s="615"/>
      <c r="Q2866" s="616"/>
      <c r="R2866" s="663"/>
      <c r="S2866" s="459"/>
      <c r="T2866" s="459"/>
      <c r="U2866" s="459"/>
      <c r="V2866" s="459"/>
      <c r="W2866" s="459"/>
      <c r="X2866" s="459"/>
      <c r="Y2866" s="666"/>
      <c r="Z2866" s="664"/>
      <c r="AA2866" s="665"/>
      <c r="AB2866" s="665"/>
      <c r="AC2866" s="665"/>
      <c r="AD2866" s="665"/>
      <c r="AE2866" s="665"/>
      <c r="AF2866" s="649"/>
      <c r="AG2866" s="650"/>
      <c r="AH2866" s="650"/>
      <c r="AI2866" s="667"/>
    </row>
    <row r="2867" spans="12:35" ht="45" customHeight="1" thickBot="1" x14ac:dyDescent="0.25">
      <c r="L2867" s="645"/>
      <c r="M2867" s="616"/>
      <c r="N2867" s="616"/>
      <c r="O2867" s="616"/>
      <c r="P2867" s="615"/>
      <c r="Q2867" s="616"/>
      <c r="R2867" s="663"/>
      <c r="S2867" s="459"/>
      <c r="T2867" s="459"/>
      <c r="U2867" s="459"/>
      <c r="V2867" s="459"/>
      <c r="W2867" s="459"/>
      <c r="X2867" s="459"/>
      <c r="Y2867" s="666"/>
      <c r="Z2867" s="664"/>
      <c r="AA2867" s="665"/>
      <c r="AB2867" s="665"/>
      <c r="AC2867" s="665"/>
      <c r="AD2867" s="665"/>
      <c r="AE2867" s="665"/>
      <c r="AF2867" s="649"/>
      <c r="AG2867" s="650"/>
      <c r="AH2867" s="650"/>
      <c r="AI2867" s="667"/>
    </row>
    <row r="2868" spans="12:35" ht="45" customHeight="1" thickBot="1" x14ac:dyDescent="0.25">
      <c r="L2868" s="645"/>
      <c r="M2868" s="616"/>
      <c r="N2868" s="616"/>
      <c r="O2868" s="616"/>
      <c r="P2868" s="615"/>
      <c r="Q2868" s="616"/>
      <c r="R2868" s="663"/>
      <c r="S2868" s="459"/>
      <c r="T2868" s="459"/>
      <c r="U2868" s="459"/>
      <c r="V2868" s="459"/>
      <c r="W2868" s="459"/>
      <c r="X2868" s="459"/>
      <c r="Y2868" s="666"/>
      <c r="Z2868" s="664"/>
      <c r="AA2868" s="665"/>
      <c r="AB2868" s="665"/>
      <c r="AC2868" s="665"/>
      <c r="AD2868" s="665"/>
      <c r="AE2868" s="665"/>
      <c r="AF2868" s="649"/>
      <c r="AG2868" s="650"/>
      <c r="AH2868" s="650"/>
      <c r="AI2868" s="667"/>
    </row>
    <row r="2869" spans="12:35" ht="45" customHeight="1" thickBot="1" x14ac:dyDescent="0.25">
      <c r="L2869" s="645"/>
      <c r="M2869" s="616"/>
      <c r="N2869" s="616"/>
      <c r="O2869" s="616"/>
      <c r="P2869" s="615"/>
      <c r="Q2869" s="616"/>
      <c r="R2869" s="663"/>
      <c r="S2869" s="459"/>
      <c r="T2869" s="459"/>
      <c r="U2869" s="459"/>
      <c r="V2869" s="459"/>
      <c r="W2869" s="459"/>
      <c r="X2869" s="459"/>
      <c r="Y2869" s="666"/>
      <c r="Z2869" s="664"/>
      <c r="AA2869" s="665"/>
      <c r="AB2869" s="665"/>
      <c r="AC2869" s="665"/>
      <c r="AD2869" s="665"/>
      <c r="AE2869" s="665"/>
      <c r="AF2869" s="649"/>
      <c r="AG2869" s="650"/>
      <c r="AH2869" s="650"/>
      <c r="AI2869" s="667"/>
    </row>
    <row r="2870" spans="12:35" ht="45" customHeight="1" thickBot="1" x14ac:dyDescent="0.25">
      <c r="L2870" s="645"/>
      <c r="M2870" s="616"/>
      <c r="N2870" s="616"/>
      <c r="O2870" s="616"/>
      <c r="P2870" s="615"/>
      <c r="Q2870" s="616"/>
      <c r="R2870" s="663"/>
      <c r="S2870" s="459"/>
      <c r="T2870" s="459"/>
      <c r="U2870" s="459"/>
      <c r="V2870" s="459"/>
      <c r="W2870" s="459"/>
      <c r="X2870" s="459"/>
      <c r="Y2870" s="666"/>
      <c r="Z2870" s="664"/>
      <c r="AA2870" s="665"/>
      <c r="AB2870" s="665"/>
      <c r="AC2870" s="665"/>
      <c r="AD2870" s="665"/>
      <c r="AE2870" s="665"/>
      <c r="AF2870" s="649"/>
      <c r="AG2870" s="650"/>
      <c r="AH2870" s="650"/>
      <c r="AI2870" s="667"/>
    </row>
    <row r="2871" spans="12:35" ht="45" customHeight="1" thickBot="1" x14ac:dyDescent="0.25">
      <c r="L2871" s="645"/>
      <c r="M2871" s="616"/>
      <c r="N2871" s="616"/>
      <c r="O2871" s="616"/>
      <c r="P2871" s="615"/>
      <c r="Q2871" s="616"/>
      <c r="R2871" s="663"/>
      <c r="S2871" s="459"/>
      <c r="T2871" s="459"/>
      <c r="U2871" s="459"/>
      <c r="V2871" s="459"/>
      <c r="W2871" s="459"/>
      <c r="X2871" s="459"/>
      <c r="Y2871" s="666"/>
      <c r="Z2871" s="664"/>
      <c r="AA2871" s="665"/>
      <c r="AB2871" s="665"/>
      <c r="AC2871" s="665"/>
      <c r="AD2871" s="665"/>
      <c r="AE2871" s="665"/>
      <c r="AF2871" s="649"/>
      <c r="AG2871" s="650"/>
      <c r="AH2871" s="650"/>
      <c r="AI2871" s="667"/>
    </row>
    <row r="2872" spans="12:35" ht="45" customHeight="1" thickBot="1" x14ac:dyDescent="0.25">
      <c r="L2872" s="645"/>
      <c r="M2872" s="616"/>
      <c r="N2872" s="616"/>
      <c r="O2872" s="616"/>
      <c r="P2872" s="615"/>
      <c r="Q2872" s="616"/>
      <c r="R2872" s="663"/>
      <c r="S2872" s="459"/>
      <c r="T2872" s="459"/>
      <c r="U2872" s="459"/>
      <c r="V2872" s="459"/>
      <c r="W2872" s="459"/>
      <c r="X2872" s="459"/>
      <c r="Y2872" s="666"/>
      <c r="Z2872" s="664"/>
      <c r="AA2872" s="665"/>
      <c r="AB2872" s="665"/>
      <c r="AC2872" s="665"/>
      <c r="AD2872" s="665"/>
      <c r="AE2872" s="665"/>
      <c r="AF2872" s="649"/>
      <c r="AG2872" s="650"/>
      <c r="AH2872" s="650"/>
      <c r="AI2872" s="667"/>
    </row>
    <row r="2873" spans="12:35" ht="45" customHeight="1" thickBot="1" x14ac:dyDescent="0.25">
      <c r="L2873" s="645"/>
      <c r="M2873" s="616"/>
      <c r="N2873" s="616"/>
      <c r="O2873" s="616"/>
      <c r="P2873" s="615"/>
      <c r="Q2873" s="616"/>
      <c r="R2873" s="663"/>
      <c r="S2873" s="459"/>
      <c r="T2873" s="459"/>
      <c r="U2873" s="459"/>
      <c r="V2873" s="459"/>
      <c r="W2873" s="459"/>
      <c r="X2873" s="459"/>
      <c r="Y2873" s="666"/>
      <c r="Z2873" s="664"/>
      <c r="AA2873" s="665"/>
      <c r="AB2873" s="665"/>
      <c r="AC2873" s="665"/>
      <c r="AD2873" s="665"/>
      <c r="AE2873" s="665"/>
      <c r="AF2873" s="649"/>
      <c r="AG2873" s="650"/>
      <c r="AH2873" s="650"/>
      <c r="AI2873" s="667"/>
    </row>
    <row r="2874" spans="12:35" ht="45" customHeight="1" thickBot="1" x14ac:dyDescent="0.25">
      <c r="L2874" s="645"/>
      <c r="M2874" s="616"/>
      <c r="N2874" s="616"/>
      <c r="O2874" s="616"/>
      <c r="P2874" s="615"/>
      <c r="Q2874" s="616"/>
      <c r="R2874" s="663"/>
      <c r="S2874" s="459"/>
      <c r="T2874" s="459"/>
      <c r="U2874" s="459"/>
      <c r="V2874" s="459"/>
      <c r="W2874" s="459"/>
      <c r="X2874" s="459"/>
      <c r="Y2874" s="666"/>
      <c r="Z2874" s="664"/>
      <c r="AA2874" s="665"/>
      <c r="AB2874" s="665"/>
      <c r="AC2874" s="665"/>
      <c r="AD2874" s="665"/>
      <c r="AE2874" s="665"/>
      <c r="AF2874" s="649"/>
      <c r="AG2874" s="650"/>
      <c r="AH2874" s="650"/>
      <c r="AI2874" s="667"/>
    </row>
    <row r="2875" spans="12:35" ht="45" customHeight="1" thickBot="1" x14ac:dyDescent="0.25">
      <c r="L2875" s="645"/>
      <c r="M2875" s="616"/>
      <c r="N2875" s="616"/>
      <c r="O2875" s="616"/>
      <c r="P2875" s="615"/>
      <c r="Q2875" s="616"/>
      <c r="R2875" s="663"/>
      <c r="S2875" s="459"/>
      <c r="T2875" s="459"/>
      <c r="U2875" s="459"/>
      <c r="V2875" s="459"/>
      <c r="W2875" s="459"/>
      <c r="X2875" s="459"/>
      <c r="Y2875" s="666"/>
      <c r="Z2875" s="664"/>
      <c r="AA2875" s="665"/>
      <c r="AB2875" s="665"/>
      <c r="AC2875" s="665"/>
      <c r="AD2875" s="665"/>
      <c r="AE2875" s="665"/>
      <c r="AF2875" s="649"/>
      <c r="AG2875" s="650"/>
      <c r="AH2875" s="650"/>
      <c r="AI2875" s="667"/>
    </row>
    <row r="2876" spans="12:35" ht="45" customHeight="1" thickBot="1" x14ac:dyDescent="0.25">
      <c r="L2876" s="645"/>
      <c r="M2876" s="616"/>
      <c r="N2876" s="616"/>
      <c r="O2876" s="616"/>
      <c r="P2876" s="615"/>
      <c r="Q2876" s="616"/>
      <c r="R2876" s="663"/>
      <c r="S2876" s="459"/>
      <c r="T2876" s="459"/>
      <c r="U2876" s="459"/>
      <c r="V2876" s="459"/>
      <c r="W2876" s="459"/>
      <c r="X2876" s="459"/>
      <c r="Y2876" s="666"/>
      <c r="Z2876" s="664"/>
      <c r="AA2876" s="665"/>
      <c r="AB2876" s="665"/>
      <c r="AC2876" s="665"/>
      <c r="AD2876" s="665"/>
      <c r="AE2876" s="665"/>
      <c r="AF2876" s="649"/>
      <c r="AG2876" s="650"/>
      <c r="AH2876" s="650"/>
      <c r="AI2876" s="667"/>
    </row>
    <row r="2877" spans="12:35" ht="45" customHeight="1" thickBot="1" x14ac:dyDescent="0.25">
      <c r="L2877" s="645"/>
      <c r="M2877" s="616"/>
      <c r="N2877" s="616"/>
      <c r="O2877" s="616"/>
      <c r="P2877" s="615"/>
      <c r="Q2877" s="616"/>
      <c r="R2877" s="663"/>
      <c r="S2877" s="459"/>
      <c r="T2877" s="459"/>
      <c r="U2877" s="459"/>
      <c r="V2877" s="459"/>
      <c r="W2877" s="459"/>
      <c r="X2877" s="459"/>
      <c r="Y2877" s="666"/>
      <c r="Z2877" s="664"/>
      <c r="AA2877" s="665"/>
      <c r="AB2877" s="665"/>
      <c r="AC2877" s="665"/>
      <c r="AD2877" s="665"/>
      <c r="AE2877" s="665"/>
      <c r="AF2877" s="649"/>
      <c r="AG2877" s="650"/>
      <c r="AH2877" s="650"/>
      <c r="AI2877" s="667"/>
    </row>
    <row r="2878" spans="12:35" ht="45" customHeight="1" thickBot="1" x14ac:dyDescent="0.25">
      <c r="L2878" s="645"/>
      <c r="M2878" s="616"/>
      <c r="N2878" s="616"/>
      <c r="O2878" s="616"/>
      <c r="P2878" s="615"/>
      <c r="Q2878" s="616"/>
      <c r="R2878" s="663"/>
      <c r="S2878" s="459"/>
      <c r="T2878" s="459"/>
      <c r="U2878" s="459"/>
      <c r="V2878" s="459"/>
      <c r="W2878" s="459"/>
      <c r="X2878" s="459"/>
      <c r="Y2878" s="666"/>
      <c r="Z2878" s="664"/>
      <c r="AA2878" s="665"/>
      <c r="AB2878" s="665"/>
      <c r="AC2878" s="665"/>
      <c r="AD2878" s="665"/>
      <c r="AE2878" s="665"/>
      <c r="AF2878" s="649"/>
      <c r="AG2878" s="650"/>
      <c r="AH2878" s="650"/>
      <c r="AI2878" s="667"/>
    </row>
    <row r="2879" spans="12:35" ht="45" customHeight="1" thickBot="1" x14ac:dyDescent="0.25">
      <c r="L2879" s="645"/>
      <c r="M2879" s="616"/>
      <c r="N2879" s="616"/>
      <c r="O2879" s="616"/>
      <c r="P2879" s="615"/>
      <c r="Q2879" s="616"/>
      <c r="R2879" s="663"/>
      <c r="S2879" s="459"/>
      <c r="T2879" s="459"/>
      <c r="U2879" s="459"/>
      <c r="V2879" s="459"/>
      <c r="W2879" s="459"/>
      <c r="X2879" s="459"/>
      <c r="Y2879" s="666"/>
      <c r="Z2879" s="664"/>
      <c r="AA2879" s="665"/>
      <c r="AB2879" s="665"/>
      <c r="AC2879" s="665"/>
      <c r="AD2879" s="665"/>
      <c r="AE2879" s="665"/>
      <c r="AF2879" s="649"/>
      <c r="AG2879" s="650"/>
      <c r="AH2879" s="650"/>
      <c r="AI2879" s="667"/>
    </row>
    <row r="2880" spans="12:35" ht="45" customHeight="1" thickBot="1" x14ac:dyDescent="0.25">
      <c r="L2880" s="645"/>
      <c r="M2880" s="616"/>
      <c r="N2880" s="616"/>
      <c r="O2880" s="616"/>
      <c r="P2880" s="615"/>
      <c r="Q2880" s="616"/>
      <c r="R2880" s="663"/>
      <c r="S2880" s="459"/>
      <c r="T2880" s="459"/>
      <c r="U2880" s="459"/>
      <c r="V2880" s="459"/>
      <c r="W2880" s="459"/>
      <c r="X2880" s="459"/>
      <c r="Y2880" s="666"/>
      <c r="Z2880" s="664"/>
      <c r="AA2880" s="665"/>
      <c r="AB2880" s="665"/>
      <c r="AC2880" s="665"/>
      <c r="AD2880" s="665"/>
      <c r="AE2880" s="665"/>
      <c r="AF2880" s="649"/>
      <c r="AG2880" s="650"/>
      <c r="AH2880" s="650"/>
      <c r="AI2880" s="667"/>
    </row>
    <row r="2881" spans="12:35" ht="45" customHeight="1" thickBot="1" x14ac:dyDescent="0.25">
      <c r="L2881" s="645"/>
      <c r="M2881" s="616"/>
      <c r="N2881" s="616"/>
      <c r="O2881" s="616"/>
      <c r="P2881" s="615"/>
      <c r="Q2881" s="616"/>
      <c r="R2881" s="663"/>
      <c r="S2881" s="459"/>
      <c r="T2881" s="459"/>
      <c r="U2881" s="459"/>
      <c r="V2881" s="459"/>
      <c r="W2881" s="459"/>
      <c r="X2881" s="459"/>
      <c r="Y2881" s="666"/>
      <c r="Z2881" s="664"/>
      <c r="AA2881" s="665"/>
      <c r="AB2881" s="665"/>
      <c r="AC2881" s="665"/>
      <c r="AD2881" s="665"/>
      <c r="AE2881" s="665"/>
      <c r="AF2881" s="649"/>
      <c r="AG2881" s="650"/>
      <c r="AH2881" s="650"/>
      <c r="AI2881" s="667"/>
    </row>
    <row r="2882" spans="12:35" ht="45" customHeight="1" thickBot="1" x14ac:dyDescent="0.25">
      <c r="L2882" s="645"/>
      <c r="M2882" s="616"/>
      <c r="N2882" s="616"/>
      <c r="O2882" s="616"/>
      <c r="P2882" s="615"/>
      <c r="Q2882" s="616"/>
      <c r="R2882" s="663"/>
      <c r="S2882" s="459"/>
      <c r="T2882" s="459"/>
      <c r="U2882" s="459"/>
      <c r="V2882" s="459"/>
      <c r="W2882" s="459"/>
      <c r="X2882" s="459"/>
      <c r="Y2882" s="666"/>
      <c r="Z2882" s="664"/>
      <c r="AA2882" s="665"/>
      <c r="AB2882" s="665"/>
      <c r="AC2882" s="665"/>
      <c r="AD2882" s="665"/>
      <c r="AE2882" s="665"/>
      <c r="AF2882" s="649"/>
      <c r="AG2882" s="650"/>
      <c r="AH2882" s="650"/>
      <c r="AI2882" s="667"/>
    </row>
    <row r="2883" spans="12:35" ht="45" customHeight="1" thickBot="1" x14ac:dyDescent="0.25">
      <c r="L2883" s="645"/>
      <c r="M2883" s="616"/>
      <c r="N2883" s="616"/>
      <c r="O2883" s="616"/>
      <c r="P2883" s="615"/>
      <c r="Q2883" s="616"/>
      <c r="R2883" s="663"/>
      <c r="S2883" s="459"/>
      <c r="T2883" s="459"/>
      <c r="U2883" s="459"/>
      <c r="V2883" s="459"/>
      <c r="W2883" s="459"/>
      <c r="X2883" s="459"/>
      <c r="Y2883" s="666"/>
      <c r="Z2883" s="664"/>
      <c r="AA2883" s="665"/>
      <c r="AB2883" s="665"/>
      <c r="AC2883" s="665"/>
      <c r="AD2883" s="665"/>
      <c r="AE2883" s="665"/>
      <c r="AF2883" s="649"/>
      <c r="AG2883" s="650"/>
      <c r="AH2883" s="650"/>
      <c r="AI2883" s="667"/>
    </row>
    <row r="2884" spans="12:35" ht="45" customHeight="1" thickBot="1" x14ac:dyDescent="0.25">
      <c r="L2884" s="645"/>
      <c r="M2884" s="616"/>
      <c r="N2884" s="616"/>
      <c r="O2884" s="616"/>
      <c r="P2884" s="615"/>
      <c r="Q2884" s="616"/>
      <c r="R2884" s="663"/>
      <c r="S2884" s="459"/>
      <c r="T2884" s="459"/>
      <c r="U2884" s="459"/>
      <c r="V2884" s="459"/>
      <c r="W2884" s="459"/>
      <c r="X2884" s="459"/>
      <c r="Y2884" s="666"/>
      <c r="Z2884" s="664"/>
      <c r="AA2884" s="665"/>
      <c r="AB2884" s="665"/>
      <c r="AC2884" s="665"/>
      <c r="AD2884" s="665"/>
      <c r="AE2884" s="665"/>
      <c r="AF2884" s="649"/>
      <c r="AG2884" s="650"/>
      <c r="AH2884" s="650"/>
      <c r="AI2884" s="667"/>
    </row>
    <row r="2885" spans="12:35" ht="45" customHeight="1" thickBot="1" x14ac:dyDescent="0.25">
      <c r="L2885" s="645"/>
      <c r="M2885" s="616"/>
      <c r="N2885" s="616"/>
      <c r="O2885" s="616"/>
      <c r="P2885" s="615"/>
      <c r="Q2885" s="616"/>
      <c r="R2885" s="663"/>
      <c r="S2885" s="459"/>
      <c r="T2885" s="459"/>
      <c r="U2885" s="459"/>
      <c r="V2885" s="459"/>
      <c r="W2885" s="459"/>
      <c r="X2885" s="459"/>
      <c r="Y2885" s="666"/>
      <c r="Z2885" s="664"/>
      <c r="AA2885" s="665"/>
      <c r="AB2885" s="665"/>
      <c r="AC2885" s="665"/>
      <c r="AD2885" s="665"/>
      <c r="AE2885" s="665"/>
      <c r="AF2885" s="649"/>
      <c r="AG2885" s="650"/>
      <c r="AH2885" s="650"/>
      <c r="AI2885" s="667"/>
    </row>
    <row r="2886" spans="12:35" ht="45" customHeight="1" thickBot="1" x14ac:dyDescent="0.25">
      <c r="L2886" s="645"/>
      <c r="M2886" s="616"/>
      <c r="N2886" s="616"/>
      <c r="O2886" s="616"/>
      <c r="P2886" s="615"/>
      <c r="Q2886" s="616"/>
      <c r="R2886" s="663"/>
      <c r="S2886" s="459"/>
      <c r="T2886" s="459"/>
      <c r="U2886" s="459"/>
      <c r="V2886" s="459"/>
      <c r="W2886" s="459"/>
      <c r="X2886" s="459"/>
      <c r="Y2886" s="666"/>
      <c r="Z2886" s="664"/>
      <c r="AA2886" s="665"/>
      <c r="AB2886" s="665"/>
      <c r="AC2886" s="665"/>
      <c r="AD2886" s="665"/>
      <c r="AE2886" s="665"/>
      <c r="AF2886" s="649"/>
      <c r="AG2886" s="650"/>
      <c r="AH2886" s="650"/>
      <c r="AI2886" s="667"/>
    </row>
    <row r="2887" spans="12:35" ht="45" customHeight="1" thickBot="1" x14ac:dyDescent="0.25">
      <c r="L2887" s="645"/>
      <c r="M2887" s="616"/>
      <c r="N2887" s="616"/>
      <c r="O2887" s="616"/>
      <c r="P2887" s="615"/>
      <c r="Q2887" s="616"/>
      <c r="R2887" s="663"/>
      <c r="S2887" s="459"/>
      <c r="T2887" s="459"/>
      <c r="U2887" s="459"/>
      <c r="V2887" s="459"/>
      <c r="W2887" s="459"/>
      <c r="X2887" s="459"/>
      <c r="Y2887" s="666"/>
      <c r="Z2887" s="664"/>
      <c r="AA2887" s="665"/>
      <c r="AB2887" s="665"/>
      <c r="AC2887" s="665"/>
      <c r="AD2887" s="665"/>
      <c r="AE2887" s="665"/>
      <c r="AF2887" s="649"/>
      <c r="AG2887" s="650"/>
      <c r="AH2887" s="650"/>
      <c r="AI2887" s="667"/>
    </row>
    <row r="2888" spans="12:35" ht="45" customHeight="1" thickBot="1" x14ac:dyDescent="0.25">
      <c r="L2888" s="645"/>
      <c r="M2888" s="616"/>
      <c r="N2888" s="616"/>
      <c r="O2888" s="616"/>
      <c r="P2888" s="615"/>
      <c r="Q2888" s="616"/>
      <c r="R2888" s="663"/>
      <c r="S2888" s="459"/>
      <c r="T2888" s="459"/>
      <c r="U2888" s="459"/>
      <c r="V2888" s="459"/>
      <c r="W2888" s="459"/>
      <c r="X2888" s="459"/>
      <c r="Y2888" s="666"/>
      <c r="Z2888" s="664"/>
      <c r="AA2888" s="665"/>
      <c r="AB2888" s="665"/>
      <c r="AC2888" s="665"/>
      <c r="AD2888" s="665"/>
      <c r="AE2888" s="665"/>
      <c r="AF2888" s="649"/>
      <c r="AG2888" s="650"/>
      <c r="AH2888" s="650"/>
      <c r="AI2888" s="667"/>
    </row>
    <row r="2889" spans="12:35" ht="45" customHeight="1" thickBot="1" x14ac:dyDescent="0.25">
      <c r="L2889" s="645"/>
      <c r="M2889" s="616"/>
      <c r="N2889" s="616"/>
      <c r="O2889" s="616"/>
      <c r="P2889" s="615"/>
      <c r="Q2889" s="616"/>
      <c r="R2889" s="663"/>
      <c r="S2889" s="459"/>
      <c r="T2889" s="459"/>
      <c r="U2889" s="459"/>
      <c r="V2889" s="459"/>
      <c r="W2889" s="459"/>
      <c r="X2889" s="459"/>
      <c r="Y2889" s="666"/>
      <c r="Z2889" s="664"/>
      <c r="AA2889" s="665"/>
      <c r="AB2889" s="665"/>
      <c r="AC2889" s="665"/>
      <c r="AD2889" s="665"/>
      <c r="AE2889" s="665"/>
      <c r="AF2889" s="649"/>
      <c r="AG2889" s="650"/>
      <c r="AH2889" s="650"/>
      <c r="AI2889" s="667"/>
    </row>
    <row r="2890" spans="12:35" ht="45" customHeight="1" thickBot="1" x14ac:dyDescent="0.25">
      <c r="L2890" s="645"/>
      <c r="M2890" s="616"/>
      <c r="N2890" s="616"/>
      <c r="O2890" s="616"/>
      <c r="P2890" s="615"/>
      <c r="Q2890" s="616"/>
      <c r="R2890" s="663"/>
      <c r="S2890" s="459"/>
      <c r="T2890" s="459"/>
      <c r="U2890" s="459"/>
      <c r="V2890" s="459"/>
      <c r="W2890" s="459"/>
      <c r="X2890" s="459"/>
      <c r="Y2890" s="666"/>
      <c r="Z2890" s="664"/>
      <c r="AA2890" s="665"/>
      <c r="AB2890" s="665"/>
      <c r="AC2890" s="665"/>
      <c r="AD2890" s="665"/>
      <c r="AE2890" s="665"/>
      <c r="AF2890" s="649"/>
      <c r="AG2890" s="650"/>
      <c r="AH2890" s="650"/>
      <c r="AI2890" s="667"/>
    </row>
    <row r="2891" spans="12:35" ht="45" customHeight="1" thickBot="1" x14ac:dyDescent="0.25">
      <c r="L2891" s="645"/>
      <c r="M2891" s="616"/>
      <c r="N2891" s="616"/>
      <c r="O2891" s="616"/>
      <c r="P2891" s="615"/>
      <c r="Q2891" s="616"/>
      <c r="R2891" s="663"/>
      <c r="S2891" s="459"/>
      <c r="T2891" s="459"/>
      <c r="U2891" s="459"/>
      <c r="V2891" s="459"/>
      <c r="W2891" s="459"/>
      <c r="X2891" s="459"/>
      <c r="Y2891" s="666"/>
      <c r="Z2891" s="664"/>
      <c r="AA2891" s="665"/>
      <c r="AB2891" s="665"/>
      <c r="AC2891" s="665"/>
      <c r="AD2891" s="665"/>
      <c r="AE2891" s="665"/>
      <c r="AF2891" s="649"/>
      <c r="AG2891" s="650"/>
      <c r="AH2891" s="650"/>
      <c r="AI2891" s="667"/>
    </row>
    <row r="2892" spans="12:35" ht="45" customHeight="1" thickBot="1" x14ac:dyDescent="0.25">
      <c r="L2892" s="645"/>
      <c r="M2892" s="616"/>
      <c r="N2892" s="616"/>
      <c r="O2892" s="616"/>
      <c r="P2892" s="615"/>
      <c r="Q2892" s="616"/>
      <c r="R2892" s="663"/>
      <c r="S2892" s="459"/>
      <c r="T2892" s="459"/>
      <c r="U2892" s="459"/>
      <c r="V2892" s="459"/>
      <c r="W2892" s="459"/>
      <c r="X2892" s="459"/>
      <c r="Y2892" s="666"/>
      <c r="Z2892" s="664"/>
      <c r="AA2892" s="665"/>
      <c r="AB2892" s="665"/>
      <c r="AC2892" s="665"/>
      <c r="AD2892" s="665"/>
      <c r="AE2892" s="665"/>
      <c r="AF2892" s="649"/>
      <c r="AG2892" s="650"/>
      <c r="AH2892" s="650"/>
      <c r="AI2892" s="667"/>
    </row>
    <row r="2893" spans="12:35" ht="45" customHeight="1" thickBot="1" x14ac:dyDescent="0.25">
      <c r="L2893" s="645"/>
      <c r="M2893" s="616"/>
      <c r="N2893" s="616"/>
      <c r="O2893" s="616"/>
      <c r="P2893" s="615"/>
      <c r="Q2893" s="616"/>
      <c r="R2893" s="663"/>
      <c r="S2893" s="459"/>
      <c r="T2893" s="459"/>
      <c r="U2893" s="459"/>
      <c r="V2893" s="459"/>
      <c r="W2893" s="459"/>
      <c r="X2893" s="459"/>
      <c r="Y2893" s="666"/>
      <c r="Z2893" s="664"/>
      <c r="AA2893" s="665"/>
      <c r="AB2893" s="665"/>
      <c r="AC2893" s="665"/>
      <c r="AD2893" s="665"/>
      <c r="AE2893" s="665"/>
      <c r="AF2893" s="649"/>
      <c r="AG2893" s="650"/>
      <c r="AH2893" s="650"/>
      <c r="AI2893" s="667"/>
    </row>
    <row r="2894" spans="12:35" ht="45" customHeight="1" thickBot="1" x14ac:dyDescent="0.25">
      <c r="L2894" s="645"/>
      <c r="M2894" s="616"/>
      <c r="N2894" s="616"/>
      <c r="O2894" s="616"/>
      <c r="P2894" s="615"/>
      <c r="Q2894" s="616"/>
      <c r="R2894" s="663"/>
      <c r="S2894" s="459"/>
      <c r="T2894" s="459"/>
      <c r="U2894" s="459"/>
      <c r="V2894" s="459"/>
      <c r="W2894" s="459"/>
      <c r="X2894" s="459"/>
      <c r="Y2894" s="666"/>
      <c r="Z2894" s="664"/>
      <c r="AA2894" s="665"/>
      <c r="AB2894" s="665"/>
      <c r="AC2894" s="665"/>
      <c r="AD2894" s="665"/>
      <c r="AE2894" s="665"/>
      <c r="AF2894" s="649"/>
      <c r="AG2894" s="650"/>
      <c r="AH2894" s="650"/>
      <c r="AI2894" s="667"/>
    </row>
    <row r="2895" spans="12:35" ht="45" customHeight="1" thickBot="1" x14ac:dyDescent="0.25">
      <c r="L2895" s="645"/>
      <c r="M2895" s="616"/>
      <c r="N2895" s="616"/>
      <c r="O2895" s="616"/>
      <c r="P2895" s="615"/>
      <c r="Q2895" s="616"/>
      <c r="R2895" s="663"/>
      <c r="S2895" s="459"/>
      <c r="T2895" s="459"/>
      <c r="U2895" s="459"/>
      <c r="V2895" s="459"/>
      <c r="W2895" s="459"/>
      <c r="X2895" s="459"/>
      <c r="Y2895" s="666"/>
      <c r="Z2895" s="664"/>
      <c r="AA2895" s="665"/>
      <c r="AB2895" s="665"/>
      <c r="AC2895" s="665"/>
      <c r="AD2895" s="665"/>
      <c r="AE2895" s="665"/>
      <c r="AF2895" s="649"/>
      <c r="AG2895" s="650"/>
      <c r="AH2895" s="650"/>
      <c r="AI2895" s="667"/>
    </row>
    <row r="2896" spans="12:35" ht="45" customHeight="1" thickBot="1" x14ac:dyDescent="0.25">
      <c r="L2896" s="645"/>
      <c r="M2896" s="616"/>
      <c r="N2896" s="616"/>
      <c r="O2896" s="616"/>
      <c r="P2896" s="615"/>
      <c r="Q2896" s="616"/>
      <c r="R2896" s="663"/>
      <c r="S2896" s="459"/>
      <c r="T2896" s="459"/>
      <c r="U2896" s="459"/>
      <c r="V2896" s="459"/>
      <c r="W2896" s="459"/>
      <c r="X2896" s="459"/>
      <c r="Y2896" s="666"/>
      <c r="Z2896" s="664"/>
      <c r="AA2896" s="665"/>
      <c r="AB2896" s="665"/>
      <c r="AC2896" s="665"/>
      <c r="AD2896" s="665"/>
      <c r="AE2896" s="665"/>
      <c r="AF2896" s="649"/>
      <c r="AG2896" s="650"/>
      <c r="AH2896" s="650"/>
      <c r="AI2896" s="667"/>
    </row>
    <row r="2897" spans="12:35" ht="45" customHeight="1" thickBot="1" x14ac:dyDescent="0.25">
      <c r="L2897" s="645"/>
      <c r="M2897" s="616"/>
      <c r="N2897" s="616"/>
      <c r="O2897" s="616"/>
      <c r="P2897" s="615"/>
      <c r="Q2897" s="616"/>
      <c r="R2897" s="663"/>
      <c r="S2897" s="459"/>
      <c r="T2897" s="459"/>
      <c r="U2897" s="459"/>
      <c r="V2897" s="459"/>
      <c r="W2897" s="459"/>
      <c r="X2897" s="459"/>
      <c r="Y2897" s="666"/>
      <c r="Z2897" s="664"/>
      <c r="AA2897" s="665"/>
      <c r="AB2897" s="665"/>
      <c r="AC2897" s="665"/>
      <c r="AD2897" s="665"/>
      <c r="AE2897" s="665"/>
      <c r="AF2897" s="649"/>
      <c r="AG2897" s="650"/>
      <c r="AH2897" s="650"/>
      <c r="AI2897" s="667"/>
    </row>
    <row r="2898" spans="12:35" ht="45" customHeight="1" thickBot="1" x14ac:dyDescent="0.25">
      <c r="L2898" s="645"/>
      <c r="M2898" s="616"/>
      <c r="N2898" s="616"/>
      <c r="O2898" s="616"/>
      <c r="P2898" s="615"/>
      <c r="Q2898" s="616"/>
      <c r="R2898" s="663"/>
      <c r="S2898" s="459"/>
      <c r="T2898" s="459"/>
      <c r="U2898" s="459"/>
      <c r="V2898" s="459"/>
      <c r="W2898" s="459"/>
      <c r="X2898" s="459"/>
      <c r="Y2898" s="666"/>
      <c r="Z2898" s="664"/>
      <c r="AA2898" s="665"/>
      <c r="AB2898" s="665"/>
      <c r="AC2898" s="665"/>
      <c r="AD2898" s="665"/>
      <c r="AE2898" s="665"/>
      <c r="AF2898" s="649"/>
      <c r="AG2898" s="650"/>
      <c r="AH2898" s="650"/>
      <c r="AI2898" s="667"/>
    </row>
    <row r="2899" spans="12:35" ht="45" customHeight="1" thickBot="1" x14ac:dyDescent="0.25">
      <c r="L2899" s="645"/>
      <c r="M2899" s="616"/>
      <c r="N2899" s="616"/>
      <c r="O2899" s="616"/>
      <c r="P2899" s="615"/>
      <c r="Q2899" s="616"/>
      <c r="R2899" s="663"/>
      <c r="S2899" s="459"/>
      <c r="T2899" s="459"/>
      <c r="U2899" s="459"/>
      <c r="V2899" s="459"/>
      <c r="W2899" s="459"/>
      <c r="X2899" s="459"/>
      <c r="Y2899" s="666"/>
      <c r="Z2899" s="664"/>
      <c r="AA2899" s="665"/>
      <c r="AB2899" s="665"/>
      <c r="AC2899" s="665"/>
      <c r="AD2899" s="665"/>
      <c r="AE2899" s="665"/>
      <c r="AF2899" s="649"/>
      <c r="AG2899" s="650"/>
      <c r="AH2899" s="650"/>
      <c r="AI2899" s="667"/>
    </row>
    <row r="2900" spans="12:35" ht="45" customHeight="1" thickBot="1" x14ac:dyDescent="0.25">
      <c r="L2900" s="645"/>
      <c r="M2900" s="616"/>
      <c r="N2900" s="616"/>
      <c r="O2900" s="616"/>
      <c r="P2900" s="615"/>
      <c r="Q2900" s="616"/>
      <c r="R2900" s="663"/>
      <c r="S2900" s="459"/>
      <c r="T2900" s="459"/>
      <c r="U2900" s="459"/>
      <c r="V2900" s="459"/>
      <c r="W2900" s="459"/>
      <c r="X2900" s="459"/>
      <c r="Y2900" s="666"/>
      <c r="Z2900" s="664"/>
      <c r="AA2900" s="665"/>
      <c r="AB2900" s="665"/>
      <c r="AC2900" s="665"/>
      <c r="AD2900" s="665"/>
      <c r="AE2900" s="665"/>
      <c r="AF2900" s="649"/>
      <c r="AG2900" s="650"/>
      <c r="AH2900" s="650"/>
      <c r="AI2900" s="667"/>
    </row>
    <row r="2901" spans="12:35" ht="45" customHeight="1" thickBot="1" x14ac:dyDescent="0.25">
      <c r="L2901" s="645"/>
      <c r="M2901" s="616"/>
      <c r="N2901" s="616"/>
      <c r="O2901" s="616"/>
      <c r="P2901" s="615"/>
      <c r="Q2901" s="616"/>
      <c r="R2901" s="663"/>
      <c r="S2901" s="459"/>
      <c r="T2901" s="459"/>
      <c r="U2901" s="459"/>
      <c r="V2901" s="459"/>
      <c r="W2901" s="459"/>
      <c r="X2901" s="459"/>
      <c r="Y2901" s="666"/>
      <c r="Z2901" s="664"/>
      <c r="AA2901" s="665"/>
      <c r="AB2901" s="665"/>
      <c r="AC2901" s="665"/>
      <c r="AD2901" s="665"/>
      <c r="AE2901" s="665"/>
      <c r="AF2901" s="649"/>
      <c r="AG2901" s="650"/>
      <c r="AH2901" s="650"/>
      <c r="AI2901" s="667"/>
    </row>
    <row r="2902" spans="12:35" ht="45" customHeight="1" thickBot="1" x14ac:dyDescent="0.25">
      <c r="L2902" s="645"/>
      <c r="M2902" s="616"/>
      <c r="N2902" s="616"/>
      <c r="O2902" s="616"/>
      <c r="P2902" s="615"/>
      <c r="Q2902" s="616"/>
      <c r="R2902" s="663"/>
      <c r="S2902" s="459"/>
      <c r="T2902" s="459"/>
      <c r="U2902" s="459"/>
      <c r="V2902" s="459"/>
      <c r="W2902" s="459"/>
      <c r="X2902" s="459"/>
      <c r="Y2902" s="666"/>
      <c r="Z2902" s="664"/>
      <c r="AA2902" s="665"/>
      <c r="AB2902" s="665"/>
      <c r="AC2902" s="665"/>
      <c r="AD2902" s="665"/>
      <c r="AE2902" s="665"/>
      <c r="AF2902" s="649"/>
      <c r="AG2902" s="650"/>
      <c r="AH2902" s="650"/>
      <c r="AI2902" s="667"/>
    </row>
    <row r="2903" spans="12:35" ht="45" customHeight="1" thickBot="1" x14ac:dyDescent="0.25">
      <c r="L2903" s="645"/>
      <c r="M2903" s="616"/>
      <c r="N2903" s="616"/>
      <c r="O2903" s="616"/>
      <c r="P2903" s="615"/>
      <c r="Q2903" s="616"/>
      <c r="R2903" s="663"/>
      <c r="S2903" s="459"/>
      <c r="T2903" s="459"/>
      <c r="U2903" s="459"/>
      <c r="V2903" s="459"/>
      <c r="W2903" s="459"/>
      <c r="X2903" s="459"/>
      <c r="Y2903" s="666"/>
      <c r="Z2903" s="664"/>
      <c r="AA2903" s="665"/>
      <c r="AB2903" s="665"/>
      <c r="AC2903" s="665"/>
      <c r="AD2903" s="665"/>
      <c r="AE2903" s="665"/>
      <c r="AF2903" s="649"/>
      <c r="AG2903" s="650"/>
      <c r="AH2903" s="650"/>
      <c r="AI2903" s="667"/>
    </row>
    <row r="2904" spans="12:35" ht="45" customHeight="1" thickBot="1" x14ac:dyDescent="0.25">
      <c r="L2904" s="645"/>
      <c r="M2904" s="616"/>
      <c r="N2904" s="616"/>
      <c r="O2904" s="616"/>
      <c r="P2904" s="615"/>
      <c r="Q2904" s="616"/>
      <c r="R2904" s="663"/>
      <c r="S2904" s="459"/>
      <c r="T2904" s="459"/>
      <c r="U2904" s="459"/>
      <c r="V2904" s="459"/>
      <c r="W2904" s="459"/>
      <c r="X2904" s="459"/>
      <c r="Y2904" s="666"/>
      <c r="Z2904" s="664"/>
      <c r="AA2904" s="665"/>
      <c r="AB2904" s="665"/>
      <c r="AC2904" s="665"/>
      <c r="AD2904" s="665"/>
      <c r="AE2904" s="665"/>
      <c r="AF2904" s="649"/>
      <c r="AG2904" s="650"/>
      <c r="AH2904" s="650"/>
      <c r="AI2904" s="667"/>
    </row>
    <row r="2905" spans="12:35" ht="45" customHeight="1" thickBot="1" x14ac:dyDescent="0.25">
      <c r="L2905" s="645"/>
      <c r="M2905" s="616"/>
      <c r="N2905" s="616"/>
      <c r="O2905" s="616"/>
      <c r="P2905" s="615"/>
      <c r="Q2905" s="616"/>
      <c r="R2905" s="663"/>
      <c r="S2905" s="459"/>
      <c r="T2905" s="459"/>
      <c r="U2905" s="459"/>
      <c r="V2905" s="459"/>
      <c r="W2905" s="459"/>
      <c r="X2905" s="459"/>
      <c r="Y2905" s="666"/>
      <c r="Z2905" s="664"/>
      <c r="AA2905" s="665"/>
      <c r="AB2905" s="665"/>
      <c r="AC2905" s="665"/>
      <c r="AD2905" s="665"/>
      <c r="AE2905" s="665"/>
      <c r="AF2905" s="649"/>
      <c r="AG2905" s="650"/>
      <c r="AH2905" s="650"/>
      <c r="AI2905" s="667"/>
    </row>
    <row r="2906" spans="12:35" ht="45" customHeight="1" thickBot="1" x14ac:dyDescent="0.25">
      <c r="L2906" s="645"/>
      <c r="M2906" s="616"/>
      <c r="N2906" s="616"/>
      <c r="O2906" s="616"/>
      <c r="P2906" s="615"/>
      <c r="Q2906" s="616"/>
      <c r="R2906" s="663"/>
      <c r="S2906" s="459"/>
      <c r="T2906" s="459"/>
      <c r="U2906" s="459"/>
      <c r="V2906" s="459"/>
      <c r="W2906" s="459"/>
      <c r="X2906" s="459"/>
      <c r="Y2906" s="666"/>
      <c r="Z2906" s="664"/>
      <c r="AA2906" s="665"/>
      <c r="AB2906" s="665"/>
      <c r="AC2906" s="665"/>
      <c r="AD2906" s="665"/>
      <c r="AE2906" s="665"/>
      <c r="AF2906" s="649"/>
      <c r="AG2906" s="650"/>
      <c r="AH2906" s="650"/>
      <c r="AI2906" s="667"/>
    </row>
    <row r="2907" spans="12:35" ht="45" customHeight="1" thickBot="1" x14ac:dyDescent="0.25">
      <c r="L2907" s="645"/>
      <c r="M2907" s="616"/>
      <c r="N2907" s="616"/>
      <c r="O2907" s="616"/>
      <c r="P2907" s="615"/>
      <c r="Q2907" s="616"/>
      <c r="R2907" s="663"/>
      <c r="S2907" s="459"/>
      <c r="T2907" s="459"/>
      <c r="U2907" s="459"/>
      <c r="V2907" s="459"/>
      <c r="W2907" s="459"/>
      <c r="X2907" s="459"/>
      <c r="Y2907" s="666"/>
      <c r="Z2907" s="664"/>
      <c r="AA2907" s="665"/>
      <c r="AB2907" s="665"/>
      <c r="AC2907" s="665"/>
      <c r="AD2907" s="665"/>
      <c r="AE2907" s="665"/>
      <c r="AF2907" s="649"/>
      <c r="AG2907" s="650"/>
      <c r="AH2907" s="650"/>
      <c r="AI2907" s="667"/>
    </row>
    <row r="2908" spans="12:35" ht="45" customHeight="1" thickBot="1" x14ac:dyDescent="0.25">
      <c r="L2908" s="645"/>
      <c r="M2908" s="616"/>
      <c r="N2908" s="616"/>
      <c r="O2908" s="616"/>
      <c r="P2908" s="615"/>
      <c r="Q2908" s="616"/>
      <c r="R2908" s="663"/>
      <c r="S2908" s="459"/>
      <c r="T2908" s="459"/>
      <c r="U2908" s="459"/>
      <c r="V2908" s="459"/>
      <c r="W2908" s="459"/>
      <c r="X2908" s="459"/>
      <c r="Y2908" s="666"/>
      <c r="Z2908" s="664"/>
      <c r="AA2908" s="665"/>
      <c r="AB2908" s="665"/>
      <c r="AC2908" s="665"/>
      <c r="AD2908" s="665"/>
      <c r="AE2908" s="665"/>
      <c r="AF2908" s="649"/>
      <c r="AG2908" s="650"/>
      <c r="AH2908" s="650"/>
      <c r="AI2908" s="667"/>
    </row>
    <row r="2909" spans="12:35" ht="45" customHeight="1" thickBot="1" x14ac:dyDescent="0.25">
      <c r="L2909" s="645"/>
      <c r="M2909" s="616"/>
      <c r="N2909" s="616"/>
      <c r="O2909" s="616"/>
      <c r="P2909" s="615"/>
      <c r="Q2909" s="616"/>
      <c r="R2909" s="663"/>
      <c r="S2909" s="459"/>
      <c r="T2909" s="459"/>
      <c r="U2909" s="459"/>
      <c r="V2909" s="459"/>
      <c r="W2909" s="459"/>
      <c r="X2909" s="459"/>
      <c r="Y2909" s="666"/>
      <c r="Z2909" s="664"/>
      <c r="AA2909" s="665"/>
      <c r="AB2909" s="665"/>
      <c r="AC2909" s="665"/>
      <c r="AD2909" s="665"/>
      <c r="AE2909" s="665"/>
      <c r="AF2909" s="649"/>
      <c r="AG2909" s="650"/>
      <c r="AH2909" s="650"/>
      <c r="AI2909" s="667"/>
    </row>
    <row r="2910" spans="12:35" ht="45" customHeight="1" thickBot="1" x14ac:dyDescent="0.25">
      <c r="L2910" s="645"/>
      <c r="M2910" s="616"/>
      <c r="N2910" s="616"/>
      <c r="O2910" s="616"/>
      <c r="P2910" s="615"/>
      <c r="Q2910" s="616"/>
      <c r="R2910" s="663"/>
      <c r="S2910" s="459"/>
      <c r="T2910" s="459"/>
      <c r="U2910" s="459"/>
      <c r="V2910" s="459"/>
      <c r="W2910" s="459"/>
      <c r="X2910" s="459"/>
      <c r="Y2910" s="666"/>
      <c r="Z2910" s="664"/>
      <c r="AA2910" s="665"/>
      <c r="AB2910" s="665"/>
      <c r="AC2910" s="665"/>
      <c r="AD2910" s="665"/>
      <c r="AE2910" s="665"/>
      <c r="AF2910" s="649"/>
      <c r="AG2910" s="650"/>
      <c r="AH2910" s="650"/>
      <c r="AI2910" s="667"/>
    </row>
    <row r="2911" spans="12:35" ht="45" customHeight="1" thickBot="1" x14ac:dyDescent="0.25">
      <c r="L2911" s="645"/>
      <c r="M2911" s="616"/>
      <c r="N2911" s="616"/>
      <c r="O2911" s="616"/>
      <c r="P2911" s="615"/>
      <c r="Q2911" s="616"/>
      <c r="R2911" s="663"/>
      <c r="S2911" s="459"/>
      <c r="T2911" s="459"/>
      <c r="U2911" s="459"/>
      <c r="V2911" s="459"/>
      <c r="W2911" s="459"/>
      <c r="X2911" s="459"/>
      <c r="Y2911" s="666"/>
      <c r="Z2911" s="664"/>
      <c r="AA2911" s="665"/>
      <c r="AB2911" s="665"/>
      <c r="AC2911" s="665"/>
      <c r="AD2911" s="665"/>
      <c r="AE2911" s="665"/>
      <c r="AF2911" s="649"/>
      <c r="AG2911" s="650"/>
      <c r="AH2911" s="650"/>
      <c r="AI2911" s="667"/>
    </row>
    <row r="2912" spans="12:35" ht="45" customHeight="1" thickBot="1" x14ac:dyDescent="0.25">
      <c r="L2912" s="645"/>
      <c r="M2912" s="616"/>
      <c r="N2912" s="616"/>
      <c r="O2912" s="616"/>
      <c r="P2912" s="615"/>
      <c r="Q2912" s="616"/>
      <c r="R2912" s="663"/>
      <c r="S2912" s="459"/>
      <c r="T2912" s="459"/>
      <c r="U2912" s="459"/>
      <c r="V2912" s="459"/>
      <c r="W2912" s="459"/>
      <c r="X2912" s="459"/>
      <c r="Y2912" s="666"/>
      <c r="Z2912" s="664"/>
      <c r="AA2912" s="665"/>
      <c r="AB2912" s="665"/>
      <c r="AC2912" s="665"/>
      <c r="AD2912" s="665"/>
      <c r="AE2912" s="665"/>
      <c r="AF2912" s="649"/>
      <c r="AG2912" s="650"/>
      <c r="AH2912" s="650"/>
      <c r="AI2912" s="667"/>
    </row>
    <row r="2913" spans="12:35" ht="45" customHeight="1" thickBot="1" x14ac:dyDescent="0.25">
      <c r="L2913" s="645"/>
      <c r="M2913" s="616"/>
      <c r="N2913" s="616"/>
      <c r="O2913" s="616"/>
      <c r="P2913" s="615"/>
      <c r="Q2913" s="616"/>
      <c r="R2913" s="663"/>
      <c r="S2913" s="459"/>
      <c r="T2913" s="459"/>
      <c r="U2913" s="459"/>
      <c r="V2913" s="459"/>
      <c r="W2913" s="459"/>
      <c r="X2913" s="459"/>
      <c r="Y2913" s="666"/>
      <c r="Z2913" s="664"/>
      <c r="AA2913" s="665"/>
      <c r="AB2913" s="665"/>
      <c r="AC2913" s="665"/>
      <c r="AD2913" s="665"/>
      <c r="AE2913" s="665"/>
      <c r="AF2913" s="649"/>
      <c r="AG2913" s="650"/>
      <c r="AH2913" s="650"/>
      <c r="AI2913" s="667"/>
    </row>
    <row r="2914" spans="12:35" ht="45" customHeight="1" thickBot="1" x14ac:dyDescent="0.25">
      <c r="L2914" s="645"/>
      <c r="M2914" s="616"/>
      <c r="N2914" s="616"/>
      <c r="O2914" s="616"/>
      <c r="P2914" s="615"/>
      <c r="Q2914" s="616"/>
      <c r="R2914" s="663"/>
      <c r="S2914" s="459"/>
      <c r="T2914" s="459"/>
      <c r="U2914" s="459"/>
      <c r="V2914" s="459"/>
      <c r="W2914" s="459"/>
      <c r="X2914" s="459"/>
      <c r="Y2914" s="666"/>
      <c r="Z2914" s="664"/>
      <c r="AA2914" s="665"/>
      <c r="AB2914" s="665"/>
      <c r="AC2914" s="665"/>
      <c r="AD2914" s="665"/>
      <c r="AE2914" s="665"/>
      <c r="AF2914" s="649"/>
      <c r="AG2914" s="650"/>
      <c r="AH2914" s="650"/>
      <c r="AI2914" s="667"/>
    </row>
    <row r="2915" spans="12:35" ht="45" customHeight="1" thickBot="1" x14ac:dyDescent="0.25">
      <c r="L2915" s="645"/>
      <c r="M2915" s="616"/>
      <c r="N2915" s="616"/>
      <c r="O2915" s="616"/>
      <c r="P2915" s="615"/>
      <c r="Q2915" s="616"/>
      <c r="R2915" s="663"/>
      <c r="S2915" s="459"/>
      <c r="T2915" s="459"/>
      <c r="U2915" s="459"/>
      <c r="V2915" s="459"/>
      <c r="W2915" s="459"/>
      <c r="X2915" s="459"/>
      <c r="Y2915" s="666"/>
      <c r="Z2915" s="664"/>
      <c r="AA2915" s="665"/>
      <c r="AB2915" s="665"/>
      <c r="AC2915" s="665"/>
      <c r="AD2915" s="665"/>
      <c r="AE2915" s="665"/>
      <c r="AF2915" s="649"/>
      <c r="AG2915" s="650"/>
      <c r="AH2915" s="650"/>
      <c r="AI2915" s="667"/>
    </row>
    <row r="2916" spans="12:35" ht="45" customHeight="1" thickBot="1" x14ac:dyDescent="0.25">
      <c r="L2916" s="645"/>
      <c r="M2916" s="616"/>
      <c r="N2916" s="616"/>
      <c r="O2916" s="616"/>
      <c r="P2916" s="615"/>
      <c r="Q2916" s="616"/>
      <c r="R2916" s="663"/>
      <c r="S2916" s="459"/>
      <c r="T2916" s="459"/>
      <c r="U2916" s="459"/>
      <c r="V2916" s="459"/>
      <c r="W2916" s="459"/>
      <c r="X2916" s="459"/>
      <c r="Y2916" s="666"/>
      <c r="Z2916" s="664"/>
      <c r="AA2916" s="665"/>
      <c r="AB2916" s="665"/>
      <c r="AC2916" s="665"/>
      <c r="AD2916" s="665"/>
      <c r="AE2916" s="665"/>
      <c r="AF2916" s="649"/>
      <c r="AG2916" s="650"/>
      <c r="AH2916" s="650"/>
      <c r="AI2916" s="667"/>
    </row>
    <row r="2917" spans="12:35" ht="45" customHeight="1" thickBot="1" x14ac:dyDescent="0.25">
      <c r="L2917" s="645"/>
      <c r="M2917" s="616"/>
      <c r="N2917" s="616"/>
      <c r="O2917" s="616"/>
      <c r="P2917" s="615"/>
      <c r="Q2917" s="616"/>
      <c r="R2917" s="663"/>
      <c r="S2917" s="459"/>
      <c r="T2917" s="459"/>
      <c r="U2917" s="459"/>
      <c r="V2917" s="459"/>
      <c r="W2917" s="459"/>
      <c r="X2917" s="459"/>
      <c r="Y2917" s="666"/>
      <c r="Z2917" s="664"/>
      <c r="AA2917" s="665"/>
      <c r="AB2917" s="665"/>
      <c r="AC2917" s="665"/>
      <c r="AD2917" s="665"/>
      <c r="AE2917" s="665"/>
      <c r="AF2917" s="649"/>
      <c r="AG2917" s="650"/>
      <c r="AH2917" s="650"/>
      <c r="AI2917" s="667"/>
    </row>
    <row r="2918" spans="12:35" ht="45" customHeight="1" thickBot="1" x14ac:dyDescent="0.25">
      <c r="L2918" s="645"/>
      <c r="M2918" s="616"/>
      <c r="N2918" s="616"/>
      <c r="O2918" s="616"/>
      <c r="P2918" s="615"/>
      <c r="Q2918" s="616"/>
      <c r="R2918" s="663"/>
      <c r="S2918" s="459"/>
      <c r="T2918" s="459"/>
      <c r="U2918" s="459"/>
      <c r="V2918" s="459"/>
      <c r="W2918" s="459"/>
      <c r="X2918" s="459"/>
      <c r="Y2918" s="666"/>
      <c r="Z2918" s="664"/>
      <c r="AA2918" s="665"/>
      <c r="AB2918" s="665"/>
      <c r="AC2918" s="665"/>
      <c r="AD2918" s="665"/>
      <c r="AE2918" s="665"/>
      <c r="AF2918" s="649"/>
      <c r="AG2918" s="650"/>
      <c r="AH2918" s="650"/>
      <c r="AI2918" s="667"/>
    </row>
    <row r="2919" spans="12:35" ht="45" customHeight="1" thickBot="1" x14ac:dyDescent="0.25">
      <c r="L2919" s="645"/>
      <c r="M2919" s="616"/>
      <c r="N2919" s="616"/>
      <c r="O2919" s="616"/>
      <c r="P2919" s="615"/>
      <c r="Q2919" s="616"/>
      <c r="R2919" s="663"/>
      <c r="S2919" s="459"/>
      <c r="T2919" s="459"/>
      <c r="U2919" s="459"/>
      <c r="V2919" s="459"/>
      <c r="W2919" s="459"/>
      <c r="X2919" s="459"/>
      <c r="Y2919" s="666"/>
      <c r="Z2919" s="664"/>
      <c r="AA2919" s="665"/>
      <c r="AB2919" s="665"/>
      <c r="AC2919" s="665"/>
      <c r="AD2919" s="665"/>
      <c r="AE2919" s="665"/>
      <c r="AF2919" s="649"/>
      <c r="AG2919" s="650"/>
      <c r="AH2919" s="650"/>
      <c r="AI2919" s="667"/>
    </row>
    <row r="2920" spans="12:35" ht="45" customHeight="1" thickBot="1" x14ac:dyDescent="0.25">
      <c r="L2920" s="645"/>
      <c r="M2920" s="616"/>
      <c r="N2920" s="616"/>
      <c r="O2920" s="616"/>
      <c r="P2920" s="615"/>
      <c r="Q2920" s="616"/>
      <c r="R2920" s="663"/>
      <c r="S2920" s="459"/>
      <c r="T2920" s="459"/>
      <c r="U2920" s="459"/>
      <c r="V2920" s="459"/>
      <c r="W2920" s="459"/>
      <c r="X2920" s="459"/>
      <c r="Y2920" s="666"/>
      <c r="Z2920" s="664"/>
      <c r="AA2920" s="665"/>
      <c r="AB2920" s="665"/>
      <c r="AC2920" s="665"/>
      <c r="AD2920" s="665"/>
      <c r="AE2920" s="665"/>
      <c r="AF2920" s="649"/>
      <c r="AG2920" s="650"/>
      <c r="AH2920" s="650"/>
      <c r="AI2920" s="667"/>
    </row>
    <row r="2921" spans="12:35" ht="45" customHeight="1" thickBot="1" x14ac:dyDescent="0.25">
      <c r="L2921" s="645"/>
      <c r="M2921" s="616"/>
      <c r="N2921" s="616"/>
      <c r="O2921" s="616"/>
      <c r="P2921" s="615"/>
      <c r="Q2921" s="616"/>
      <c r="R2921" s="663"/>
      <c r="S2921" s="459"/>
      <c r="T2921" s="459"/>
      <c r="U2921" s="459"/>
      <c r="V2921" s="459"/>
      <c r="W2921" s="459"/>
      <c r="X2921" s="459"/>
      <c r="Y2921" s="666"/>
      <c r="Z2921" s="664"/>
      <c r="AA2921" s="665"/>
      <c r="AB2921" s="665"/>
      <c r="AC2921" s="665"/>
      <c r="AD2921" s="665"/>
      <c r="AE2921" s="665"/>
      <c r="AF2921" s="649"/>
      <c r="AG2921" s="650"/>
      <c r="AH2921" s="650"/>
      <c r="AI2921" s="667"/>
    </row>
    <row r="2922" spans="12:35" ht="45" customHeight="1" thickBot="1" x14ac:dyDescent="0.25">
      <c r="L2922" s="645"/>
      <c r="M2922" s="616"/>
      <c r="N2922" s="616"/>
      <c r="O2922" s="616"/>
      <c r="P2922" s="615"/>
      <c r="Q2922" s="616"/>
      <c r="R2922" s="663"/>
      <c r="S2922" s="459"/>
      <c r="T2922" s="459"/>
      <c r="U2922" s="459"/>
      <c r="V2922" s="459"/>
      <c r="W2922" s="459"/>
      <c r="X2922" s="459"/>
      <c r="Y2922" s="666"/>
      <c r="Z2922" s="664"/>
      <c r="AA2922" s="665"/>
      <c r="AB2922" s="665"/>
      <c r="AC2922" s="665"/>
      <c r="AD2922" s="665"/>
      <c r="AE2922" s="665"/>
      <c r="AF2922" s="649"/>
      <c r="AG2922" s="650"/>
      <c r="AH2922" s="650"/>
      <c r="AI2922" s="667"/>
    </row>
    <row r="2923" spans="12:35" ht="45" customHeight="1" thickBot="1" x14ac:dyDescent="0.25">
      <c r="L2923" s="645"/>
      <c r="M2923" s="616"/>
      <c r="N2923" s="616"/>
      <c r="O2923" s="616"/>
      <c r="P2923" s="615"/>
      <c r="Q2923" s="616"/>
      <c r="R2923" s="663"/>
      <c r="S2923" s="459"/>
      <c r="T2923" s="459"/>
      <c r="U2923" s="459"/>
      <c r="V2923" s="459"/>
      <c r="W2923" s="459"/>
      <c r="X2923" s="459"/>
      <c r="Y2923" s="666"/>
      <c r="Z2923" s="664"/>
      <c r="AA2923" s="665"/>
      <c r="AB2923" s="665"/>
      <c r="AC2923" s="665"/>
      <c r="AD2923" s="665"/>
      <c r="AE2923" s="665"/>
      <c r="AF2923" s="649"/>
      <c r="AG2923" s="650"/>
      <c r="AH2923" s="650"/>
      <c r="AI2923" s="667"/>
    </row>
    <row r="2924" spans="12:35" ht="45" customHeight="1" thickBot="1" x14ac:dyDescent="0.25">
      <c r="L2924" s="645"/>
      <c r="M2924" s="616"/>
      <c r="N2924" s="616"/>
      <c r="O2924" s="616"/>
      <c r="P2924" s="615"/>
      <c r="Q2924" s="616"/>
      <c r="R2924" s="663"/>
      <c r="S2924" s="459"/>
      <c r="T2924" s="459"/>
      <c r="U2924" s="459"/>
      <c r="V2924" s="459"/>
      <c r="W2924" s="459"/>
      <c r="X2924" s="459"/>
      <c r="Y2924" s="666"/>
      <c r="Z2924" s="664"/>
      <c r="AA2924" s="665"/>
      <c r="AB2924" s="665"/>
      <c r="AC2924" s="665"/>
      <c r="AD2924" s="665"/>
      <c r="AE2924" s="665"/>
      <c r="AF2924" s="649"/>
      <c r="AG2924" s="650"/>
      <c r="AH2924" s="650"/>
      <c r="AI2924" s="667"/>
    </row>
    <row r="2925" spans="12:35" ht="45" customHeight="1" thickBot="1" x14ac:dyDescent="0.25">
      <c r="L2925" s="645"/>
      <c r="M2925" s="616"/>
      <c r="N2925" s="616"/>
      <c r="O2925" s="616"/>
      <c r="P2925" s="615"/>
      <c r="Q2925" s="616"/>
      <c r="R2925" s="663"/>
      <c r="S2925" s="459"/>
      <c r="T2925" s="459"/>
      <c r="U2925" s="459"/>
      <c r="V2925" s="459"/>
      <c r="W2925" s="459"/>
      <c r="X2925" s="459"/>
      <c r="Y2925" s="666"/>
      <c r="Z2925" s="664"/>
      <c r="AA2925" s="665"/>
      <c r="AB2925" s="665"/>
      <c r="AC2925" s="665"/>
      <c r="AD2925" s="665"/>
      <c r="AE2925" s="665"/>
      <c r="AF2925" s="649"/>
      <c r="AG2925" s="650"/>
      <c r="AH2925" s="650"/>
      <c r="AI2925" s="667"/>
    </row>
    <row r="2926" spans="12:35" ht="45" customHeight="1" thickBot="1" x14ac:dyDescent="0.25">
      <c r="L2926" s="645"/>
      <c r="M2926" s="616"/>
      <c r="N2926" s="616"/>
      <c r="O2926" s="616"/>
      <c r="P2926" s="615"/>
      <c r="Q2926" s="616"/>
      <c r="R2926" s="663"/>
      <c r="S2926" s="459"/>
      <c r="T2926" s="459"/>
      <c r="U2926" s="459"/>
      <c r="V2926" s="459"/>
      <c r="W2926" s="459"/>
      <c r="X2926" s="459"/>
      <c r="Y2926" s="666"/>
      <c r="Z2926" s="664"/>
      <c r="AA2926" s="665"/>
      <c r="AB2926" s="665"/>
      <c r="AC2926" s="665"/>
      <c r="AD2926" s="665"/>
      <c r="AE2926" s="665"/>
      <c r="AF2926" s="649"/>
      <c r="AG2926" s="650"/>
      <c r="AH2926" s="650"/>
      <c r="AI2926" s="667"/>
    </row>
    <row r="2927" spans="12:35" ht="45" customHeight="1" thickBot="1" x14ac:dyDescent="0.25">
      <c r="L2927" s="645"/>
      <c r="M2927" s="616"/>
      <c r="N2927" s="616"/>
      <c r="O2927" s="616"/>
      <c r="P2927" s="615"/>
      <c r="Q2927" s="616"/>
      <c r="R2927" s="663"/>
      <c r="S2927" s="459"/>
      <c r="T2927" s="459"/>
      <c r="U2927" s="459"/>
      <c r="V2927" s="459"/>
      <c r="W2927" s="459"/>
      <c r="X2927" s="459"/>
      <c r="Y2927" s="666"/>
      <c r="Z2927" s="664"/>
      <c r="AA2927" s="665"/>
      <c r="AB2927" s="665"/>
      <c r="AC2927" s="665"/>
      <c r="AD2927" s="665"/>
      <c r="AE2927" s="665"/>
      <c r="AF2927" s="649"/>
      <c r="AG2927" s="650"/>
      <c r="AH2927" s="650"/>
      <c r="AI2927" s="667"/>
    </row>
    <row r="2928" spans="12:35" ht="45" customHeight="1" thickBot="1" x14ac:dyDescent="0.25">
      <c r="L2928" s="645"/>
      <c r="M2928" s="616"/>
      <c r="N2928" s="616"/>
      <c r="O2928" s="616"/>
      <c r="P2928" s="615"/>
      <c r="Q2928" s="616"/>
      <c r="R2928" s="663"/>
      <c r="S2928" s="459"/>
      <c r="T2928" s="459"/>
      <c r="U2928" s="459"/>
      <c r="V2928" s="459"/>
      <c r="W2928" s="459"/>
      <c r="X2928" s="459"/>
      <c r="Y2928" s="666"/>
      <c r="Z2928" s="664"/>
      <c r="AA2928" s="665"/>
      <c r="AB2928" s="665"/>
      <c r="AC2928" s="665"/>
      <c r="AD2928" s="665"/>
      <c r="AE2928" s="665"/>
      <c r="AF2928" s="649"/>
      <c r="AG2928" s="650"/>
      <c r="AH2928" s="650"/>
      <c r="AI2928" s="667"/>
    </row>
    <row r="2929" spans="12:35" ht="45" customHeight="1" thickBot="1" x14ac:dyDescent="0.25">
      <c r="L2929" s="645"/>
      <c r="M2929" s="616"/>
      <c r="N2929" s="616"/>
      <c r="O2929" s="616"/>
      <c r="P2929" s="615"/>
      <c r="Q2929" s="616"/>
      <c r="R2929" s="663"/>
      <c r="S2929" s="459"/>
      <c r="T2929" s="459"/>
      <c r="U2929" s="459"/>
      <c r="V2929" s="459"/>
      <c r="W2929" s="459"/>
      <c r="X2929" s="459"/>
      <c r="Y2929" s="666"/>
      <c r="Z2929" s="664"/>
      <c r="AA2929" s="665"/>
      <c r="AB2929" s="665"/>
      <c r="AC2929" s="665"/>
      <c r="AD2929" s="665"/>
      <c r="AE2929" s="665"/>
      <c r="AF2929" s="649"/>
      <c r="AG2929" s="650"/>
      <c r="AH2929" s="650"/>
      <c r="AI2929" s="667"/>
    </row>
    <row r="2930" spans="12:35" ht="45" customHeight="1" thickBot="1" x14ac:dyDescent="0.25">
      <c r="L2930" s="645"/>
      <c r="M2930" s="616"/>
      <c r="N2930" s="616"/>
      <c r="O2930" s="616"/>
      <c r="P2930" s="615"/>
      <c r="Q2930" s="616"/>
      <c r="R2930" s="663"/>
      <c r="S2930" s="459"/>
      <c r="T2930" s="459"/>
      <c r="U2930" s="459"/>
      <c r="V2930" s="459"/>
      <c r="W2930" s="459"/>
      <c r="X2930" s="459"/>
      <c r="Y2930" s="666"/>
      <c r="Z2930" s="664"/>
      <c r="AA2930" s="665"/>
      <c r="AB2930" s="665"/>
      <c r="AC2930" s="665"/>
      <c r="AD2930" s="665"/>
      <c r="AE2930" s="665"/>
      <c r="AF2930" s="649"/>
      <c r="AG2930" s="650"/>
      <c r="AH2930" s="650"/>
      <c r="AI2930" s="667"/>
    </row>
    <row r="2931" spans="12:35" ht="45" customHeight="1" thickBot="1" x14ac:dyDescent="0.25">
      <c r="L2931" s="645"/>
      <c r="M2931" s="616"/>
      <c r="N2931" s="616"/>
      <c r="O2931" s="616"/>
      <c r="P2931" s="615"/>
      <c r="Q2931" s="616"/>
      <c r="R2931" s="663"/>
      <c r="S2931" s="459"/>
      <c r="T2931" s="459"/>
      <c r="U2931" s="459"/>
      <c r="V2931" s="459"/>
      <c r="W2931" s="459"/>
      <c r="X2931" s="459"/>
      <c r="Y2931" s="666"/>
      <c r="Z2931" s="664"/>
      <c r="AA2931" s="665"/>
      <c r="AB2931" s="665"/>
      <c r="AC2931" s="665"/>
      <c r="AD2931" s="665"/>
      <c r="AE2931" s="665"/>
      <c r="AF2931" s="649"/>
      <c r="AG2931" s="650"/>
      <c r="AH2931" s="650"/>
      <c r="AI2931" s="667"/>
    </row>
    <row r="2932" spans="12:35" ht="45" customHeight="1" thickBot="1" x14ac:dyDescent="0.25">
      <c r="L2932" s="645"/>
      <c r="M2932" s="616"/>
      <c r="N2932" s="616"/>
      <c r="O2932" s="616"/>
      <c r="P2932" s="615"/>
      <c r="Q2932" s="616"/>
      <c r="R2932" s="663"/>
      <c r="S2932" s="459"/>
      <c r="T2932" s="459"/>
      <c r="U2932" s="459"/>
      <c r="V2932" s="459"/>
      <c r="W2932" s="459"/>
      <c r="X2932" s="459"/>
      <c r="Y2932" s="666"/>
      <c r="Z2932" s="664"/>
      <c r="AA2932" s="665"/>
      <c r="AB2932" s="665"/>
      <c r="AC2932" s="665"/>
      <c r="AD2932" s="665"/>
      <c r="AE2932" s="665"/>
      <c r="AF2932" s="649"/>
      <c r="AG2932" s="650"/>
      <c r="AH2932" s="650"/>
      <c r="AI2932" s="667"/>
    </row>
    <row r="2933" spans="12:35" ht="45" customHeight="1" thickBot="1" x14ac:dyDescent="0.25">
      <c r="L2933" s="645"/>
      <c r="M2933" s="616"/>
      <c r="N2933" s="616"/>
      <c r="O2933" s="616"/>
      <c r="P2933" s="615"/>
      <c r="Q2933" s="616"/>
      <c r="R2933" s="663"/>
      <c r="S2933" s="459"/>
      <c r="T2933" s="459"/>
      <c r="U2933" s="459"/>
      <c r="V2933" s="459"/>
      <c r="W2933" s="459"/>
      <c r="X2933" s="459"/>
      <c r="Y2933" s="666"/>
      <c r="Z2933" s="664"/>
      <c r="AA2933" s="665"/>
      <c r="AB2933" s="665"/>
      <c r="AC2933" s="665"/>
      <c r="AD2933" s="665"/>
      <c r="AE2933" s="665"/>
      <c r="AF2933" s="649"/>
      <c r="AG2933" s="650"/>
      <c r="AH2933" s="650"/>
      <c r="AI2933" s="667"/>
    </row>
    <row r="2934" spans="12:35" ht="45" customHeight="1" thickBot="1" x14ac:dyDescent="0.25">
      <c r="L2934" s="645"/>
      <c r="M2934" s="616"/>
      <c r="N2934" s="616"/>
      <c r="O2934" s="616"/>
      <c r="P2934" s="615"/>
      <c r="Q2934" s="616"/>
      <c r="R2934" s="663"/>
      <c r="S2934" s="459"/>
      <c r="T2934" s="459"/>
      <c r="U2934" s="459"/>
      <c r="V2934" s="459"/>
      <c r="W2934" s="459"/>
      <c r="X2934" s="459"/>
      <c r="Y2934" s="666"/>
      <c r="Z2934" s="664"/>
      <c r="AA2934" s="665"/>
      <c r="AB2934" s="665"/>
      <c r="AC2934" s="665"/>
      <c r="AD2934" s="665"/>
      <c r="AE2934" s="665"/>
      <c r="AF2934" s="649"/>
      <c r="AG2934" s="650"/>
      <c r="AH2934" s="650"/>
      <c r="AI2934" s="667"/>
    </row>
    <row r="2935" spans="12:35" ht="45" customHeight="1" thickBot="1" x14ac:dyDescent="0.25">
      <c r="L2935" s="645"/>
      <c r="M2935" s="616"/>
      <c r="N2935" s="616"/>
      <c r="O2935" s="616"/>
      <c r="P2935" s="615"/>
      <c r="Q2935" s="616"/>
      <c r="R2935" s="663"/>
      <c r="S2935" s="459"/>
      <c r="T2935" s="459"/>
      <c r="U2935" s="459"/>
      <c r="V2935" s="459"/>
      <c r="W2935" s="459"/>
      <c r="X2935" s="459"/>
      <c r="Y2935" s="666"/>
      <c r="Z2935" s="664"/>
      <c r="AA2935" s="665"/>
      <c r="AB2935" s="665"/>
      <c r="AC2935" s="665"/>
      <c r="AD2935" s="665"/>
      <c r="AE2935" s="665"/>
      <c r="AF2935" s="649"/>
      <c r="AG2935" s="650"/>
      <c r="AH2935" s="650"/>
      <c r="AI2935" s="667"/>
    </row>
    <row r="2936" spans="12:35" ht="45" customHeight="1" thickBot="1" x14ac:dyDescent="0.25">
      <c r="L2936" s="645"/>
      <c r="M2936" s="616"/>
      <c r="N2936" s="616"/>
      <c r="O2936" s="616"/>
      <c r="P2936" s="615"/>
      <c r="Q2936" s="616"/>
      <c r="R2936" s="663"/>
      <c r="S2936" s="459"/>
      <c r="T2936" s="459"/>
      <c r="U2936" s="459"/>
      <c r="V2936" s="459"/>
      <c r="W2936" s="459"/>
      <c r="X2936" s="459"/>
      <c r="Y2936" s="666"/>
      <c r="Z2936" s="664"/>
      <c r="AA2936" s="665"/>
      <c r="AB2936" s="665"/>
      <c r="AC2936" s="665"/>
      <c r="AD2936" s="665"/>
      <c r="AE2936" s="665"/>
      <c r="AF2936" s="649"/>
      <c r="AG2936" s="650"/>
      <c r="AH2936" s="650"/>
      <c r="AI2936" s="667"/>
    </row>
    <row r="2937" spans="12:35" ht="45" customHeight="1" thickBot="1" x14ac:dyDescent="0.25">
      <c r="L2937" s="645"/>
      <c r="M2937" s="616"/>
      <c r="N2937" s="616"/>
      <c r="O2937" s="616"/>
      <c r="P2937" s="615"/>
      <c r="Q2937" s="616"/>
      <c r="R2937" s="663"/>
      <c r="S2937" s="459"/>
      <c r="T2937" s="459"/>
      <c r="U2937" s="459"/>
      <c r="V2937" s="459"/>
      <c r="W2937" s="459"/>
      <c r="X2937" s="459"/>
      <c r="Y2937" s="666"/>
      <c r="Z2937" s="664"/>
      <c r="AA2937" s="665"/>
      <c r="AB2937" s="665"/>
      <c r="AC2937" s="665"/>
      <c r="AD2937" s="665"/>
      <c r="AE2937" s="665"/>
      <c r="AF2937" s="649"/>
      <c r="AG2937" s="650"/>
      <c r="AH2937" s="650"/>
      <c r="AI2937" s="667"/>
    </row>
    <row r="2938" spans="12:35" ht="45" customHeight="1" thickBot="1" x14ac:dyDescent="0.25">
      <c r="L2938" s="645"/>
      <c r="M2938" s="616"/>
      <c r="N2938" s="616"/>
      <c r="O2938" s="616"/>
      <c r="P2938" s="615"/>
      <c r="Q2938" s="616"/>
      <c r="R2938" s="663"/>
      <c r="S2938" s="459"/>
      <c r="T2938" s="459"/>
      <c r="U2938" s="459"/>
      <c r="V2938" s="459"/>
      <c r="W2938" s="459"/>
      <c r="X2938" s="459"/>
      <c r="Y2938" s="666"/>
      <c r="Z2938" s="664"/>
      <c r="AA2938" s="665"/>
      <c r="AB2938" s="665"/>
      <c r="AC2938" s="665"/>
      <c r="AD2938" s="665"/>
      <c r="AE2938" s="665"/>
      <c r="AF2938" s="649"/>
      <c r="AG2938" s="650"/>
      <c r="AH2938" s="650"/>
      <c r="AI2938" s="667"/>
    </row>
    <row r="2939" spans="12:35" ht="45" customHeight="1" thickBot="1" x14ac:dyDescent="0.25">
      <c r="L2939" s="645"/>
      <c r="M2939" s="616"/>
      <c r="N2939" s="616"/>
      <c r="O2939" s="616"/>
      <c r="P2939" s="615"/>
      <c r="Q2939" s="616"/>
      <c r="R2939" s="663"/>
      <c r="S2939" s="459"/>
      <c r="T2939" s="459"/>
      <c r="U2939" s="459"/>
      <c r="V2939" s="459"/>
      <c r="W2939" s="459"/>
      <c r="X2939" s="459"/>
      <c r="Y2939" s="666"/>
      <c r="Z2939" s="664"/>
      <c r="AA2939" s="665"/>
      <c r="AB2939" s="665"/>
      <c r="AC2939" s="665"/>
      <c r="AD2939" s="665"/>
      <c r="AE2939" s="665"/>
      <c r="AF2939" s="649"/>
      <c r="AG2939" s="650"/>
      <c r="AH2939" s="650"/>
      <c r="AI2939" s="667"/>
    </row>
    <row r="2940" spans="12:35" ht="45" customHeight="1" thickBot="1" x14ac:dyDescent="0.25">
      <c r="L2940" s="645"/>
      <c r="M2940" s="616"/>
      <c r="N2940" s="616"/>
      <c r="O2940" s="616"/>
      <c r="P2940" s="615"/>
      <c r="Q2940" s="616"/>
      <c r="R2940" s="663"/>
      <c r="S2940" s="459"/>
      <c r="T2940" s="459"/>
      <c r="U2940" s="459"/>
      <c r="V2940" s="459"/>
      <c r="W2940" s="459"/>
      <c r="X2940" s="459"/>
      <c r="Y2940" s="666"/>
      <c r="Z2940" s="664"/>
      <c r="AA2940" s="665"/>
      <c r="AB2940" s="665"/>
      <c r="AC2940" s="665"/>
      <c r="AD2940" s="665"/>
      <c r="AE2940" s="665"/>
      <c r="AF2940" s="649"/>
      <c r="AG2940" s="650"/>
      <c r="AH2940" s="650"/>
      <c r="AI2940" s="667"/>
    </row>
    <row r="2941" spans="12:35" ht="45" customHeight="1" thickBot="1" x14ac:dyDescent="0.25">
      <c r="L2941" s="645"/>
      <c r="M2941" s="616"/>
      <c r="N2941" s="616"/>
      <c r="O2941" s="616"/>
      <c r="P2941" s="615"/>
      <c r="Q2941" s="616"/>
      <c r="R2941" s="663"/>
      <c r="S2941" s="459"/>
      <c r="T2941" s="459"/>
      <c r="U2941" s="459"/>
      <c r="V2941" s="459"/>
      <c r="W2941" s="459"/>
      <c r="X2941" s="459"/>
      <c r="Y2941" s="666"/>
      <c r="Z2941" s="664"/>
      <c r="AA2941" s="665"/>
      <c r="AB2941" s="665"/>
      <c r="AC2941" s="665"/>
      <c r="AD2941" s="665"/>
      <c r="AE2941" s="665"/>
      <c r="AF2941" s="649"/>
      <c r="AG2941" s="650"/>
      <c r="AH2941" s="650"/>
      <c r="AI2941" s="667"/>
    </row>
    <row r="2942" spans="12:35" ht="45" customHeight="1" thickBot="1" x14ac:dyDescent="0.25">
      <c r="L2942" s="645"/>
      <c r="M2942" s="616"/>
      <c r="N2942" s="616"/>
      <c r="O2942" s="616"/>
      <c r="P2942" s="615"/>
      <c r="Q2942" s="616"/>
      <c r="R2942" s="663"/>
      <c r="S2942" s="459"/>
      <c r="T2942" s="459"/>
      <c r="U2942" s="459"/>
      <c r="V2942" s="459"/>
      <c r="W2942" s="459"/>
      <c r="X2942" s="459"/>
      <c r="Y2942" s="666"/>
      <c r="Z2942" s="664"/>
      <c r="AA2942" s="665"/>
      <c r="AB2942" s="665"/>
      <c r="AC2942" s="665"/>
      <c r="AD2942" s="665"/>
      <c r="AE2942" s="665"/>
      <c r="AF2942" s="649"/>
      <c r="AG2942" s="650"/>
      <c r="AH2942" s="650"/>
      <c r="AI2942" s="667"/>
    </row>
    <row r="2943" spans="12:35" ht="45" customHeight="1" thickBot="1" x14ac:dyDescent="0.25">
      <c r="L2943" s="645"/>
      <c r="M2943" s="616"/>
      <c r="N2943" s="616"/>
      <c r="O2943" s="616"/>
      <c r="P2943" s="615"/>
      <c r="Q2943" s="616"/>
      <c r="R2943" s="663"/>
      <c r="S2943" s="459"/>
      <c r="T2943" s="459"/>
      <c r="U2943" s="459"/>
      <c r="V2943" s="459"/>
      <c r="W2943" s="459"/>
      <c r="X2943" s="459"/>
      <c r="Y2943" s="666"/>
      <c r="Z2943" s="664"/>
      <c r="AA2943" s="665"/>
      <c r="AB2943" s="665"/>
      <c r="AC2943" s="665"/>
      <c r="AD2943" s="665"/>
      <c r="AE2943" s="665"/>
      <c r="AF2943" s="649"/>
      <c r="AG2943" s="650"/>
      <c r="AH2943" s="650"/>
      <c r="AI2943" s="667"/>
    </row>
    <row r="2944" spans="12:35" ht="45" customHeight="1" thickBot="1" x14ac:dyDescent="0.25">
      <c r="L2944" s="645"/>
      <c r="M2944" s="616"/>
      <c r="N2944" s="616"/>
      <c r="O2944" s="616"/>
      <c r="P2944" s="615"/>
      <c r="Q2944" s="616"/>
      <c r="R2944" s="663"/>
      <c r="S2944" s="459"/>
      <c r="T2944" s="459"/>
      <c r="U2944" s="459"/>
      <c r="V2944" s="459"/>
      <c r="W2944" s="459"/>
      <c r="X2944" s="459"/>
      <c r="Y2944" s="666"/>
      <c r="Z2944" s="664"/>
      <c r="AA2944" s="665"/>
      <c r="AB2944" s="665"/>
      <c r="AC2944" s="665"/>
      <c r="AD2944" s="665"/>
      <c r="AE2944" s="665"/>
      <c r="AF2944" s="649"/>
      <c r="AG2944" s="650"/>
      <c r="AH2944" s="650"/>
      <c r="AI2944" s="667"/>
    </row>
    <row r="2945" spans="12:35" ht="45" customHeight="1" thickBot="1" x14ac:dyDescent="0.25">
      <c r="L2945" s="645"/>
      <c r="M2945" s="616"/>
      <c r="N2945" s="616"/>
      <c r="O2945" s="616"/>
      <c r="P2945" s="615"/>
      <c r="Q2945" s="616"/>
      <c r="R2945" s="663"/>
      <c r="S2945" s="459"/>
      <c r="T2945" s="459"/>
      <c r="U2945" s="459"/>
      <c r="V2945" s="459"/>
      <c r="W2945" s="459"/>
      <c r="X2945" s="459"/>
      <c r="Y2945" s="666"/>
      <c r="Z2945" s="664"/>
      <c r="AA2945" s="665"/>
      <c r="AB2945" s="665"/>
      <c r="AC2945" s="665"/>
      <c r="AD2945" s="665"/>
      <c r="AE2945" s="665"/>
      <c r="AF2945" s="649"/>
      <c r="AG2945" s="650"/>
      <c r="AH2945" s="650"/>
      <c r="AI2945" s="667"/>
    </row>
    <row r="2946" spans="12:35" ht="45" customHeight="1" thickBot="1" x14ac:dyDescent="0.25">
      <c r="L2946" s="645"/>
      <c r="M2946" s="616"/>
      <c r="N2946" s="616"/>
      <c r="O2946" s="616"/>
      <c r="P2946" s="615"/>
      <c r="Q2946" s="616"/>
      <c r="R2946" s="663"/>
      <c r="S2946" s="459"/>
      <c r="T2946" s="459"/>
      <c r="U2946" s="459"/>
      <c r="V2946" s="459"/>
      <c r="W2946" s="459"/>
      <c r="X2946" s="459"/>
      <c r="Y2946" s="666"/>
      <c r="Z2946" s="664"/>
      <c r="AA2946" s="665"/>
      <c r="AB2946" s="665"/>
      <c r="AC2946" s="665"/>
      <c r="AD2946" s="665"/>
      <c r="AE2946" s="665"/>
      <c r="AF2946" s="649"/>
      <c r="AG2946" s="650"/>
      <c r="AH2946" s="650"/>
      <c r="AI2946" s="667"/>
    </row>
    <row r="2947" spans="12:35" ht="45" customHeight="1" thickBot="1" x14ac:dyDescent="0.25">
      <c r="L2947" s="645"/>
      <c r="M2947" s="616"/>
      <c r="N2947" s="616"/>
      <c r="O2947" s="616"/>
      <c r="P2947" s="615"/>
      <c r="Q2947" s="616"/>
      <c r="R2947" s="663"/>
      <c r="S2947" s="459"/>
      <c r="T2947" s="459"/>
      <c r="U2947" s="459"/>
      <c r="V2947" s="459"/>
      <c r="W2947" s="459"/>
      <c r="X2947" s="459"/>
      <c r="Y2947" s="666"/>
      <c r="Z2947" s="664"/>
      <c r="AA2947" s="665"/>
      <c r="AB2947" s="665"/>
      <c r="AC2947" s="665"/>
      <c r="AD2947" s="665"/>
      <c r="AE2947" s="665"/>
      <c r="AF2947" s="649"/>
      <c r="AG2947" s="650"/>
      <c r="AH2947" s="650"/>
      <c r="AI2947" s="667"/>
    </row>
    <row r="2948" spans="12:35" ht="45" customHeight="1" thickBot="1" x14ac:dyDescent="0.25">
      <c r="L2948" s="645"/>
      <c r="M2948" s="616"/>
      <c r="N2948" s="616"/>
      <c r="O2948" s="616"/>
      <c r="P2948" s="615"/>
      <c r="Q2948" s="616"/>
      <c r="R2948" s="663"/>
      <c r="S2948" s="459"/>
      <c r="T2948" s="459"/>
      <c r="U2948" s="459"/>
      <c r="V2948" s="459"/>
      <c r="W2948" s="459"/>
      <c r="X2948" s="459"/>
      <c r="Y2948" s="666"/>
      <c r="Z2948" s="664"/>
      <c r="AA2948" s="665"/>
      <c r="AB2948" s="665"/>
      <c r="AC2948" s="665"/>
      <c r="AD2948" s="665"/>
      <c r="AE2948" s="665"/>
      <c r="AF2948" s="649"/>
      <c r="AG2948" s="650"/>
      <c r="AH2948" s="650"/>
      <c r="AI2948" s="667"/>
    </row>
    <row r="2949" spans="12:35" ht="45" customHeight="1" thickBot="1" x14ac:dyDescent="0.25">
      <c r="L2949" s="645"/>
      <c r="M2949" s="616"/>
      <c r="N2949" s="616"/>
      <c r="O2949" s="616"/>
      <c r="P2949" s="615"/>
      <c r="Q2949" s="616"/>
      <c r="R2949" s="663"/>
      <c r="S2949" s="459"/>
      <c r="T2949" s="459"/>
      <c r="U2949" s="459"/>
      <c r="V2949" s="459"/>
      <c r="W2949" s="459"/>
      <c r="X2949" s="459"/>
      <c r="Y2949" s="666"/>
      <c r="Z2949" s="664"/>
      <c r="AA2949" s="665"/>
      <c r="AB2949" s="665"/>
      <c r="AC2949" s="665"/>
      <c r="AD2949" s="665"/>
      <c r="AE2949" s="665"/>
      <c r="AF2949" s="649"/>
      <c r="AG2949" s="650"/>
      <c r="AH2949" s="650"/>
      <c r="AI2949" s="667"/>
    </row>
    <row r="2950" spans="12:35" ht="45" customHeight="1" thickBot="1" x14ac:dyDescent="0.25">
      <c r="L2950" s="645"/>
      <c r="M2950" s="616"/>
      <c r="N2950" s="616"/>
      <c r="O2950" s="616"/>
      <c r="P2950" s="615"/>
      <c r="Q2950" s="616"/>
      <c r="R2950" s="663"/>
      <c r="S2950" s="459"/>
      <c r="T2950" s="459"/>
      <c r="U2950" s="459"/>
      <c r="V2950" s="459"/>
      <c r="W2950" s="459"/>
      <c r="X2950" s="459"/>
      <c r="Y2950" s="666"/>
      <c r="Z2950" s="664"/>
      <c r="AA2950" s="665"/>
      <c r="AB2950" s="665"/>
      <c r="AC2950" s="665"/>
      <c r="AD2950" s="665"/>
      <c r="AE2950" s="665"/>
      <c r="AF2950" s="649"/>
      <c r="AG2950" s="650"/>
      <c r="AH2950" s="650"/>
      <c r="AI2950" s="667"/>
    </row>
    <row r="2951" spans="12:35" ht="45" customHeight="1" thickBot="1" x14ac:dyDescent="0.25">
      <c r="L2951" s="645"/>
      <c r="M2951" s="616"/>
      <c r="N2951" s="616"/>
      <c r="O2951" s="616"/>
      <c r="P2951" s="615"/>
      <c r="Q2951" s="616"/>
      <c r="R2951" s="663"/>
      <c r="S2951" s="459"/>
      <c r="T2951" s="459"/>
      <c r="U2951" s="459"/>
      <c r="V2951" s="459"/>
      <c r="W2951" s="459"/>
      <c r="X2951" s="459"/>
      <c r="Y2951" s="666"/>
      <c r="Z2951" s="664"/>
      <c r="AA2951" s="665"/>
      <c r="AB2951" s="665"/>
      <c r="AC2951" s="665"/>
      <c r="AD2951" s="665"/>
      <c r="AE2951" s="665"/>
      <c r="AF2951" s="649"/>
      <c r="AG2951" s="650"/>
      <c r="AH2951" s="650"/>
      <c r="AI2951" s="667"/>
    </row>
    <row r="2952" spans="12:35" ht="45" customHeight="1" thickBot="1" x14ac:dyDescent="0.25">
      <c r="L2952" s="645"/>
      <c r="M2952" s="616"/>
      <c r="N2952" s="616"/>
      <c r="O2952" s="616"/>
      <c r="P2952" s="615"/>
      <c r="Q2952" s="616"/>
      <c r="R2952" s="663"/>
      <c r="S2952" s="459"/>
      <c r="T2952" s="459"/>
      <c r="U2952" s="459"/>
      <c r="V2952" s="459"/>
      <c r="W2952" s="459"/>
      <c r="X2952" s="459"/>
      <c r="Y2952" s="666"/>
      <c r="Z2952" s="664"/>
      <c r="AA2952" s="665"/>
      <c r="AB2952" s="665"/>
      <c r="AC2952" s="665"/>
      <c r="AD2952" s="665"/>
      <c r="AE2952" s="665"/>
      <c r="AF2952" s="649"/>
      <c r="AG2952" s="650"/>
      <c r="AH2952" s="650"/>
      <c r="AI2952" s="667"/>
    </row>
    <row r="2953" spans="12:35" ht="45" customHeight="1" thickBot="1" x14ac:dyDescent="0.25">
      <c r="L2953" s="645"/>
      <c r="M2953" s="616"/>
      <c r="N2953" s="616"/>
      <c r="O2953" s="616"/>
      <c r="P2953" s="615"/>
      <c r="Q2953" s="616"/>
      <c r="R2953" s="663"/>
      <c r="S2953" s="459"/>
      <c r="T2953" s="459"/>
      <c r="U2953" s="459"/>
      <c r="V2953" s="459"/>
      <c r="W2953" s="459"/>
      <c r="X2953" s="459"/>
      <c r="Y2953" s="666"/>
      <c r="Z2953" s="664"/>
      <c r="AA2953" s="665"/>
      <c r="AB2953" s="665"/>
      <c r="AC2953" s="665"/>
      <c r="AD2953" s="665"/>
      <c r="AE2953" s="665"/>
      <c r="AF2953" s="649"/>
      <c r="AG2953" s="650"/>
      <c r="AH2953" s="650"/>
      <c r="AI2953" s="667"/>
    </row>
    <row r="2954" spans="12:35" ht="45" customHeight="1" thickBot="1" x14ac:dyDescent="0.25">
      <c r="L2954" s="645"/>
      <c r="M2954" s="616"/>
      <c r="N2954" s="616"/>
      <c r="O2954" s="616"/>
      <c r="P2954" s="615"/>
      <c r="Q2954" s="616"/>
      <c r="R2954" s="663"/>
      <c r="S2954" s="459"/>
      <c r="T2954" s="459"/>
      <c r="U2954" s="459"/>
      <c r="V2954" s="459"/>
      <c r="W2954" s="459"/>
      <c r="X2954" s="459"/>
      <c r="Y2954" s="666"/>
      <c r="Z2954" s="664"/>
      <c r="AA2954" s="665"/>
      <c r="AB2954" s="665"/>
      <c r="AC2954" s="665"/>
      <c r="AD2954" s="665"/>
      <c r="AE2954" s="665"/>
      <c r="AF2954" s="649"/>
      <c r="AG2954" s="650"/>
      <c r="AH2954" s="650"/>
      <c r="AI2954" s="667"/>
    </row>
    <row r="2955" spans="12:35" ht="45" customHeight="1" thickBot="1" x14ac:dyDescent="0.25">
      <c r="L2955" s="645"/>
      <c r="M2955" s="616"/>
      <c r="N2955" s="616"/>
      <c r="O2955" s="616"/>
      <c r="P2955" s="615"/>
      <c r="Q2955" s="616"/>
      <c r="R2955" s="663"/>
      <c r="S2955" s="459"/>
      <c r="T2955" s="459"/>
      <c r="U2955" s="459"/>
      <c r="V2955" s="459"/>
      <c r="W2955" s="459"/>
      <c r="X2955" s="459"/>
      <c r="Y2955" s="666"/>
      <c r="Z2955" s="664"/>
      <c r="AA2955" s="665"/>
      <c r="AB2955" s="665"/>
      <c r="AC2955" s="665"/>
      <c r="AD2955" s="665"/>
      <c r="AE2955" s="665"/>
      <c r="AF2955" s="649"/>
      <c r="AG2955" s="650"/>
      <c r="AH2955" s="650"/>
      <c r="AI2955" s="667"/>
    </row>
    <row r="2956" spans="12:35" ht="45" customHeight="1" thickBot="1" x14ac:dyDescent="0.25">
      <c r="L2956" s="645"/>
      <c r="M2956" s="616"/>
      <c r="N2956" s="616"/>
      <c r="O2956" s="616"/>
      <c r="P2956" s="615"/>
      <c r="Q2956" s="616"/>
      <c r="R2956" s="663"/>
      <c r="S2956" s="459"/>
      <c r="T2956" s="459"/>
      <c r="U2956" s="459"/>
      <c r="V2956" s="459"/>
      <c r="W2956" s="459"/>
      <c r="X2956" s="459"/>
      <c r="Y2956" s="666"/>
      <c r="Z2956" s="664"/>
      <c r="AA2956" s="665"/>
      <c r="AB2956" s="665"/>
      <c r="AC2956" s="665"/>
      <c r="AD2956" s="665"/>
      <c r="AE2956" s="665"/>
      <c r="AF2956" s="649"/>
      <c r="AG2956" s="650"/>
      <c r="AH2956" s="650"/>
      <c r="AI2956" s="667"/>
    </row>
    <row r="2957" spans="12:35" ht="45" customHeight="1" thickBot="1" x14ac:dyDescent="0.25">
      <c r="L2957" s="645"/>
      <c r="M2957" s="616"/>
      <c r="N2957" s="616"/>
      <c r="O2957" s="616"/>
      <c r="P2957" s="615"/>
      <c r="Q2957" s="616"/>
      <c r="R2957" s="663"/>
      <c r="S2957" s="459"/>
      <c r="T2957" s="459"/>
      <c r="U2957" s="459"/>
      <c r="V2957" s="459"/>
      <c r="W2957" s="459"/>
      <c r="X2957" s="459"/>
      <c r="Y2957" s="666"/>
      <c r="Z2957" s="664"/>
      <c r="AA2957" s="665"/>
      <c r="AB2957" s="665"/>
      <c r="AC2957" s="665"/>
      <c r="AD2957" s="665"/>
      <c r="AE2957" s="665"/>
      <c r="AF2957" s="649"/>
      <c r="AG2957" s="650"/>
      <c r="AH2957" s="650"/>
      <c r="AI2957" s="667"/>
    </row>
    <row r="2958" spans="12:35" ht="45" customHeight="1" thickBot="1" x14ac:dyDescent="0.25">
      <c r="L2958" s="645"/>
      <c r="M2958" s="616"/>
      <c r="N2958" s="616"/>
      <c r="O2958" s="616"/>
      <c r="P2958" s="615"/>
      <c r="Q2958" s="616"/>
      <c r="R2958" s="663"/>
      <c r="S2958" s="459"/>
      <c r="T2958" s="459"/>
      <c r="U2958" s="459"/>
      <c r="V2958" s="459"/>
      <c r="W2958" s="459"/>
      <c r="X2958" s="459"/>
      <c r="Y2958" s="666"/>
      <c r="Z2958" s="664"/>
      <c r="AA2958" s="665"/>
      <c r="AB2958" s="665"/>
      <c r="AC2958" s="665"/>
      <c r="AD2958" s="665"/>
      <c r="AE2958" s="665"/>
      <c r="AF2958" s="649"/>
      <c r="AG2958" s="650"/>
      <c r="AH2958" s="650"/>
      <c r="AI2958" s="667"/>
    </row>
    <row r="2959" spans="12:35" ht="45" customHeight="1" thickBot="1" x14ac:dyDescent="0.25">
      <c r="L2959" s="645"/>
      <c r="M2959" s="616"/>
      <c r="N2959" s="616"/>
      <c r="O2959" s="616"/>
      <c r="P2959" s="615"/>
      <c r="Q2959" s="616"/>
      <c r="R2959" s="663"/>
      <c r="S2959" s="459"/>
      <c r="T2959" s="459"/>
      <c r="U2959" s="459"/>
      <c r="V2959" s="459"/>
      <c r="W2959" s="459"/>
      <c r="X2959" s="459"/>
      <c r="Y2959" s="666"/>
      <c r="Z2959" s="664"/>
      <c r="AA2959" s="665"/>
      <c r="AB2959" s="665"/>
      <c r="AC2959" s="665"/>
      <c r="AD2959" s="665"/>
      <c r="AE2959" s="665"/>
      <c r="AF2959" s="649"/>
      <c r="AG2959" s="650"/>
      <c r="AH2959" s="650"/>
      <c r="AI2959" s="667"/>
    </row>
    <row r="2960" spans="12:35" ht="45" customHeight="1" thickBot="1" x14ac:dyDescent="0.25">
      <c r="L2960" s="645"/>
      <c r="M2960" s="616"/>
      <c r="N2960" s="616"/>
      <c r="O2960" s="616"/>
      <c r="P2960" s="615"/>
      <c r="Q2960" s="616"/>
      <c r="R2960" s="663"/>
      <c r="S2960" s="459"/>
      <c r="T2960" s="459"/>
      <c r="U2960" s="459"/>
      <c r="V2960" s="459"/>
      <c r="W2960" s="459"/>
      <c r="X2960" s="459"/>
      <c r="Y2960" s="666"/>
      <c r="Z2960" s="664"/>
      <c r="AA2960" s="665"/>
      <c r="AB2960" s="665"/>
      <c r="AC2960" s="665"/>
      <c r="AD2960" s="665"/>
      <c r="AE2960" s="665"/>
      <c r="AF2960" s="649"/>
      <c r="AG2960" s="650"/>
      <c r="AH2960" s="650"/>
      <c r="AI2960" s="667"/>
    </row>
    <row r="2961" spans="12:35" ht="45" customHeight="1" thickBot="1" x14ac:dyDescent="0.25">
      <c r="L2961" s="645"/>
      <c r="M2961" s="616"/>
      <c r="N2961" s="616"/>
      <c r="O2961" s="616"/>
      <c r="P2961" s="615"/>
      <c r="Q2961" s="616"/>
      <c r="R2961" s="663"/>
      <c r="S2961" s="459"/>
      <c r="T2961" s="459"/>
      <c r="U2961" s="459"/>
      <c r="V2961" s="459"/>
      <c r="W2961" s="459"/>
      <c r="X2961" s="459"/>
      <c r="Y2961" s="666"/>
      <c r="Z2961" s="664"/>
      <c r="AA2961" s="665"/>
      <c r="AB2961" s="665"/>
      <c r="AC2961" s="665"/>
      <c r="AD2961" s="665"/>
      <c r="AE2961" s="665"/>
      <c r="AF2961" s="649"/>
      <c r="AG2961" s="650"/>
      <c r="AH2961" s="650"/>
      <c r="AI2961" s="667"/>
    </row>
    <row r="2962" spans="12:35" ht="45" customHeight="1" thickBot="1" x14ac:dyDescent="0.25">
      <c r="L2962" s="645"/>
      <c r="M2962" s="616"/>
      <c r="N2962" s="616"/>
      <c r="O2962" s="616"/>
      <c r="P2962" s="615"/>
      <c r="Q2962" s="616"/>
      <c r="R2962" s="663"/>
      <c r="S2962" s="459"/>
      <c r="T2962" s="459"/>
      <c r="U2962" s="459"/>
      <c r="V2962" s="459"/>
      <c r="W2962" s="459"/>
      <c r="X2962" s="459"/>
      <c r="Y2962" s="666"/>
      <c r="Z2962" s="664"/>
      <c r="AA2962" s="665"/>
      <c r="AB2962" s="665"/>
      <c r="AC2962" s="665"/>
      <c r="AD2962" s="665"/>
      <c r="AE2962" s="665"/>
      <c r="AF2962" s="649"/>
      <c r="AG2962" s="650"/>
      <c r="AH2962" s="650"/>
      <c r="AI2962" s="667"/>
    </row>
    <row r="2963" spans="12:35" ht="45" customHeight="1" thickBot="1" x14ac:dyDescent="0.25">
      <c r="L2963" s="645"/>
      <c r="M2963" s="616"/>
      <c r="N2963" s="616"/>
      <c r="O2963" s="616"/>
      <c r="P2963" s="615"/>
      <c r="Q2963" s="616"/>
      <c r="R2963" s="663"/>
      <c r="S2963" s="459"/>
      <c r="T2963" s="459"/>
      <c r="U2963" s="459"/>
      <c r="V2963" s="459"/>
      <c r="W2963" s="459"/>
      <c r="X2963" s="459"/>
      <c r="Y2963" s="666"/>
      <c r="Z2963" s="664"/>
      <c r="AA2963" s="665"/>
      <c r="AB2963" s="665"/>
      <c r="AC2963" s="665"/>
      <c r="AD2963" s="665"/>
      <c r="AE2963" s="665"/>
      <c r="AF2963" s="649"/>
      <c r="AG2963" s="650"/>
      <c r="AH2963" s="650"/>
      <c r="AI2963" s="667"/>
    </row>
    <row r="2964" spans="12:35" ht="45" customHeight="1" thickBot="1" x14ac:dyDescent="0.25">
      <c r="L2964" s="645"/>
      <c r="M2964" s="616"/>
      <c r="N2964" s="616"/>
      <c r="O2964" s="616"/>
      <c r="P2964" s="615"/>
      <c r="Q2964" s="616"/>
      <c r="R2964" s="663"/>
      <c r="S2964" s="459"/>
      <c r="T2964" s="459"/>
      <c r="U2964" s="459"/>
      <c r="V2964" s="459"/>
      <c r="W2964" s="459"/>
      <c r="X2964" s="459"/>
      <c r="Y2964" s="666"/>
      <c r="Z2964" s="664"/>
      <c r="AA2964" s="665"/>
      <c r="AB2964" s="665"/>
      <c r="AC2964" s="665"/>
      <c r="AD2964" s="665"/>
      <c r="AE2964" s="665"/>
      <c r="AF2964" s="649"/>
      <c r="AG2964" s="650"/>
      <c r="AH2964" s="650"/>
      <c r="AI2964" s="667"/>
    </row>
    <row r="2965" spans="12:35" ht="45" customHeight="1" thickBot="1" x14ac:dyDescent="0.25">
      <c r="L2965" s="645"/>
      <c r="M2965" s="616"/>
      <c r="N2965" s="616"/>
      <c r="O2965" s="616"/>
      <c r="P2965" s="615"/>
      <c r="Q2965" s="616"/>
      <c r="R2965" s="663"/>
      <c r="S2965" s="459"/>
      <c r="T2965" s="459"/>
      <c r="U2965" s="459"/>
      <c r="V2965" s="459"/>
      <c r="W2965" s="459"/>
      <c r="X2965" s="459"/>
      <c r="Y2965" s="666"/>
      <c r="Z2965" s="664"/>
      <c r="AA2965" s="665"/>
      <c r="AB2965" s="665"/>
      <c r="AC2965" s="665"/>
      <c r="AD2965" s="665"/>
      <c r="AE2965" s="665"/>
      <c r="AF2965" s="649"/>
      <c r="AG2965" s="650"/>
      <c r="AH2965" s="650"/>
      <c r="AI2965" s="667"/>
    </row>
    <row r="2966" spans="12:35" ht="45" customHeight="1" thickBot="1" x14ac:dyDescent="0.25">
      <c r="L2966" s="645"/>
      <c r="M2966" s="616"/>
      <c r="N2966" s="616"/>
      <c r="O2966" s="616"/>
      <c r="P2966" s="615"/>
      <c r="Q2966" s="616"/>
      <c r="R2966" s="663"/>
      <c r="S2966" s="459"/>
      <c r="T2966" s="459"/>
      <c r="U2966" s="459"/>
      <c r="V2966" s="459"/>
      <c r="W2966" s="459"/>
      <c r="X2966" s="459"/>
      <c r="Y2966" s="666"/>
      <c r="Z2966" s="664"/>
      <c r="AA2966" s="665"/>
      <c r="AB2966" s="665"/>
      <c r="AC2966" s="665"/>
      <c r="AD2966" s="665"/>
      <c r="AE2966" s="665"/>
      <c r="AF2966" s="649"/>
      <c r="AG2966" s="650"/>
      <c r="AH2966" s="650"/>
      <c r="AI2966" s="667"/>
    </row>
    <row r="2967" spans="12:35" ht="45" customHeight="1" thickBot="1" x14ac:dyDescent="0.25">
      <c r="L2967" s="645"/>
      <c r="M2967" s="616"/>
      <c r="N2967" s="616"/>
      <c r="O2967" s="616"/>
      <c r="P2967" s="615"/>
      <c r="Q2967" s="616"/>
      <c r="R2967" s="663"/>
      <c r="S2967" s="459"/>
      <c r="T2967" s="459"/>
      <c r="U2967" s="459"/>
      <c r="V2967" s="459"/>
      <c r="W2967" s="459"/>
      <c r="X2967" s="459"/>
      <c r="Y2967" s="666"/>
      <c r="Z2967" s="664"/>
      <c r="AA2967" s="665"/>
      <c r="AB2967" s="665"/>
      <c r="AC2967" s="665"/>
      <c r="AD2967" s="665"/>
      <c r="AE2967" s="665"/>
      <c r="AF2967" s="649"/>
      <c r="AG2967" s="650"/>
      <c r="AH2967" s="650"/>
      <c r="AI2967" s="667"/>
    </row>
    <row r="2968" spans="12:35" ht="45" customHeight="1" thickBot="1" x14ac:dyDescent="0.25">
      <c r="L2968" s="645"/>
      <c r="M2968" s="616"/>
      <c r="N2968" s="616"/>
      <c r="O2968" s="616"/>
      <c r="P2968" s="615"/>
      <c r="Q2968" s="616"/>
      <c r="R2968" s="663"/>
      <c r="S2968" s="459"/>
      <c r="T2968" s="459"/>
      <c r="U2968" s="459"/>
      <c r="V2968" s="459"/>
      <c r="W2968" s="459"/>
      <c r="X2968" s="459"/>
      <c r="Y2968" s="666"/>
      <c r="Z2968" s="664"/>
      <c r="AA2968" s="665"/>
      <c r="AB2968" s="665"/>
      <c r="AC2968" s="665"/>
      <c r="AD2968" s="665"/>
      <c r="AE2968" s="665"/>
      <c r="AF2968" s="649"/>
      <c r="AG2968" s="650"/>
      <c r="AH2968" s="650"/>
      <c r="AI2968" s="667"/>
    </row>
    <row r="2969" spans="12:35" ht="45" customHeight="1" thickBot="1" x14ac:dyDescent="0.25">
      <c r="L2969" s="645"/>
      <c r="M2969" s="616"/>
      <c r="N2969" s="616"/>
      <c r="O2969" s="616"/>
      <c r="P2969" s="615"/>
      <c r="Q2969" s="616"/>
      <c r="R2969" s="663"/>
      <c r="S2969" s="459"/>
      <c r="T2969" s="459"/>
      <c r="U2969" s="459"/>
      <c r="V2969" s="459"/>
      <c r="W2969" s="459"/>
      <c r="X2969" s="459"/>
      <c r="Y2969" s="666"/>
      <c r="Z2969" s="664"/>
      <c r="AA2969" s="665"/>
      <c r="AB2969" s="665"/>
      <c r="AC2969" s="665"/>
      <c r="AD2969" s="665"/>
      <c r="AE2969" s="665"/>
      <c r="AF2969" s="649"/>
      <c r="AG2969" s="650"/>
      <c r="AH2969" s="650"/>
      <c r="AI2969" s="667"/>
    </row>
    <row r="2970" spans="12:35" ht="45" customHeight="1" thickBot="1" x14ac:dyDescent="0.25">
      <c r="L2970" s="645"/>
      <c r="M2970" s="616"/>
      <c r="N2970" s="616"/>
      <c r="O2970" s="616"/>
      <c r="P2970" s="615"/>
      <c r="Q2970" s="616"/>
      <c r="R2970" s="663"/>
      <c r="S2970" s="459"/>
      <c r="T2970" s="459"/>
      <c r="U2970" s="459"/>
      <c r="V2970" s="459"/>
      <c r="W2970" s="459"/>
      <c r="X2970" s="459"/>
      <c r="Y2970" s="666"/>
      <c r="Z2970" s="664"/>
      <c r="AA2970" s="665"/>
      <c r="AB2970" s="665"/>
      <c r="AC2970" s="665"/>
      <c r="AD2970" s="665"/>
      <c r="AE2970" s="665"/>
      <c r="AF2970" s="649"/>
      <c r="AG2970" s="650"/>
      <c r="AH2970" s="650"/>
      <c r="AI2970" s="667"/>
    </row>
    <row r="2971" spans="12:35" ht="45" customHeight="1" thickBot="1" x14ac:dyDescent="0.25">
      <c r="L2971" s="645"/>
      <c r="M2971" s="616"/>
      <c r="N2971" s="616"/>
      <c r="O2971" s="616"/>
      <c r="P2971" s="615"/>
      <c r="Q2971" s="616"/>
      <c r="R2971" s="663"/>
      <c r="S2971" s="459"/>
      <c r="T2971" s="459"/>
      <c r="U2971" s="459"/>
      <c r="V2971" s="459"/>
      <c r="W2971" s="459"/>
      <c r="X2971" s="459"/>
      <c r="Y2971" s="666"/>
      <c r="Z2971" s="664"/>
      <c r="AA2971" s="665"/>
      <c r="AB2971" s="665"/>
      <c r="AC2971" s="665"/>
      <c r="AD2971" s="665"/>
      <c r="AE2971" s="665"/>
      <c r="AF2971" s="649"/>
      <c r="AG2971" s="650"/>
      <c r="AH2971" s="650"/>
      <c r="AI2971" s="667"/>
    </row>
    <row r="2972" spans="12:35" ht="45" customHeight="1" thickBot="1" x14ac:dyDescent="0.25">
      <c r="L2972" s="645"/>
      <c r="M2972" s="616"/>
      <c r="N2972" s="616"/>
      <c r="O2972" s="616"/>
      <c r="P2972" s="615"/>
      <c r="Q2972" s="616"/>
      <c r="R2972" s="663"/>
      <c r="S2972" s="459"/>
      <c r="T2972" s="459"/>
      <c r="U2972" s="459"/>
      <c r="V2972" s="459"/>
      <c r="W2972" s="459"/>
      <c r="X2972" s="459"/>
      <c r="Y2972" s="666"/>
      <c r="Z2972" s="664"/>
      <c r="AA2972" s="665"/>
      <c r="AB2972" s="665"/>
      <c r="AC2972" s="665"/>
      <c r="AD2972" s="665"/>
      <c r="AE2972" s="665"/>
      <c r="AF2972" s="649"/>
      <c r="AG2972" s="650"/>
      <c r="AH2972" s="650"/>
      <c r="AI2972" s="667"/>
    </row>
    <row r="2973" spans="12:35" ht="45" customHeight="1" thickBot="1" x14ac:dyDescent="0.25">
      <c r="L2973" s="645"/>
      <c r="M2973" s="616"/>
      <c r="N2973" s="616"/>
      <c r="O2973" s="616"/>
      <c r="P2973" s="615"/>
      <c r="Q2973" s="616"/>
      <c r="R2973" s="663"/>
      <c r="S2973" s="459"/>
      <c r="T2973" s="459"/>
      <c r="U2973" s="459"/>
      <c r="V2973" s="459"/>
      <c r="W2973" s="459"/>
      <c r="X2973" s="459"/>
      <c r="Y2973" s="666"/>
      <c r="Z2973" s="664"/>
      <c r="AA2973" s="665"/>
      <c r="AB2973" s="665"/>
      <c r="AC2973" s="665"/>
      <c r="AD2973" s="665"/>
      <c r="AE2973" s="665"/>
      <c r="AF2973" s="649"/>
      <c r="AG2973" s="650"/>
      <c r="AH2973" s="650"/>
      <c r="AI2973" s="667"/>
    </row>
    <row r="2974" spans="12:35" ht="45" customHeight="1" thickBot="1" x14ac:dyDescent="0.25">
      <c r="L2974" s="645"/>
      <c r="M2974" s="616"/>
      <c r="N2974" s="616"/>
      <c r="O2974" s="616"/>
      <c r="P2974" s="615"/>
      <c r="Q2974" s="616"/>
      <c r="R2974" s="663"/>
      <c r="S2974" s="459"/>
      <c r="T2974" s="459"/>
      <c r="U2974" s="459"/>
      <c r="V2974" s="459"/>
      <c r="W2974" s="459"/>
      <c r="X2974" s="459"/>
      <c r="Y2974" s="666"/>
      <c r="Z2974" s="664"/>
      <c r="AA2974" s="665"/>
      <c r="AB2974" s="665"/>
      <c r="AC2974" s="665"/>
      <c r="AD2974" s="665"/>
      <c r="AE2974" s="665"/>
      <c r="AF2974" s="649"/>
      <c r="AG2974" s="650"/>
      <c r="AH2974" s="650"/>
      <c r="AI2974" s="667"/>
    </row>
    <row r="2975" spans="12:35" ht="45" customHeight="1" thickBot="1" x14ac:dyDescent="0.25">
      <c r="L2975" s="645"/>
      <c r="M2975" s="616"/>
      <c r="N2975" s="616"/>
      <c r="O2975" s="616"/>
      <c r="P2975" s="615"/>
      <c r="Q2975" s="616"/>
      <c r="R2975" s="663"/>
      <c r="S2975" s="459"/>
      <c r="T2975" s="459"/>
      <c r="U2975" s="459"/>
      <c r="V2975" s="459"/>
      <c r="W2975" s="459"/>
      <c r="X2975" s="459"/>
      <c r="Y2975" s="666"/>
      <c r="Z2975" s="664"/>
      <c r="AA2975" s="665"/>
      <c r="AB2975" s="665"/>
      <c r="AC2975" s="665"/>
      <c r="AD2975" s="665"/>
      <c r="AE2975" s="665"/>
      <c r="AF2975" s="649"/>
      <c r="AG2975" s="650"/>
      <c r="AH2975" s="650"/>
      <c r="AI2975" s="667"/>
    </row>
    <row r="2976" spans="12:35" ht="45" customHeight="1" thickBot="1" x14ac:dyDescent="0.25">
      <c r="L2976" s="645"/>
      <c r="M2976" s="616"/>
      <c r="N2976" s="616"/>
      <c r="O2976" s="616"/>
      <c r="P2976" s="615"/>
      <c r="Q2976" s="616"/>
      <c r="R2976" s="663"/>
      <c r="S2976" s="459"/>
      <c r="T2976" s="459"/>
      <c r="U2976" s="459"/>
      <c r="V2976" s="459"/>
      <c r="W2976" s="459"/>
      <c r="X2976" s="459"/>
      <c r="Y2976" s="666"/>
      <c r="Z2976" s="664"/>
      <c r="AA2976" s="665"/>
      <c r="AB2976" s="665"/>
      <c r="AC2976" s="665"/>
      <c r="AD2976" s="665"/>
      <c r="AE2976" s="665"/>
      <c r="AF2976" s="649"/>
      <c r="AG2976" s="650"/>
      <c r="AH2976" s="650"/>
      <c r="AI2976" s="667"/>
    </row>
    <row r="2977" spans="12:35" ht="45" customHeight="1" thickBot="1" x14ac:dyDescent="0.25">
      <c r="L2977" s="645"/>
      <c r="M2977" s="616"/>
      <c r="N2977" s="616"/>
      <c r="O2977" s="616"/>
      <c r="P2977" s="615"/>
      <c r="Q2977" s="616"/>
      <c r="R2977" s="663"/>
      <c r="S2977" s="459"/>
      <c r="T2977" s="459"/>
      <c r="U2977" s="459"/>
      <c r="V2977" s="459"/>
      <c r="W2977" s="459"/>
      <c r="X2977" s="459"/>
      <c r="Y2977" s="666"/>
      <c r="Z2977" s="664"/>
      <c r="AA2977" s="665"/>
      <c r="AB2977" s="665"/>
      <c r="AC2977" s="665"/>
      <c r="AD2977" s="665"/>
      <c r="AE2977" s="665"/>
      <c r="AF2977" s="649"/>
      <c r="AG2977" s="650"/>
      <c r="AH2977" s="650"/>
      <c r="AI2977" s="667"/>
    </row>
    <row r="2978" spans="12:35" ht="45" customHeight="1" thickBot="1" x14ac:dyDescent="0.25">
      <c r="L2978" s="645"/>
      <c r="M2978" s="616"/>
      <c r="N2978" s="616"/>
      <c r="O2978" s="616"/>
      <c r="P2978" s="615"/>
      <c r="Q2978" s="616"/>
      <c r="R2978" s="663"/>
      <c r="S2978" s="459"/>
      <c r="T2978" s="459"/>
      <c r="U2978" s="459"/>
      <c r="V2978" s="459"/>
      <c r="W2978" s="459"/>
      <c r="X2978" s="459"/>
      <c r="Y2978" s="666"/>
      <c r="Z2978" s="664"/>
      <c r="AA2978" s="665"/>
      <c r="AB2978" s="665"/>
      <c r="AC2978" s="665"/>
      <c r="AD2978" s="665"/>
      <c r="AE2978" s="665"/>
      <c r="AF2978" s="649"/>
      <c r="AG2978" s="650"/>
      <c r="AH2978" s="650"/>
      <c r="AI2978" s="667"/>
    </row>
    <row r="2979" spans="12:35" ht="45" customHeight="1" thickBot="1" x14ac:dyDescent="0.25">
      <c r="L2979" s="645"/>
      <c r="M2979" s="616"/>
      <c r="N2979" s="616"/>
      <c r="O2979" s="616"/>
      <c r="P2979" s="615"/>
      <c r="Q2979" s="616"/>
      <c r="R2979" s="663"/>
      <c r="S2979" s="459"/>
      <c r="T2979" s="459"/>
      <c r="U2979" s="459"/>
      <c r="V2979" s="459"/>
      <c r="W2979" s="459"/>
      <c r="X2979" s="459"/>
      <c r="Y2979" s="666"/>
      <c r="Z2979" s="664"/>
      <c r="AA2979" s="665"/>
      <c r="AB2979" s="665"/>
      <c r="AC2979" s="665"/>
      <c r="AD2979" s="665"/>
      <c r="AE2979" s="665"/>
      <c r="AF2979" s="649"/>
      <c r="AG2979" s="650"/>
      <c r="AH2979" s="650"/>
      <c r="AI2979" s="667"/>
    </row>
    <row r="2980" spans="12:35" ht="45" customHeight="1" thickBot="1" x14ac:dyDescent="0.25">
      <c r="L2980" s="645"/>
      <c r="M2980" s="616"/>
      <c r="N2980" s="616"/>
      <c r="O2980" s="616"/>
      <c r="P2980" s="615"/>
      <c r="Q2980" s="616"/>
      <c r="R2980" s="663"/>
      <c r="S2980" s="459"/>
      <c r="T2980" s="459"/>
      <c r="U2980" s="459"/>
      <c r="V2980" s="459"/>
      <c r="W2980" s="459"/>
      <c r="X2980" s="459"/>
      <c r="Y2980" s="666"/>
      <c r="Z2980" s="664"/>
      <c r="AA2980" s="665"/>
      <c r="AB2980" s="665"/>
      <c r="AC2980" s="665"/>
      <c r="AD2980" s="665"/>
      <c r="AE2980" s="665"/>
      <c r="AF2980" s="649"/>
      <c r="AG2980" s="650"/>
      <c r="AH2980" s="650"/>
      <c r="AI2980" s="667"/>
    </row>
    <row r="2981" spans="12:35" ht="45" customHeight="1" thickBot="1" x14ac:dyDescent="0.25">
      <c r="L2981" s="645"/>
      <c r="M2981" s="616"/>
      <c r="N2981" s="616"/>
      <c r="O2981" s="616"/>
      <c r="P2981" s="615"/>
      <c r="Q2981" s="616"/>
      <c r="R2981" s="663"/>
      <c r="S2981" s="459"/>
      <c r="T2981" s="459"/>
      <c r="U2981" s="459"/>
      <c r="V2981" s="459"/>
      <c r="W2981" s="459"/>
      <c r="X2981" s="459"/>
      <c r="Y2981" s="666"/>
      <c r="Z2981" s="664"/>
      <c r="AA2981" s="665"/>
      <c r="AB2981" s="665"/>
      <c r="AC2981" s="665"/>
      <c r="AD2981" s="665"/>
      <c r="AE2981" s="665"/>
      <c r="AF2981" s="649"/>
      <c r="AG2981" s="650"/>
      <c r="AH2981" s="650"/>
      <c r="AI2981" s="667"/>
    </row>
    <row r="2982" spans="12:35" ht="45" customHeight="1" thickBot="1" x14ac:dyDescent="0.25">
      <c r="L2982" s="645"/>
      <c r="M2982" s="616"/>
      <c r="N2982" s="616"/>
      <c r="O2982" s="616"/>
      <c r="P2982" s="615"/>
      <c r="Q2982" s="616"/>
      <c r="R2982" s="663"/>
      <c r="S2982" s="459"/>
      <c r="T2982" s="459"/>
      <c r="U2982" s="459"/>
      <c r="V2982" s="459"/>
      <c r="W2982" s="459"/>
      <c r="X2982" s="459"/>
      <c r="Y2982" s="666"/>
      <c r="Z2982" s="664"/>
      <c r="AA2982" s="665"/>
      <c r="AB2982" s="665"/>
      <c r="AC2982" s="665"/>
      <c r="AD2982" s="665"/>
      <c r="AE2982" s="665"/>
      <c r="AF2982" s="649"/>
      <c r="AG2982" s="650"/>
      <c r="AH2982" s="650"/>
      <c r="AI2982" s="667"/>
    </row>
    <row r="2983" spans="12:35" ht="45" customHeight="1" thickBot="1" x14ac:dyDescent="0.25">
      <c r="L2983" s="645"/>
      <c r="M2983" s="616"/>
      <c r="N2983" s="616"/>
      <c r="O2983" s="616"/>
      <c r="P2983" s="615"/>
      <c r="Q2983" s="616"/>
      <c r="R2983" s="663"/>
      <c r="S2983" s="459"/>
      <c r="T2983" s="459"/>
      <c r="U2983" s="459"/>
      <c r="V2983" s="459"/>
      <c r="W2983" s="459"/>
      <c r="X2983" s="459"/>
      <c r="Y2983" s="666"/>
      <c r="Z2983" s="664"/>
      <c r="AA2983" s="665"/>
      <c r="AB2983" s="665"/>
      <c r="AC2983" s="665"/>
      <c r="AD2983" s="665"/>
      <c r="AE2983" s="665"/>
      <c r="AF2983" s="649"/>
      <c r="AG2983" s="650"/>
      <c r="AH2983" s="650"/>
      <c r="AI2983" s="667"/>
    </row>
    <row r="2984" spans="12:35" ht="45" customHeight="1" thickBot="1" x14ac:dyDescent="0.25">
      <c r="L2984" s="645"/>
      <c r="M2984" s="616"/>
      <c r="N2984" s="616"/>
      <c r="O2984" s="616"/>
      <c r="P2984" s="615"/>
      <c r="Q2984" s="616"/>
      <c r="R2984" s="663"/>
      <c r="S2984" s="459"/>
      <c r="T2984" s="459"/>
      <c r="U2984" s="459"/>
      <c r="V2984" s="459"/>
      <c r="W2984" s="459"/>
      <c r="X2984" s="459"/>
      <c r="Y2984" s="666"/>
      <c r="Z2984" s="664"/>
      <c r="AA2984" s="665"/>
      <c r="AB2984" s="665"/>
      <c r="AC2984" s="665"/>
      <c r="AD2984" s="665"/>
      <c r="AE2984" s="665"/>
      <c r="AF2984" s="649"/>
      <c r="AG2984" s="650"/>
      <c r="AH2984" s="650"/>
      <c r="AI2984" s="667"/>
    </row>
    <row r="2985" spans="12:35" ht="45" customHeight="1" thickBot="1" x14ac:dyDescent="0.25">
      <c r="L2985" s="645"/>
      <c r="M2985" s="616"/>
      <c r="N2985" s="616"/>
      <c r="O2985" s="616"/>
      <c r="P2985" s="615"/>
      <c r="Q2985" s="616"/>
      <c r="R2985" s="663"/>
      <c r="S2985" s="459"/>
      <c r="T2985" s="459"/>
      <c r="U2985" s="459"/>
      <c r="V2985" s="459"/>
      <c r="W2985" s="459"/>
      <c r="X2985" s="459"/>
      <c r="Y2985" s="666"/>
      <c r="Z2985" s="664"/>
      <c r="AA2985" s="665"/>
      <c r="AB2985" s="665"/>
      <c r="AC2985" s="665"/>
      <c r="AD2985" s="665"/>
      <c r="AE2985" s="665"/>
      <c r="AF2985" s="649"/>
      <c r="AG2985" s="650"/>
      <c r="AH2985" s="650"/>
      <c r="AI2985" s="667"/>
    </row>
    <row r="2986" spans="12:35" ht="45" customHeight="1" thickBot="1" x14ac:dyDescent="0.25">
      <c r="L2986" s="645"/>
      <c r="M2986" s="616"/>
      <c r="N2986" s="616"/>
      <c r="O2986" s="616"/>
      <c r="P2986" s="615"/>
      <c r="Q2986" s="616"/>
      <c r="R2986" s="663"/>
      <c r="S2986" s="459"/>
      <c r="T2986" s="459"/>
      <c r="U2986" s="459"/>
      <c r="V2986" s="459"/>
      <c r="W2986" s="459"/>
      <c r="X2986" s="459"/>
      <c r="Y2986" s="666"/>
      <c r="Z2986" s="664"/>
      <c r="AA2986" s="665"/>
      <c r="AB2986" s="665"/>
      <c r="AC2986" s="665"/>
      <c r="AD2986" s="665"/>
      <c r="AE2986" s="665"/>
      <c r="AF2986" s="649"/>
      <c r="AG2986" s="650"/>
      <c r="AH2986" s="650"/>
      <c r="AI2986" s="667"/>
    </row>
    <row r="2987" spans="12:35" ht="45" customHeight="1" thickBot="1" x14ac:dyDescent="0.25">
      <c r="L2987" s="645"/>
      <c r="M2987" s="616"/>
      <c r="N2987" s="616"/>
      <c r="O2987" s="616"/>
      <c r="P2987" s="615"/>
      <c r="Q2987" s="616"/>
      <c r="R2987" s="663"/>
      <c r="S2987" s="459"/>
      <c r="T2987" s="459"/>
      <c r="U2987" s="459"/>
      <c r="V2987" s="459"/>
      <c r="W2987" s="459"/>
      <c r="X2987" s="459"/>
      <c r="Y2987" s="666"/>
      <c r="Z2987" s="664"/>
      <c r="AA2987" s="665"/>
      <c r="AB2987" s="665"/>
      <c r="AC2987" s="665"/>
      <c r="AD2987" s="665"/>
      <c r="AE2987" s="665"/>
      <c r="AF2987" s="649"/>
      <c r="AG2987" s="650"/>
      <c r="AH2987" s="650"/>
      <c r="AI2987" s="667"/>
    </row>
    <row r="2988" spans="12:35" ht="45" customHeight="1" thickBot="1" x14ac:dyDescent="0.25">
      <c r="L2988" s="645"/>
      <c r="M2988" s="616"/>
      <c r="N2988" s="616"/>
      <c r="O2988" s="616"/>
      <c r="P2988" s="615"/>
      <c r="Q2988" s="616"/>
      <c r="R2988" s="663"/>
      <c r="S2988" s="459"/>
      <c r="T2988" s="459"/>
      <c r="U2988" s="459"/>
      <c r="V2988" s="459"/>
      <c r="W2988" s="459"/>
      <c r="X2988" s="459"/>
      <c r="Y2988" s="666"/>
      <c r="Z2988" s="664"/>
      <c r="AA2988" s="665"/>
      <c r="AB2988" s="665"/>
      <c r="AC2988" s="665"/>
      <c r="AD2988" s="665"/>
      <c r="AE2988" s="665"/>
      <c r="AF2988" s="649"/>
      <c r="AG2988" s="650"/>
      <c r="AH2988" s="650"/>
      <c r="AI2988" s="667"/>
    </row>
    <row r="2989" spans="12:35" ht="45" customHeight="1" thickBot="1" x14ac:dyDescent="0.25">
      <c r="L2989" s="645"/>
      <c r="M2989" s="616"/>
      <c r="N2989" s="616"/>
      <c r="O2989" s="616"/>
      <c r="P2989" s="615"/>
      <c r="Q2989" s="616"/>
      <c r="R2989" s="663"/>
      <c r="S2989" s="459"/>
      <c r="T2989" s="459"/>
      <c r="U2989" s="459"/>
      <c r="V2989" s="459"/>
      <c r="W2989" s="459"/>
      <c r="X2989" s="459"/>
      <c r="Y2989" s="666"/>
      <c r="Z2989" s="664"/>
      <c r="AA2989" s="665"/>
      <c r="AB2989" s="665"/>
      <c r="AC2989" s="665"/>
      <c r="AD2989" s="665"/>
      <c r="AE2989" s="665"/>
      <c r="AF2989" s="649"/>
      <c r="AG2989" s="650"/>
      <c r="AH2989" s="650"/>
      <c r="AI2989" s="667"/>
    </row>
    <row r="2990" spans="12:35" ht="45" customHeight="1" thickBot="1" x14ac:dyDescent="0.25">
      <c r="L2990" s="645"/>
      <c r="M2990" s="616"/>
      <c r="N2990" s="616"/>
      <c r="O2990" s="616"/>
      <c r="P2990" s="615"/>
      <c r="Q2990" s="616"/>
      <c r="R2990" s="663"/>
      <c r="S2990" s="459"/>
      <c r="T2990" s="459"/>
      <c r="U2990" s="459"/>
      <c r="V2990" s="459"/>
      <c r="W2990" s="459"/>
      <c r="X2990" s="459"/>
      <c r="Y2990" s="666"/>
      <c r="Z2990" s="664"/>
      <c r="AA2990" s="665"/>
      <c r="AB2990" s="665"/>
      <c r="AC2990" s="665"/>
      <c r="AD2990" s="665"/>
      <c r="AE2990" s="665"/>
      <c r="AF2990" s="649"/>
      <c r="AG2990" s="650"/>
      <c r="AH2990" s="650"/>
      <c r="AI2990" s="667"/>
    </row>
    <row r="2991" spans="12:35" ht="45" customHeight="1" thickBot="1" x14ac:dyDescent="0.25">
      <c r="L2991" s="645"/>
      <c r="M2991" s="616"/>
      <c r="N2991" s="616"/>
      <c r="O2991" s="616"/>
      <c r="P2991" s="615"/>
      <c r="Q2991" s="616"/>
      <c r="R2991" s="663"/>
      <c r="S2991" s="459"/>
      <c r="T2991" s="459"/>
      <c r="U2991" s="459"/>
      <c r="V2991" s="459"/>
      <c r="W2991" s="459"/>
      <c r="X2991" s="459"/>
      <c r="Y2991" s="666"/>
      <c r="Z2991" s="664"/>
      <c r="AA2991" s="665"/>
      <c r="AB2991" s="665"/>
      <c r="AC2991" s="665"/>
      <c r="AD2991" s="665"/>
      <c r="AE2991" s="665"/>
      <c r="AF2991" s="649"/>
      <c r="AG2991" s="650"/>
      <c r="AH2991" s="650"/>
      <c r="AI2991" s="667"/>
    </row>
    <row r="2992" spans="12:35" ht="45" customHeight="1" thickBot="1" x14ac:dyDescent="0.25">
      <c r="L2992" s="645"/>
      <c r="M2992" s="616"/>
      <c r="N2992" s="616"/>
      <c r="O2992" s="616"/>
      <c r="P2992" s="615"/>
      <c r="Q2992" s="616"/>
      <c r="R2992" s="663"/>
      <c r="S2992" s="459"/>
      <c r="T2992" s="459"/>
      <c r="U2992" s="459"/>
      <c r="V2992" s="459"/>
      <c r="W2992" s="459"/>
      <c r="X2992" s="459"/>
      <c r="Y2992" s="666"/>
      <c r="Z2992" s="664"/>
      <c r="AA2992" s="665"/>
      <c r="AB2992" s="665"/>
      <c r="AC2992" s="665"/>
      <c r="AD2992" s="665"/>
      <c r="AE2992" s="665"/>
      <c r="AF2992" s="649"/>
      <c r="AG2992" s="650"/>
      <c r="AH2992" s="650"/>
      <c r="AI2992" s="667"/>
    </row>
    <row r="2993" spans="12:35" ht="45" customHeight="1" thickBot="1" x14ac:dyDescent="0.25">
      <c r="L2993" s="645"/>
      <c r="M2993" s="616"/>
      <c r="N2993" s="616"/>
      <c r="O2993" s="616"/>
      <c r="P2993" s="615"/>
      <c r="Q2993" s="616"/>
      <c r="R2993" s="663"/>
      <c r="S2993" s="459"/>
      <c r="T2993" s="459"/>
      <c r="U2993" s="459"/>
      <c r="V2993" s="459"/>
      <c r="W2993" s="459"/>
      <c r="X2993" s="459"/>
      <c r="Y2993" s="666"/>
      <c r="Z2993" s="664"/>
      <c r="AA2993" s="665"/>
      <c r="AB2993" s="665"/>
      <c r="AC2993" s="665"/>
      <c r="AD2993" s="665"/>
      <c r="AE2993" s="665"/>
      <c r="AF2993" s="649"/>
      <c r="AG2993" s="650"/>
      <c r="AH2993" s="650"/>
      <c r="AI2993" s="667"/>
    </row>
    <row r="2994" spans="12:35" ht="45" customHeight="1" thickBot="1" x14ac:dyDescent="0.25">
      <c r="L2994" s="645"/>
      <c r="M2994" s="616"/>
      <c r="N2994" s="616"/>
      <c r="O2994" s="616"/>
      <c r="P2994" s="615"/>
      <c r="Q2994" s="616"/>
      <c r="R2994" s="663"/>
      <c r="S2994" s="459"/>
      <c r="T2994" s="459"/>
      <c r="U2994" s="459"/>
      <c r="V2994" s="459"/>
      <c r="W2994" s="459"/>
      <c r="X2994" s="459"/>
      <c r="Y2994" s="666"/>
      <c r="Z2994" s="664"/>
      <c r="AA2994" s="665"/>
      <c r="AB2994" s="665"/>
      <c r="AC2994" s="665"/>
      <c r="AD2994" s="665"/>
      <c r="AE2994" s="665"/>
      <c r="AF2994" s="649"/>
      <c r="AG2994" s="650"/>
      <c r="AH2994" s="650"/>
      <c r="AI2994" s="667"/>
    </row>
    <row r="2995" spans="12:35" ht="45" customHeight="1" thickBot="1" x14ac:dyDescent="0.25">
      <c r="L2995" s="645"/>
      <c r="M2995" s="616"/>
      <c r="N2995" s="616"/>
      <c r="O2995" s="616"/>
      <c r="P2995" s="615"/>
      <c r="Q2995" s="616"/>
      <c r="R2995" s="663"/>
      <c r="S2995" s="459"/>
      <c r="T2995" s="459"/>
      <c r="U2995" s="459"/>
      <c r="V2995" s="459"/>
      <c r="W2995" s="459"/>
      <c r="X2995" s="459"/>
      <c r="Y2995" s="666"/>
      <c r="Z2995" s="664"/>
      <c r="AA2995" s="665"/>
      <c r="AB2995" s="665"/>
      <c r="AC2995" s="665"/>
      <c r="AD2995" s="665"/>
      <c r="AE2995" s="665"/>
      <c r="AF2995" s="649"/>
      <c r="AG2995" s="650"/>
      <c r="AH2995" s="650"/>
      <c r="AI2995" s="667"/>
    </row>
    <row r="2996" spans="12:35" ht="45" customHeight="1" thickBot="1" x14ac:dyDescent="0.25">
      <c r="L2996" s="645"/>
      <c r="M2996" s="616"/>
      <c r="N2996" s="616"/>
      <c r="O2996" s="616"/>
      <c r="P2996" s="615"/>
      <c r="Q2996" s="616"/>
      <c r="R2996" s="663"/>
      <c r="S2996" s="459"/>
      <c r="T2996" s="459"/>
      <c r="U2996" s="459"/>
      <c r="V2996" s="459"/>
      <c r="W2996" s="459"/>
      <c r="X2996" s="459"/>
      <c r="Y2996" s="666"/>
      <c r="Z2996" s="664"/>
      <c r="AA2996" s="665"/>
      <c r="AB2996" s="665"/>
      <c r="AC2996" s="665"/>
      <c r="AD2996" s="665"/>
      <c r="AE2996" s="665"/>
      <c r="AF2996" s="649"/>
      <c r="AG2996" s="650"/>
      <c r="AH2996" s="650"/>
      <c r="AI2996" s="667"/>
    </row>
    <row r="2997" spans="12:35" ht="45" customHeight="1" thickBot="1" x14ac:dyDescent="0.25">
      <c r="L2997" s="645"/>
      <c r="M2997" s="616"/>
      <c r="N2997" s="616"/>
      <c r="O2997" s="616"/>
      <c r="P2997" s="615"/>
      <c r="Q2997" s="616"/>
      <c r="R2997" s="663"/>
      <c r="S2997" s="459"/>
      <c r="T2997" s="459"/>
      <c r="U2997" s="459"/>
      <c r="V2997" s="459"/>
      <c r="W2997" s="459"/>
      <c r="X2997" s="459"/>
      <c r="Y2997" s="666"/>
      <c r="Z2997" s="664"/>
      <c r="AA2997" s="665"/>
      <c r="AB2997" s="665"/>
      <c r="AC2997" s="665"/>
      <c r="AD2997" s="665"/>
      <c r="AE2997" s="665"/>
      <c r="AF2997" s="649"/>
      <c r="AG2997" s="650"/>
      <c r="AH2997" s="650"/>
      <c r="AI2997" s="667"/>
    </row>
    <row r="2998" spans="12:35" ht="45" customHeight="1" thickBot="1" x14ac:dyDescent="0.25">
      <c r="L2998" s="645"/>
      <c r="M2998" s="616"/>
      <c r="N2998" s="616"/>
      <c r="O2998" s="616"/>
      <c r="P2998" s="615"/>
      <c r="Q2998" s="616"/>
      <c r="R2998" s="663"/>
      <c r="S2998" s="459"/>
      <c r="T2998" s="459"/>
      <c r="U2998" s="459"/>
      <c r="V2998" s="459"/>
      <c r="W2998" s="459"/>
      <c r="X2998" s="459"/>
      <c r="Y2998" s="666"/>
      <c r="Z2998" s="664"/>
      <c r="AA2998" s="665"/>
      <c r="AB2998" s="665"/>
      <c r="AC2998" s="665"/>
      <c r="AD2998" s="665"/>
      <c r="AE2998" s="665"/>
      <c r="AF2998" s="649"/>
      <c r="AG2998" s="650"/>
      <c r="AH2998" s="650"/>
      <c r="AI2998" s="667"/>
    </row>
    <row r="2999" spans="12:35" ht="45" customHeight="1" thickBot="1" x14ac:dyDescent="0.25">
      <c r="L2999" s="645"/>
      <c r="M2999" s="616"/>
      <c r="N2999" s="616"/>
      <c r="O2999" s="616"/>
      <c r="P2999" s="615"/>
      <c r="Q2999" s="616"/>
      <c r="R2999" s="663"/>
      <c r="S2999" s="459"/>
      <c r="T2999" s="459"/>
      <c r="U2999" s="459"/>
      <c r="V2999" s="459"/>
      <c r="W2999" s="459"/>
      <c r="X2999" s="459"/>
      <c r="Y2999" s="666"/>
      <c r="Z2999" s="664"/>
      <c r="AA2999" s="665"/>
      <c r="AB2999" s="665"/>
      <c r="AC2999" s="665"/>
      <c r="AD2999" s="665"/>
      <c r="AE2999" s="665"/>
      <c r="AF2999" s="649"/>
      <c r="AG2999" s="650"/>
      <c r="AH2999" s="650"/>
      <c r="AI2999" s="667"/>
    </row>
    <row r="3000" spans="12:35" ht="45" customHeight="1" thickBot="1" x14ac:dyDescent="0.25">
      <c r="L3000" s="645"/>
      <c r="M3000" s="616"/>
      <c r="N3000" s="616"/>
      <c r="O3000" s="616"/>
      <c r="P3000" s="615"/>
      <c r="Q3000" s="616"/>
      <c r="R3000" s="663"/>
      <c r="S3000" s="459"/>
      <c r="T3000" s="459"/>
      <c r="U3000" s="459"/>
      <c r="V3000" s="459"/>
      <c r="W3000" s="459"/>
      <c r="X3000" s="459"/>
      <c r="Y3000" s="666"/>
      <c r="Z3000" s="664"/>
      <c r="AA3000" s="665"/>
      <c r="AB3000" s="665"/>
      <c r="AC3000" s="665"/>
      <c r="AD3000" s="665"/>
      <c r="AE3000" s="665"/>
      <c r="AF3000" s="649"/>
      <c r="AG3000" s="650"/>
      <c r="AH3000" s="650"/>
      <c r="AI3000" s="667"/>
    </row>
    <row r="3001" spans="12:35" ht="45" customHeight="1" thickBot="1" x14ac:dyDescent="0.25">
      <c r="L3001" s="645"/>
      <c r="M3001" s="616"/>
      <c r="N3001" s="616"/>
      <c r="O3001" s="616"/>
      <c r="P3001" s="615"/>
      <c r="Q3001" s="616"/>
      <c r="R3001" s="663"/>
      <c r="S3001" s="459"/>
      <c r="T3001" s="459"/>
      <c r="U3001" s="459"/>
      <c r="V3001" s="459"/>
      <c r="W3001" s="459"/>
      <c r="X3001" s="459"/>
      <c r="Y3001" s="666"/>
      <c r="Z3001" s="664"/>
      <c r="AA3001" s="665"/>
      <c r="AB3001" s="665"/>
      <c r="AC3001" s="665"/>
      <c r="AD3001" s="665"/>
      <c r="AE3001" s="665"/>
      <c r="AF3001" s="649"/>
      <c r="AG3001" s="650"/>
      <c r="AH3001" s="650"/>
      <c r="AI3001" s="667"/>
    </row>
    <row r="3002" spans="12:35" ht="45" customHeight="1" thickBot="1" x14ac:dyDescent="0.25">
      <c r="L3002" s="645"/>
      <c r="M3002" s="616"/>
      <c r="N3002" s="616"/>
      <c r="O3002" s="616"/>
      <c r="P3002" s="615"/>
      <c r="Q3002" s="616"/>
      <c r="R3002" s="663"/>
      <c r="S3002" s="459"/>
      <c r="T3002" s="459"/>
      <c r="U3002" s="459"/>
      <c r="V3002" s="459"/>
      <c r="W3002" s="459"/>
      <c r="X3002" s="459"/>
      <c r="Y3002" s="666"/>
      <c r="Z3002" s="664"/>
      <c r="AA3002" s="665"/>
      <c r="AB3002" s="665"/>
      <c r="AC3002" s="665"/>
      <c r="AD3002" s="665"/>
      <c r="AE3002" s="665"/>
      <c r="AF3002" s="649"/>
      <c r="AG3002" s="650"/>
      <c r="AH3002" s="650"/>
      <c r="AI3002" s="667"/>
    </row>
    <row r="3003" spans="12:35" ht="45" customHeight="1" thickBot="1" x14ac:dyDescent="0.25">
      <c r="L3003" s="645"/>
      <c r="M3003" s="616"/>
      <c r="N3003" s="616"/>
      <c r="O3003" s="616"/>
      <c r="P3003" s="615"/>
      <c r="Q3003" s="616"/>
      <c r="R3003" s="663"/>
      <c r="S3003" s="459"/>
      <c r="T3003" s="459"/>
      <c r="U3003" s="459"/>
      <c r="V3003" s="459"/>
      <c r="W3003" s="459"/>
      <c r="X3003" s="459"/>
      <c r="Y3003" s="666"/>
      <c r="Z3003" s="664"/>
      <c r="AA3003" s="665"/>
      <c r="AB3003" s="665"/>
      <c r="AC3003" s="665"/>
      <c r="AD3003" s="665"/>
      <c r="AE3003" s="665"/>
      <c r="AF3003" s="649"/>
      <c r="AG3003" s="650"/>
      <c r="AH3003" s="650"/>
      <c r="AI3003" s="667"/>
    </row>
    <row r="3004" spans="12:35" ht="45" customHeight="1" thickBot="1" x14ac:dyDescent="0.25">
      <c r="L3004" s="645"/>
      <c r="M3004" s="616"/>
      <c r="N3004" s="616"/>
      <c r="O3004" s="616"/>
      <c r="P3004" s="615"/>
      <c r="Q3004" s="616"/>
      <c r="R3004" s="663"/>
      <c r="S3004" s="459"/>
      <c r="T3004" s="459"/>
      <c r="U3004" s="459"/>
      <c r="V3004" s="459"/>
      <c r="W3004" s="459"/>
      <c r="X3004" s="459"/>
      <c r="Y3004" s="666"/>
      <c r="Z3004" s="664"/>
      <c r="AA3004" s="665"/>
      <c r="AB3004" s="665"/>
      <c r="AC3004" s="665"/>
      <c r="AD3004" s="665"/>
      <c r="AE3004" s="665"/>
      <c r="AF3004" s="649"/>
      <c r="AG3004" s="650"/>
      <c r="AH3004" s="650"/>
      <c r="AI3004" s="667"/>
    </row>
    <row r="3005" spans="12:35" ht="45" customHeight="1" thickBot="1" x14ac:dyDescent="0.25">
      <c r="L3005" s="645"/>
      <c r="M3005" s="616"/>
      <c r="N3005" s="616"/>
      <c r="O3005" s="616"/>
      <c r="P3005" s="615"/>
      <c r="Q3005" s="616"/>
      <c r="R3005" s="663"/>
      <c r="S3005" s="459"/>
      <c r="T3005" s="459"/>
      <c r="U3005" s="459"/>
      <c r="V3005" s="459"/>
      <c r="W3005" s="459"/>
      <c r="X3005" s="459"/>
      <c r="Y3005" s="666"/>
      <c r="Z3005" s="664"/>
      <c r="AA3005" s="665"/>
      <c r="AB3005" s="665"/>
      <c r="AC3005" s="665"/>
      <c r="AD3005" s="665"/>
      <c r="AE3005" s="665"/>
      <c r="AF3005" s="649"/>
      <c r="AG3005" s="650"/>
      <c r="AH3005" s="650"/>
      <c r="AI3005" s="667"/>
    </row>
    <row r="3006" spans="12:35" ht="45" customHeight="1" thickBot="1" x14ac:dyDescent="0.25">
      <c r="L3006" s="645"/>
      <c r="M3006" s="616"/>
      <c r="N3006" s="616"/>
      <c r="O3006" s="616"/>
      <c r="P3006" s="615"/>
      <c r="Q3006" s="616"/>
      <c r="R3006" s="663"/>
      <c r="S3006" s="459"/>
      <c r="T3006" s="459"/>
      <c r="U3006" s="459"/>
      <c r="V3006" s="459"/>
      <c r="W3006" s="459"/>
      <c r="X3006" s="459"/>
      <c r="Y3006" s="666"/>
      <c r="Z3006" s="664"/>
      <c r="AA3006" s="665"/>
      <c r="AB3006" s="665"/>
      <c r="AC3006" s="665"/>
      <c r="AD3006" s="665"/>
      <c r="AE3006" s="665"/>
      <c r="AF3006" s="649"/>
      <c r="AG3006" s="650"/>
      <c r="AH3006" s="650"/>
      <c r="AI3006" s="667"/>
    </row>
    <row r="3007" spans="12:35" ht="45" customHeight="1" thickBot="1" x14ac:dyDescent="0.25">
      <c r="L3007" s="645"/>
      <c r="M3007" s="616"/>
      <c r="N3007" s="616"/>
      <c r="O3007" s="616"/>
      <c r="P3007" s="615"/>
      <c r="Q3007" s="616"/>
      <c r="R3007" s="663"/>
      <c r="S3007" s="459"/>
      <c r="T3007" s="459"/>
      <c r="U3007" s="459"/>
      <c r="V3007" s="459"/>
      <c r="W3007" s="459"/>
      <c r="X3007" s="459"/>
      <c r="Y3007" s="666"/>
      <c r="Z3007" s="664"/>
      <c r="AA3007" s="665"/>
      <c r="AB3007" s="665"/>
      <c r="AC3007" s="665"/>
      <c r="AD3007" s="665"/>
      <c r="AE3007" s="665"/>
      <c r="AF3007" s="649"/>
      <c r="AG3007" s="650"/>
      <c r="AH3007" s="650"/>
      <c r="AI3007" s="667"/>
    </row>
    <row r="3008" spans="12:35" ht="45" customHeight="1" thickBot="1" x14ac:dyDescent="0.25">
      <c r="L3008" s="645"/>
      <c r="M3008" s="616"/>
      <c r="N3008" s="616"/>
      <c r="O3008" s="616"/>
      <c r="P3008" s="615"/>
      <c r="Q3008" s="616"/>
      <c r="R3008" s="663"/>
      <c r="S3008" s="459"/>
      <c r="T3008" s="459"/>
      <c r="U3008" s="459"/>
      <c r="V3008" s="459"/>
      <c r="W3008" s="459"/>
      <c r="X3008" s="459"/>
      <c r="Y3008" s="666"/>
      <c r="Z3008" s="664"/>
      <c r="AA3008" s="665"/>
      <c r="AB3008" s="665"/>
      <c r="AC3008" s="665"/>
      <c r="AD3008" s="665"/>
      <c r="AE3008" s="665"/>
      <c r="AF3008" s="649"/>
      <c r="AG3008" s="650"/>
      <c r="AH3008" s="650"/>
      <c r="AI3008" s="667"/>
    </row>
    <row r="3009" spans="12:35" ht="45" customHeight="1" thickBot="1" x14ac:dyDescent="0.25">
      <c r="L3009" s="645"/>
      <c r="M3009" s="616"/>
      <c r="N3009" s="616"/>
      <c r="O3009" s="616"/>
      <c r="P3009" s="615"/>
      <c r="Q3009" s="616"/>
      <c r="R3009" s="663"/>
      <c r="S3009" s="459"/>
      <c r="T3009" s="459"/>
      <c r="U3009" s="459"/>
      <c r="V3009" s="459"/>
      <c r="W3009" s="459"/>
      <c r="X3009" s="459"/>
      <c r="Y3009" s="666"/>
      <c r="Z3009" s="664"/>
      <c r="AA3009" s="665"/>
      <c r="AB3009" s="665"/>
      <c r="AC3009" s="665"/>
      <c r="AD3009" s="665"/>
      <c r="AE3009" s="665"/>
      <c r="AF3009" s="649"/>
      <c r="AG3009" s="650"/>
      <c r="AH3009" s="650"/>
      <c r="AI3009" s="667"/>
    </row>
    <row r="3010" spans="12:35" ht="45" customHeight="1" thickBot="1" x14ac:dyDescent="0.25">
      <c r="L3010" s="645"/>
      <c r="M3010" s="616"/>
      <c r="N3010" s="616"/>
      <c r="O3010" s="616"/>
      <c r="P3010" s="615"/>
      <c r="Q3010" s="616"/>
      <c r="R3010" s="663"/>
      <c r="S3010" s="459"/>
      <c r="T3010" s="459"/>
      <c r="U3010" s="459"/>
      <c r="V3010" s="459"/>
      <c r="W3010" s="459"/>
      <c r="X3010" s="459"/>
      <c r="Y3010" s="666"/>
      <c r="Z3010" s="664"/>
      <c r="AA3010" s="665"/>
      <c r="AB3010" s="665"/>
      <c r="AC3010" s="665"/>
      <c r="AD3010" s="665"/>
      <c r="AE3010" s="665"/>
      <c r="AF3010" s="649"/>
      <c r="AG3010" s="650"/>
      <c r="AH3010" s="650"/>
      <c r="AI3010" s="667"/>
    </row>
    <row r="3011" spans="12:35" ht="45" customHeight="1" thickBot="1" x14ac:dyDescent="0.25">
      <c r="L3011" s="645"/>
      <c r="M3011" s="616"/>
      <c r="N3011" s="616"/>
      <c r="O3011" s="616"/>
      <c r="P3011" s="615"/>
      <c r="Q3011" s="616"/>
      <c r="R3011" s="663"/>
      <c r="S3011" s="459"/>
      <c r="T3011" s="459"/>
      <c r="U3011" s="459"/>
      <c r="V3011" s="459"/>
      <c r="W3011" s="459"/>
      <c r="X3011" s="459"/>
      <c r="Y3011" s="666"/>
      <c r="Z3011" s="664"/>
      <c r="AA3011" s="665"/>
      <c r="AB3011" s="665"/>
      <c r="AC3011" s="665"/>
      <c r="AD3011" s="665"/>
      <c r="AE3011" s="665"/>
      <c r="AF3011" s="649"/>
      <c r="AG3011" s="650"/>
      <c r="AH3011" s="650"/>
      <c r="AI3011" s="667"/>
    </row>
    <row r="3012" spans="12:35" ht="45" customHeight="1" thickBot="1" x14ac:dyDescent="0.25">
      <c r="L3012" s="645"/>
      <c r="M3012" s="616"/>
      <c r="N3012" s="616"/>
      <c r="O3012" s="616"/>
      <c r="P3012" s="615"/>
      <c r="Q3012" s="616"/>
      <c r="R3012" s="663"/>
      <c r="S3012" s="459"/>
      <c r="T3012" s="459"/>
      <c r="U3012" s="459"/>
      <c r="V3012" s="459"/>
      <c r="W3012" s="459"/>
      <c r="X3012" s="459"/>
      <c r="Y3012" s="666"/>
      <c r="Z3012" s="664"/>
      <c r="AA3012" s="665"/>
      <c r="AB3012" s="665"/>
      <c r="AC3012" s="665"/>
      <c r="AD3012" s="665"/>
      <c r="AE3012" s="665"/>
      <c r="AF3012" s="649"/>
      <c r="AG3012" s="650"/>
      <c r="AH3012" s="650"/>
      <c r="AI3012" s="667"/>
    </row>
    <row r="3013" spans="12:35" ht="45" customHeight="1" thickBot="1" x14ac:dyDescent="0.25">
      <c r="L3013" s="645"/>
      <c r="M3013" s="616"/>
      <c r="N3013" s="616"/>
      <c r="O3013" s="616"/>
      <c r="P3013" s="615"/>
      <c r="Q3013" s="616"/>
      <c r="R3013" s="663"/>
      <c r="S3013" s="459"/>
      <c r="T3013" s="459"/>
      <c r="U3013" s="459"/>
      <c r="V3013" s="459"/>
      <c r="W3013" s="459"/>
      <c r="X3013" s="459"/>
      <c r="Y3013" s="666"/>
      <c r="Z3013" s="664"/>
      <c r="AA3013" s="665"/>
      <c r="AB3013" s="665"/>
      <c r="AC3013" s="665"/>
      <c r="AD3013" s="665"/>
      <c r="AE3013" s="665"/>
      <c r="AF3013" s="649"/>
      <c r="AG3013" s="650"/>
      <c r="AH3013" s="650"/>
      <c r="AI3013" s="667"/>
    </row>
    <row r="3014" spans="12:35" ht="45" customHeight="1" thickBot="1" x14ac:dyDescent="0.25">
      <c r="L3014" s="645"/>
      <c r="M3014" s="616"/>
      <c r="N3014" s="616"/>
      <c r="O3014" s="616"/>
      <c r="P3014" s="615"/>
      <c r="Q3014" s="616"/>
      <c r="R3014" s="663"/>
      <c r="S3014" s="459"/>
      <c r="T3014" s="459"/>
      <c r="U3014" s="459"/>
      <c r="V3014" s="459"/>
      <c r="W3014" s="459"/>
      <c r="X3014" s="459"/>
      <c r="Y3014" s="666"/>
      <c r="Z3014" s="664"/>
      <c r="AA3014" s="665"/>
      <c r="AB3014" s="665"/>
      <c r="AC3014" s="665"/>
      <c r="AD3014" s="665"/>
      <c r="AE3014" s="665"/>
      <c r="AF3014" s="649"/>
      <c r="AG3014" s="650"/>
      <c r="AH3014" s="650"/>
      <c r="AI3014" s="667"/>
    </row>
    <row r="3015" spans="12:35" ht="45" customHeight="1" thickBot="1" x14ac:dyDescent="0.25">
      <c r="L3015" s="645"/>
      <c r="M3015" s="616"/>
      <c r="N3015" s="616"/>
      <c r="O3015" s="616"/>
      <c r="P3015" s="615"/>
      <c r="Q3015" s="616"/>
      <c r="R3015" s="663"/>
      <c r="S3015" s="459"/>
      <c r="T3015" s="459"/>
      <c r="U3015" s="459"/>
      <c r="V3015" s="459"/>
      <c r="W3015" s="459"/>
      <c r="X3015" s="459"/>
      <c r="Y3015" s="666"/>
      <c r="Z3015" s="664"/>
      <c r="AA3015" s="665"/>
      <c r="AB3015" s="665"/>
      <c r="AC3015" s="665"/>
      <c r="AD3015" s="665"/>
      <c r="AE3015" s="665"/>
      <c r="AF3015" s="649"/>
      <c r="AG3015" s="650"/>
      <c r="AH3015" s="650"/>
      <c r="AI3015" s="667"/>
    </row>
    <row r="3016" spans="12:35" ht="45" customHeight="1" thickBot="1" x14ac:dyDescent="0.25">
      <c r="L3016" s="645"/>
      <c r="M3016" s="616"/>
      <c r="N3016" s="616"/>
      <c r="O3016" s="616"/>
      <c r="P3016" s="615"/>
      <c r="Q3016" s="616"/>
      <c r="R3016" s="663"/>
      <c r="S3016" s="459"/>
      <c r="T3016" s="459"/>
      <c r="U3016" s="459"/>
      <c r="V3016" s="459"/>
      <c r="W3016" s="459"/>
      <c r="X3016" s="459"/>
      <c r="Y3016" s="666"/>
      <c r="Z3016" s="664"/>
      <c r="AA3016" s="665"/>
      <c r="AB3016" s="665"/>
      <c r="AC3016" s="665"/>
      <c r="AD3016" s="665"/>
      <c r="AE3016" s="665"/>
      <c r="AF3016" s="649"/>
      <c r="AG3016" s="650"/>
      <c r="AH3016" s="650"/>
      <c r="AI3016" s="667"/>
    </row>
    <row r="3017" spans="12:35" ht="45" customHeight="1" thickBot="1" x14ac:dyDescent="0.25">
      <c r="L3017" s="645"/>
      <c r="M3017" s="616"/>
      <c r="N3017" s="616"/>
      <c r="O3017" s="616"/>
      <c r="P3017" s="615"/>
      <c r="Q3017" s="616"/>
      <c r="R3017" s="663"/>
      <c r="S3017" s="459"/>
      <c r="T3017" s="459"/>
      <c r="U3017" s="459"/>
      <c r="V3017" s="459"/>
      <c r="W3017" s="459"/>
      <c r="X3017" s="459"/>
      <c r="Y3017" s="666"/>
      <c r="Z3017" s="664"/>
      <c r="AA3017" s="665"/>
      <c r="AB3017" s="665"/>
      <c r="AC3017" s="665"/>
      <c r="AD3017" s="665"/>
      <c r="AE3017" s="665"/>
      <c r="AF3017" s="649"/>
      <c r="AG3017" s="650"/>
      <c r="AH3017" s="650"/>
      <c r="AI3017" s="667"/>
    </row>
    <row r="3018" spans="12:35" ht="45" customHeight="1" thickBot="1" x14ac:dyDescent="0.25">
      <c r="L3018" s="645"/>
      <c r="M3018" s="616"/>
      <c r="N3018" s="616"/>
      <c r="O3018" s="616"/>
      <c r="P3018" s="615"/>
      <c r="Q3018" s="616"/>
      <c r="R3018" s="663"/>
      <c r="S3018" s="459"/>
      <c r="T3018" s="459"/>
      <c r="U3018" s="459"/>
      <c r="V3018" s="459"/>
      <c r="W3018" s="459"/>
      <c r="X3018" s="459"/>
      <c r="Y3018" s="666"/>
      <c r="Z3018" s="664"/>
      <c r="AA3018" s="665"/>
      <c r="AB3018" s="665"/>
      <c r="AC3018" s="665"/>
      <c r="AD3018" s="665"/>
      <c r="AE3018" s="665"/>
      <c r="AF3018" s="649"/>
      <c r="AG3018" s="650"/>
      <c r="AH3018" s="650"/>
      <c r="AI3018" s="667"/>
    </row>
    <row r="3019" spans="12:35" ht="45" customHeight="1" thickBot="1" x14ac:dyDescent="0.25">
      <c r="L3019" s="645"/>
      <c r="M3019" s="616"/>
      <c r="N3019" s="616"/>
      <c r="O3019" s="616"/>
      <c r="P3019" s="615"/>
      <c r="Q3019" s="616"/>
      <c r="R3019" s="663"/>
      <c r="S3019" s="459"/>
      <c r="T3019" s="459"/>
      <c r="U3019" s="459"/>
      <c r="V3019" s="459"/>
      <c r="W3019" s="459"/>
      <c r="X3019" s="459"/>
      <c r="Y3019" s="666"/>
      <c r="Z3019" s="664"/>
      <c r="AA3019" s="665"/>
      <c r="AB3019" s="665"/>
      <c r="AC3019" s="665"/>
      <c r="AD3019" s="665"/>
      <c r="AE3019" s="665"/>
      <c r="AF3019" s="649"/>
      <c r="AG3019" s="650"/>
      <c r="AH3019" s="650"/>
      <c r="AI3019" s="667"/>
    </row>
    <row r="3020" spans="12:35" ht="45" customHeight="1" thickBot="1" x14ac:dyDescent="0.25">
      <c r="L3020" s="645"/>
      <c r="M3020" s="616"/>
      <c r="N3020" s="616"/>
      <c r="O3020" s="616"/>
      <c r="P3020" s="615"/>
      <c r="Q3020" s="616"/>
      <c r="R3020" s="663"/>
      <c r="S3020" s="459"/>
      <c r="T3020" s="459"/>
      <c r="U3020" s="459"/>
      <c r="V3020" s="459"/>
      <c r="W3020" s="459"/>
      <c r="X3020" s="459"/>
      <c r="Y3020" s="666"/>
      <c r="Z3020" s="664"/>
      <c r="AA3020" s="665"/>
      <c r="AB3020" s="665"/>
      <c r="AC3020" s="665"/>
      <c r="AD3020" s="665"/>
      <c r="AE3020" s="665"/>
      <c r="AF3020" s="649"/>
      <c r="AG3020" s="650"/>
      <c r="AH3020" s="650"/>
      <c r="AI3020" s="667"/>
    </row>
    <row r="3021" spans="12:35" ht="45" customHeight="1" thickBot="1" x14ac:dyDescent="0.25">
      <c r="L3021" s="645"/>
      <c r="M3021" s="616"/>
      <c r="N3021" s="616"/>
      <c r="O3021" s="616"/>
      <c r="P3021" s="615"/>
      <c r="Q3021" s="616"/>
      <c r="R3021" s="663"/>
      <c r="S3021" s="459"/>
      <c r="T3021" s="459"/>
      <c r="U3021" s="459"/>
      <c r="V3021" s="459"/>
      <c r="W3021" s="459"/>
      <c r="X3021" s="459"/>
      <c r="Y3021" s="666"/>
      <c r="Z3021" s="664"/>
      <c r="AA3021" s="665"/>
      <c r="AB3021" s="665"/>
      <c r="AC3021" s="665"/>
      <c r="AD3021" s="665"/>
      <c r="AE3021" s="665"/>
      <c r="AF3021" s="649"/>
      <c r="AG3021" s="650"/>
      <c r="AH3021" s="650"/>
      <c r="AI3021" s="667"/>
    </row>
    <row r="3022" spans="12:35" ht="45" customHeight="1" thickBot="1" x14ac:dyDescent="0.25">
      <c r="L3022" s="645"/>
      <c r="M3022" s="616"/>
      <c r="N3022" s="616"/>
      <c r="O3022" s="616"/>
      <c r="P3022" s="615"/>
      <c r="Q3022" s="616"/>
      <c r="R3022" s="663"/>
      <c r="S3022" s="459"/>
      <c r="T3022" s="459"/>
      <c r="U3022" s="459"/>
      <c r="V3022" s="459"/>
      <c r="W3022" s="459"/>
      <c r="X3022" s="459"/>
      <c r="Y3022" s="666"/>
      <c r="Z3022" s="664"/>
      <c r="AA3022" s="665"/>
      <c r="AB3022" s="665"/>
      <c r="AC3022" s="665"/>
      <c r="AD3022" s="665"/>
      <c r="AE3022" s="665"/>
      <c r="AF3022" s="649"/>
      <c r="AG3022" s="650"/>
      <c r="AH3022" s="650"/>
      <c r="AI3022" s="667"/>
    </row>
    <row r="3023" spans="12:35" ht="45" customHeight="1" thickBot="1" x14ac:dyDescent="0.25">
      <c r="L3023" s="645"/>
      <c r="M3023" s="616"/>
      <c r="N3023" s="616"/>
      <c r="O3023" s="616"/>
      <c r="P3023" s="615"/>
      <c r="Q3023" s="616"/>
      <c r="R3023" s="663"/>
      <c r="S3023" s="459"/>
      <c r="T3023" s="459"/>
      <c r="U3023" s="459"/>
      <c r="V3023" s="459"/>
      <c r="W3023" s="459"/>
      <c r="X3023" s="459"/>
      <c r="Y3023" s="666"/>
      <c r="Z3023" s="664"/>
      <c r="AA3023" s="665"/>
      <c r="AB3023" s="665"/>
      <c r="AC3023" s="665"/>
      <c r="AD3023" s="665"/>
      <c r="AE3023" s="665"/>
      <c r="AF3023" s="649"/>
      <c r="AG3023" s="650"/>
      <c r="AH3023" s="650"/>
      <c r="AI3023" s="667"/>
    </row>
    <row r="3024" spans="12:35" ht="45" customHeight="1" thickBot="1" x14ac:dyDescent="0.25">
      <c r="L3024" s="645"/>
      <c r="M3024" s="616"/>
      <c r="N3024" s="616"/>
      <c r="O3024" s="616"/>
      <c r="P3024" s="615"/>
      <c r="Q3024" s="616"/>
      <c r="R3024" s="663"/>
      <c r="S3024" s="459"/>
      <c r="T3024" s="459"/>
      <c r="U3024" s="459"/>
      <c r="V3024" s="459"/>
      <c r="W3024" s="459"/>
      <c r="X3024" s="459"/>
      <c r="Y3024" s="666"/>
      <c r="Z3024" s="664"/>
      <c r="AA3024" s="665"/>
      <c r="AB3024" s="665"/>
      <c r="AC3024" s="665"/>
      <c r="AD3024" s="665"/>
      <c r="AE3024" s="665"/>
      <c r="AF3024" s="649"/>
      <c r="AG3024" s="650"/>
      <c r="AH3024" s="650"/>
      <c r="AI3024" s="667"/>
    </row>
    <row r="3025" spans="12:35" ht="45" customHeight="1" thickBot="1" x14ac:dyDescent="0.25">
      <c r="L3025" s="645"/>
      <c r="M3025" s="616"/>
      <c r="N3025" s="616"/>
      <c r="O3025" s="616"/>
      <c r="P3025" s="615"/>
      <c r="Q3025" s="616"/>
      <c r="R3025" s="663"/>
      <c r="S3025" s="459"/>
      <c r="T3025" s="459"/>
      <c r="U3025" s="459"/>
      <c r="V3025" s="459"/>
      <c r="W3025" s="459"/>
      <c r="X3025" s="459"/>
      <c r="Y3025" s="666"/>
      <c r="Z3025" s="664"/>
      <c r="AA3025" s="665"/>
      <c r="AB3025" s="665"/>
      <c r="AC3025" s="665"/>
      <c r="AD3025" s="665"/>
      <c r="AE3025" s="665"/>
      <c r="AF3025" s="649"/>
      <c r="AG3025" s="650"/>
      <c r="AH3025" s="650"/>
      <c r="AI3025" s="667"/>
    </row>
    <row r="3026" spans="12:35" ht="45" customHeight="1" thickBot="1" x14ac:dyDescent="0.25">
      <c r="L3026" s="645"/>
      <c r="M3026" s="616"/>
      <c r="N3026" s="616"/>
      <c r="O3026" s="616"/>
      <c r="P3026" s="615"/>
      <c r="Q3026" s="616"/>
      <c r="R3026" s="663"/>
      <c r="S3026" s="459"/>
      <c r="T3026" s="459"/>
      <c r="U3026" s="459"/>
      <c r="V3026" s="459"/>
      <c r="W3026" s="459"/>
      <c r="X3026" s="459"/>
      <c r="Y3026" s="666"/>
      <c r="Z3026" s="664"/>
      <c r="AA3026" s="665"/>
      <c r="AB3026" s="665"/>
      <c r="AC3026" s="665"/>
      <c r="AD3026" s="665"/>
      <c r="AE3026" s="665"/>
      <c r="AF3026" s="649"/>
      <c r="AG3026" s="650"/>
      <c r="AH3026" s="650"/>
      <c r="AI3026" s="667"/>
    </row>
    <row r="3027" spans="12:35" ht="45" customHeight="1" thickBot="1" x14ac:dyDescent="0.25">
      <c r="L3027" s="645"/>
      <c r="M3027" s="616"/>
      <c r="N3027" s="616"/>
      <c r="O3027" s="616"/>
      <c r="P3027" s="615"/>
      <c r="Q3027" s="616"/>
      <c r="R3027" s="663"/>
      <c r="S3027" s="459"/>
      <c r="T3027" s="459"/>
      <c r="U3027" s="459"/>
      <c r="V3027" s="459"/>
      <c r="W3027" s="459"/>
      <c r="X3027" s="459"/>
      <c r="Y3027" s="666"/>
      <c r="Z3027" s="664"/>
      <c r="AA3027" s="665"/>
      <c r="AB3027" s="665"/>
      <c r="AC3027" s="665"/>
      <c r="AD3027" s="665"/>
      <c r="AE3027" s="665"/>
      <c r="AF3027" s="649"/>
      <c r="AG3027" s="650"/>
      <c r="AH3027" s="650"/>
      <c r="AI3027" s="667"/>
    </row>
    <row r="3028" spans="12:35" ht="45" customHeight="1" thickBot="1" x14ac:dyDescent="0.25">
      <c r="L3028" s="645"/>
      <c r="M3028" s="616"/>
      <c r="N3028" s="616"/>
      <c r="O3028" s="616"/>
      <c r="P3028" s="615"/>
      <c r="Q3028" s="616"/>
      <c r="R3028" s="663"/>
      <c r="S3028" s="459"/>
      <c r="T3028" s="459"/>
      <c r="U3028" s="459"/>
      <c r="V3028" s="459"/>
      <c r="W3028" s="459"/>
      <c r="X3028" s="459"/>
      <c r="Y3028" s="666"/>
      <c r="Z3028" s="664"/>
      <c r="AA3028" s="665"/>
      <c r="AB3028" s="665"/>
      <c r="AC3028" s="665"/>
      <c r="AD3028" s="665"/>
      <c r="AE3028" s="665"/>
      <c r="AF3028" s="649"/>
      <c r="AG3028" s="650"/>
      <c r="AH3028" s="650"/>
      <c r="AI3028" s="667"/>
    </row>
    <row r="3029" spans="12:35" ht="45" customHeight="1" thickBot="1" x14ac:dyDescent="0.25">
      <c r="L3029" s="645"/>
      <c r="M3029" s="616"/>
      <c r="N3029" s="616"/>
      <c r="O3029" s="616"/>
      <c r="P3029" s="615"/>
      <c r="Q3029" s="616"/>
      <c r="R3029" s="663"/>
      <c r="S3029" s="459"/>
      <c r="T3029" s="459"/>
      <c r="U3029" s="459"/>
      <c r="V3029" s="459"/>
      <c r="W3029" s="459"/>
      <c r="X3029" s="459"/>
      <c r="Y3029" s="666"/>
      <c r="Z3029" s="664"/>
      <c r="AA3029" s="665"/>
      <c r="AB3029" s="665"/>
      <c r="AC3029" s="665"/>
      <c r="AD3029" s="665"/>
      <c r="AE3029" s="665"/>
      <c r="AF3029" s="649"/>
      <c r="AG3029" s="650"/>
      <c r="AH3029" s="650"/>
      <c r="AI3029" s="667"/>
    </row>
    <row r="3030" spans="12:35" ht="45" customHeight="1" thickBot="1" x14ac:dyDescent="0.25">
      <c r="L3030" s="645"/>
      <c r="M3030" s="616"/>
      <c r="N3030" s="616"/>
      <c r="O3030" s="616"/>
      <c r="P3030" s="615"/>
      <c r="Q3030" s="616"/>
      <c r="R3030" s="663"/>
      <c r="S3030" s="459"/>
      <c r="T3030" s="459"/>
      <c r="U3030" s="459"/>
      <c r="V3030" s="459"/>
      <c r="W3030" s="459"/>
      <c r="X3030" s="459"/>
      <c r="Y3030" s="666"/>
      <c r="Z3030" s="664"/>
      <c r="AA3030" s="665"/>
      <c r="AB3030" s="665"/>
      <c r="AC3030" s="665"/>
      <c r="AD3030" s="665"/>
      <c r="AE3030" s="665"/>
      <c r="AF3030" s="649"/>
      <c r="AG3030" s="650"/>
      <c r="AH3030" s="650"/>
      <c r="AI3030" s="667"/>
    </row>
    <row r="3031" spans="12:35" ht="45" customHeight="1" thickBot="1" x14ac:dyDescent="0.25">
      <c r="L3031" s="645"/>
      <c r="M3031" s="616"/>
      <c r="N3031" s="616"/>
      <c r="O3031" s="616"/>
      <c r="P3031" s="615"/>
      <c r="Q3031" s="616"/>
      <c r="R3031" s="663"/>
      <c r="S3031" s="459"/>
      <c r="T3031" s="459"/>
      <c r="U3031" s="459"/>
      <c r="V3031" s="459"/>
      <c r="W3031" s="459"/>
      <c r="X3031" s="459"/>
      <c r="Y3031" s="666"/>
      <c r="Z3031" s="664"/>
      <c r="AA3031" s="665"/>
      <c r="AB3031" s="665"/>
      <c r="AC3031" s="665"/>
      <c r="AD3031" s="665"/>
      <c r="AE3031" s="665"/>
      <c r="AF3031" s="649"/>
      <c r="AG3031" s="650"/>
      <c r="AH3031" s="650"/>
      <c r="AI3031" s="667"/>
    </row>
    <row r="3032" spans="12:35" ht="45" customHeight="1" thickBot="1" x14ac:dyDescent="0.25">
      <c r="L3032" s="645"/>
      <c r="M3032" s="616"/>
      <c r="N3032" s="616"/>
      <c r="O3032" s="616"/>
      <c r="P3032" s="615"/>
      <c r="Q3032" s="616"/>
      <c r="R3032" s="663"/>
      <c r="S3032" s="459"/>
      <c r="T3032" s="459"/>
      <c r="U3032" s="459"/>
      <c r="V3032" s="459"/>
      <c r="W3032" s="459"/>
      <c r="X3032" s="459"/>
      <c r="Y3032" s="666"/>
      <c r="Z3032" s="664"/>
      <c r="AA3032" s="665"/>
      <c r="AB3032" s="665"/>
      <c r="AC3032" s="665"/>
      <c r="AD3032" s="665"/>
      <c r="AE3032" s="665"/>
      <c r="AF3032" s="649"/>
      <c r="AG3032" s="650"/>
      <c r="AH3032" s="650"/>
      <c r="AI3032" s="667"/>
    </row>
    <row r="3033" spans="12:35" ht="45" customHeight="1" thickBot="1" x14ac:dyDescent="0.25">
      <c r="L3033" s="645"/>
      <c r="M3033" s="616"/>
      <c r="N3033" s="616"/>
      <c r="O3033" s="616"/>
      <c r="P3033" s="615"/>
      <c r="Q3033" s="616"/>
      <c r="R3033" s="663"/>
      <c r="S3033" s="459"/>
      <c r="T3033" s="459"/>
      <c r="U3033" s="459"/>
      <c r="V3033" s="459"/>
      <c r="W3033" s="459"/>
      <c r="X3033" s="459"/>
      <c r="Y3033" s="666"/>
      <c r="Z3033" s="664"/>
      <c r="AA3033" s="665"/>
      <c r="AB3033" s="665"/>
      <c r="AC3033" s="665"/>
      <c r="AD3033" s="665"/>
      <c r="AE3033" s="665"/>
      <c r="AF3033" s="649"/>
      <c r="AG3033" s="650"/>
      <c r="AH3033" s="650"/>
      <c r="AI3033" s="667"/>
    </row>
    <row r="3034" spans="12:35" ht="45" customHeight="1" thickBot="1" x14ac:dyDescent="0.25">
      <c r="L3034" s="645"/>
      <c r="M3034" s="616"/>
      <c r="N3034" s="616"/>
      <c r="O3034" s="616"/>
      <c r="P3034" s="615"/>
      <c r="Q3034" s="616"/>
      <c r="R3034" s="663"/>
      <c r="S3034" s="459"/>
      <c r="T3034" s="459"/>
      <c r="U3034" s="459"/>
      <c r="V3034" s="459"/>
      <c r="W3034" s="459"/>
      <c r="X3034" s="459"/>
      <c r="Y3034" s="666"/>
      <c r="Z3034" s="664"/>
      <c r="AA3034" s="665"/>
      <c r="AB3034" s="665"/>
      <c r="AC3034" s="665"/>
      <c r="AD3034" s="665"/>
      <c r="AE3034" s="665"/>
      <c r="AF3034" s="649"/>
      <c r="AG3034" s="650"/>
      <c r="AH3034" s="650"/>
      <c r="AI3034" s="667"/>
    </row>
    <row r="3035" spans="12:35" ht="45" customHeight="1" thickBot="1" x14ac:dyDescent="0.25">
      <c r="L3035" s="645"/>
      <c r="M3035" s="616"/>
      <c r="N3035" s="616"/>
      <c r="O3035" s="616"/>
      <c r="P3035" s="615"/>
      <c r="Q3035" s="616"/>
      <c r="R3035" s="663"/>
      <c r="S3035" s="459"/>
      <c r="T3035" s="459"/>
      <c r="U3035" s="459"/>
      <c r="V3035" s="459"/>
      <c r="W3035" s="459"/>
      <c r="X3035" s="459"/>
      <c r="Y3035" s="666"/>
      <c r="Z3035" s="664"/>
      <c r="AA3035" s="665"/>
      <c r="AB3035" s="665"/>
      <c r="AC3035" s="665"/>
      <c r="AD3035" s="665"/>
      <c r="AE3035" s="665"/>
      <c r="AF3035" s="649"/>
      <c r="AG3035" s="650"/>
      <c r="AH3035" s="650"/>
      <c r="AI3035" s="667"/>
    </row>
    <row r="3036" spans="12:35" ht="45" customHeight="1" thickBot="1" x14ac:dyDescent="0.25">
      <c r="L3036" s="645"/>
      <c r="M3036" s="616"/>
      <c r="N3036" s="616"/>
      <c r="O3036" s="616"/>
      <c r="P3036" s="615"/>
      <c r="Q3036" s="616"/>
      <c r="R3036" s="663"/>
      <c r="S3036" s="459"/>
      <c r="T3036" s="459"/>
      <c r="U3036" s="459"/>
      <c r="V3036" s="459"/>
      <c r="W3036" s="459"/>
      <c r="X3036" s="459"/>
      <c r="Y3036" s="666"/>
      <c r="Z3036" s="664"/>
      <c r="AA3036" s="665"/>
      <c r="AB3036" s="665"/>
      <c r="AC3036" s="665"/>
      <c r="AD3036" s="665"/>
      <c r="AE3036" s="665"/>
      <c r="AF3036" s="649"/>
      <c r="AG3036" s="650"/>
      <c r="AH3036" s="650"/>
      <c r="AI3036" s="667"/>
    </row>
    <row r="3037" spans="12:35" ht="45" customHeight="1" thickBot="1" x14ac:dyDescent="0.25">
      <c r="L3037" s="645"/>
      <c r="M3037" s="616"/>
      <c r="N3037" s="616"/>
      <c r="O3037" s="616"/>
      <c r="P3037" s="615"/>
      <c r="Q3037" s="616"/>
      <c r="R3037" s="663"/>
      <c r="S3037" s="459"/>
      <c r="T3037" s="459"/>
      <c r="U3037" s="459"/>
      <c r="V3037" s="459"/>
      <c r="W3037" s="459"/>
      <c r="X3037" s="459"/>
      <c r="Y3037" s="666"/>
      <c r="Z3037" s="664"/>
      <c r="AA3037" s="665"/>
      <c r="AB3037" s="665"/>
      <c r="AC3037" s="665"/>
      <c r="AD3037" s="665"/>
      <c r="AE3037" s="665"/>
      <c r="AF3037" s="649"/>
      <c r="AG3037" s="650"/>
      <c r="AH3037" s="650"/>
      <c r="AI3037" s="667"/>
    </row>
    <row r="3038" spans="12:35" ht="45" customHeight="1" thickBot="1" x14ac:dyDescent="0.25">
      <c r="L3038" s="645"/>
      <c r="M3038" s="616"/>
      <c r="N3038" s="616"/>
      <c r="O3038" s="616"/>
      <c r="P3038" s="615"/>
      <c r="Q3038" s="616"/>
      <c r="R3038" s="663"/>
      <c r="S3038" s="459"/>
      <c r="T3038" s="459"/>
      <c r="U3038" s="459"/>
      <c r="V3038" s="459"/>
      <c r="W3038" s="459"/>
      <c r="X3038" s="459"/>
      <c r="Y3038" s="666"/>
      <c r="Z3038" s="664"/>
      <c r="AA3038" s="665"/>
      <c r="AB3038" s="665"/>
      <c r="AC3038" s="665"/>
      <c r="AD3038" s="665"/>
      <c r="AE3038" s="665"/>
      <c r="AF3038" s="649"/>
      <c r="AG3038" s="650"/>
      <c r="AH3038" s="650"/>
      <c r="AI3038" s="667"/>
    </row>
    <row r="3039" spans="12:35" ht="45" customHeight="1" thickBot="1" x14ac:dyDescent="0.25">
      <c r="L3039" s="645"/>
      <c r="M3039" s="616"/>
      <c r="N3039" s="616"/>
      <c r="O3039" s="616"/>
      <c r="P3039" s="615"/>
      <c r="Q3039" s="616"/>
      <c r="R3039" s="663"/>
      <c r="S3039" s="459"/>
      <c r="T3039" s="459"/>
      <c r="U3039" s="459"/>
      <c r="V3039" s="459"/>
      <c r="W3039" s="459"/>
      <c r="X3039" s="459"/>
      <c r="Y3039" s="666"/>
      <c r="Z3039" s="664"/>
      <c r="AA3039" s="665"/>
      <c r="AB3039" s="665"/>
      <c r="AC3039" s="665"/>
      <c r="AD3039" s="665"/>
      <c r="AE3039" s="665"/>
      <c r="AF3039" s="649"/>
      <c r="AG3039" s="650"/>
      <c r="AH3039" s="650"/>
      <c r="AI3039" s="667"/>
    </row>
    <row r="3040" spans="12:35" ht="45" customHeight="1" thickBot="1" x14ac:dyDescent="0.25">
      <c r="L3040" s="645"/>
      <c r="M3040" s="616"/>
      <c r="N3040" s="616"/>
      <c r="O3040" s="616"/>
      <c r="P3040" s="615"/>
      <c r="Q3040" s="616"/>
      <c r="R3040" s="663"/>
      <c r="S3040" s="459"/>
      <c r="T3040" s="459"/>
      <c r="U3040" s="459"/>
      <c r="V3040" s="459"/>
      <c r="W3040" s="459"/>
      <c r="X3040" s="459"/>
      <c r="Y3040" s="666"/>
      <c r="Z3040" s="664"/>
      <c r="AA3040" s="665"/>
      <c r="AB3040" s="665"/>
      <c r="AC3040" s="665"/>
      <c r="AD3040" s="665"/>
      <c r="AE3040" s="665"/>
      <c r="AF3040" s="649"/>
      <c r="AG3040" s="650"/>
      <c r="AH3040" s="650"/>
      <c r="AI3040" s="667"/>
    </row>
    <row r="3041" spans="12:35" ht="45" customHeight="1" thickBot="1" x14ac:dyDescent="0.25">
      <c r="L3041" s="645"/>
      <c r="M3041" s="616"/>
      <c r="N3041" s="616"/>
      <c r="O3041" s="616"/>
      <c r="P3041" s="615"/>
      <c r="Q3041" s="616"/>
      <c r="R3041" s="663"/>
      <c r="S3041" s="459"/>
      <c r="T3041" s="459"/>
      <c r="U3041" s="459"/>
      <c r="V3041" s="459"/>
      <c r="W3041" s="459"/>
      <c r="X3041" s="459"/>
      <c r="Y3041" s="666"/>
      <c r="Z3041" s="664"/>
      <c r="AA3041" s="665"/>
      <c r="AB3041" s="665"/>
      <c r="AC3041" s="665"/>
      <c r="AD3041" s="665"/>
      <c r="AE3041" s="665"/>
      <c r="AF3041" s="649"/>
      <c r="AG3041" s="650"/>
      <c r="AH3041" s="650"/>
      <c r="AI3041" s="667"/>
    </row>
    <row r="3042" spans="12:35" ht="45" customHeight="1" thickBot="1" x14ac:dyDescent="0.25">
      <c r="L3042" s="645"/>
      <c r="M3042" s="616"/>
      <c r="N3042" s="616"/>
      <c r="O3042" s="616"/>
      <c r="P3042" s="615"/>
      <c r="Q3042" s="616"/>
      <c r="R3042" s="663"/>
      <c r="S3042" s="459"/>
      <c r="T3042" s="459"/>
      <c r="U3042" s="459"/>
      <c r="V3042" s="459"/>
      <c r="W3042" s="459"/>
      <c r="X3042" s="459"/>
      <c r="Y3042" s="666"/>
      <c r="Z3042" s="664"/>
      <c r="AA3042" s="665"/>
      <c r="AB3042" s="665"/>
      <c r="AC3042" s="665"/>
      <c r="AD3042" s="665"/>
      <c r="AE3042" s="665"/>
      <c r="AF3042" s="649"/>
      <c r="AG3042" s="650"/>
      <c r="AH3042" s="650"/>
      <c r="AI3042" s="667"/>
    </row>
    <row r="3043" spans="12:35" ht="45" customHeight="1" thickBot="1" x14ac:dyDescent="0.25">
      <c r="L3043" s="645"/>
      <c r="M3043" s="616"/>
      <c r="N3043" s="616"/>
      <c r="O3043" s="616"/>
      <c r="P3043" s="615"/>
      <c r="Q3043" s="616"/>
      <c r="R3043" s="663"/>
      <c r="S3043" s="459"/>
      <c r="T3043" s="459"/>
      <c r="U3043" s="459"/>
      <c r="V3043" s="459"/>
      <c r="W3043" s="459"/>
      <c r="X3043" s="459"/>
      <c r="Y3043" s="666"/>
      <c r="Z3043" s="664"/>
      <c r="AA3043" s="665"/>
      <c r="AB3043" s="665"/>
      <c r="AC3043" s="665"/>
      <c r="AD3043" s="665"/>
      <c r="AE3043" s="665"/>
      <c r="AF3043" s="649"/>
      <c r="AG3043" s="650"/>
      <c r="AH3043" s="650"/>
      <c r="AI3043" s="667"/>
    </row>
    <row r="3044" spans="12:35" ht="45" customHeight="1" thickBot="1" x14ac:dyDescent="0.25">
      <c r="L3044" s="645"/>
      <c r="M3044" s="616"/>
      <c r="N3044" s="616"/>
      <c r="O3044" s="616"/>
      <c r="P3044" s="615"/>
      <c r="Q3044" s="616"/>
      <c r="R3044" s="663"/>
      <c r="S3044" s="459"/>
      <c r="T3044" s="459"/>
      <c r="U3044" s="459"/>
      <c r="V3044" s="459"/>
      <c r="W3044" s="459"/>
      <c r="X3044" s="459"/>
      <c r="Y3044" s="666"/>
      <c r="Z3044" s="664"/>
      <c r="AA3044" s="665"/>
      <c r="AB3044" s="665"/>
      <c r="AC3044" s="665"/>
      <c r="AD3044" s="665"/>
      <c r="AE3044" s="665"/>
      <c r="AF3044" s="649"/>
      <c r="AG3044" s="650"/>
      <c r="AH3044" s="650"/>
      <c r="AI3044" s="667"/>
    </row>
    <row r="3045" spans="12:35" ht="45" customHeight="1" thickBot="1" x14ac:dyDescent="0.25">
      <c r="L3045" s="645"/>
      <c r="M3045" s="616"/>
      <c r="N3045" s="616"/>
      <c r="O3045" s="616"/>
      <c r="P3045" s="615"/>
      <c r="Q3045" s="616"/>
      <c r="R3045" s="663"/>
      <c r="S3045" s="459"/>
      <c r="T3045" s="459"/>
      <c r="U3045" s="459"/>
      <c r="V3045" s="459"/>
      <c r="W3045" s="459"/>
      <c r="X3045" s="459"/>
      <c r="Y3045" s="666"/>
      <c r="Z3045" s="664"/>
      <c r="AA3045" s="665"/>
      <c r="AB3045" s="665"/>
      <c r="AC3045" s="665"/>
      <c r="AD3045" s="665"/>
      <c r="AE3045" s="665"/>
      <c r="AF3045" s="649"/>
      <c r="AG3045" s="650"/>
      <c r="AH3045" s="650"/>
      <c r="AI3045" s="667"/>
    </row>
    <row r="3046" spans="12:35" ht="45" customHeight="1" thickBot="1" x14ac:dyDescent="0.25">
      <c r="L3046" s="645"/>
      <c r="M3046" s="616"/>
      <c r="N3046" s="616"/>
      <c r="O3046" s="616"/>
      <c r="P3046" s="615"/>
      <c r="Q3046" s="616"/>
      <c r="R3046" s="663"/>
      <c r="S3046" s="459"/>
      <c r="T3046" s="459"/>
      <c r="U3046" s="459"/>
      <c r="V3046" s="459"/>
      <c r="W3046" s="459"/>
      <c r="X3046" s="459"/>
      <c r="Y3046" s="666"/>
      <c r="Z3046" s="664"/>
      <c r="AA3046" s="665"/>
      <c r="AB3046" s="665"/>
      <c r="AC3046" s="665"/>
      <c r="AD3046" s="665"/>
      <c r="AE3046" s="665"/>
      <c r="AF3046" s="649"/>
      <c r="AG3046" s="650"/>
      <c r="AH3046" s="650"/>
      <c r="AI3046" s="667"/>
    </row>
    <row r="3047" spans="12:35" ht="45" customHeight="1" thickBot="1" x14ac:dyDescent="0.25">
      <c r="L3047" s="645"/>
      <c r="M3047" s="616"/>
      <c r="N3047" s="616"/>
      <c r="O3047" s="616"/>
      <c r="P3047" s="615"/>
      <c r="Q3047" s="616"/>
      <c r="R3047" s="663"/>
      <c r="S3047" s="459"/>
      <c r="T3047" s="459"/>
      <c r="U3047" s="459"/>
      <c r="V3047" s="459"/>
      <c r="W3047" s="459"/>
      <c r="X3047" s="459"/>
      <c r="Y3047" s="666"/>
      <c r="Z3047" s="664"/>
      <c r="AA3047" s="665"/>
      <c r="AB3047" s="665"/>
      <c r="AC3047" s="665"/>
      <c r="AD3047" s="665"/>
      <c r="AE3047" s="665"/>
      <c r="AF3047" s="649"/>
      <c r="AG3047" s="650"/>
      <c r="AH3047" s="650"/>
      <c r="AI3047" s="667"/>
    </row>
    <row r="3048" spans="12:35" ht="45" customHeight="1" thickBot="1" x14ac:dyDescent="0.25">
      <c r="L3048" s="645"/>
      <c r="M3048" s="616"/>
      <c r="N3048" s="616"/>
      <c r="O3048" s="616"/>
      <c r="P3048" s="615"/>
      <c r="Q3048" s="616"/>
      <c r="R3048" s="663"/>
      <c r="S3048" s="459"/>
      <c r="T3048" s="459"/>
      <c r="U3048" s="459"/>
      <c r="V3048" s="459"/>
      <c r="W3048" s="459"/>
      <c r="X3048" s="459"/>
      <c r="Y3048" s="666"/>
      <c r="Z3048" s="664"/>
      <c r="AA3048" s="665"/>
      <c r="AB3048" s="665"/>
      <c r="AC3048" s="665"/>
      <c r="AD3048" s="665"/>
      <c r="AE3048" s="665"/>
      <c r="AF3048" s="649"/>
      <c r="AG3048" s="650"/>
      <c r="AH3048" s="650"/>
      <c r="AI3048" s="667"/>
    </row>
    <row r="3049" spans="12:35" ht="45" customHeight="1" thickBot="1" x14ac:dyDescent="0.25">
      <c r="L3049" s="645"/>
      <c r="M3049" s="616"/>
      <c r="N3049" s="616"/>
      <c r="O3049" s="616"/>
      <c r="P3049" s="615"/>
      <c r="Q3049" s="616"/>
      <c r="R3049" s="663"/>
      <c r="S3049" s="459"/>
      <c r="T3049" s="459"/>
      <c r="U3049" s="459"/>
      <c r="V3049" s="459"/>
      <c r="W3049" s="459"/>
      <c r="X3049" s="459"/>
      <c r="Y3049" s="666"/>
      <c r="Z3049" s="664"/>
      <c r="AA3049" s="665"/>
      <c r="AB3049" s="665"/>
      <c r="AC3049" s="665"/>
      <c r="AD3049" s="665"/>
      <c r="AE3049" s="665"/>
      <c r="AF3049" s="649"/>
      <c r="AG3049" s="650"/>
      <c r="AH3049" s="650"/>
      <c r="AI3049" s="667"/>
    </row>
    <row r="3050" spans="12:35" ht="45" customHeight="1" thickBot="1" x14ac:dyDescent="0.25">
      <c r="L3050" s="645"/>
      <c r="M3050" s="616"/>
      <c r="N3050" s="616"/>
      <c r="O3050" s="616"/>
      <c r="P3050" s="615"/>
      <c r="Q3050" s="616"/>
      <c r="R3050" s="663"/>
      <c r="S3050" s="459"/>
      <c r="T3050" s="459"/>
      <c r="U3050" s="459"/>
      <c r="V3050" s="459"/>
      <c r="W3050" s="459"/>
      <c r="X3050" s="459"/>
      <c r="Y3050" s="666"/>
      <c r="Z3050" s="664"/>
      <c r="AA3050" s="665"/>
      <c r="AB3050" s="665"/>
      <c r="AC3050" s="665"/>
      <c r="AD3050" s="665"/>
      <c r="AE3050" s="665"/>
      <c r="AF3050" s="649"/>
      <c r="AG3050" s="650"/>
      <c r="AH3050" s="650"/>
      <c r="AI3050" s="667"/>
    </row>
    <row r="3051" spans="12:35" ht="45" customHeight="1" thickBot="1" x14ac:dyDescent="0.25">
      <c r="L3051" s="645"/>
      <c r="M3051" s="616"/>
      <c r="N3051" s="616"/>
      <c r="O3051" s="616"/>
      <c r="P3051" s="615"/>
      <c r="Q3051" s="616"/>
      <c r="R3051" s="663"/>
      <c r="S3051" s="459"/>
      <c r="T3051" s="459"/>
      <c r="U3051" s="459"/>
      <c r="V3051" s="459"/>
      <c r="W3051" s="459"/>
      <c r="X3051" s="459"/>
      <c r="Y3051" s="666"/>
      <c r="Z3051" s="664"/>
      <c r="AA3051" s="665"/>
      <c r="AB3051" s="665"/>
      <c r="AC3051" s="665"/>
      <c r="AD3051" s="665"/>
      <c r="AE3051" s="665"/>
      <c r="AF3051" s="649"/>
      <c r="AG3051" s="650"/>
      <c r="AH3051" s="650"/>
      <c r="AI3051" s="667"/>
    </row>
    <row r="3052" spans="12:35" ht="45" customHeight="1" thickBot="1" x14ac:dyDescent="0.25">
      <c r="L3052" s="645"/>
      <c r="M3052" s="616"/>
      <c r="N3052" s="616"/>
      <c r="O3052" s="616"/>
      <c r="P3052" s="615"/>
      <c r="Q3052" s="616"/>
      <c r="R3052" s="663"/>
      <c r="S3052" s="459"/>
      <c r="T3052" s="459"/>
      <c r="U3052" s="459"/>
      <c r="V3052" s="459"/>
      <c r="W3052" s="459"/>
      <c r="X3052" s="459"/>
      <c r="Y3052" s="666"/>
      <c r="Z3052" s="664"/>
      <c r="AA3052" s="665"/>
      <c r="AB3052" s="665"/>
      <c r="AC3052" s="665"/>
      <c r="AD3052" s="665"/>
      <c r="AE3052" s="665"/>
      <c r="AF3052" s="649"/>
      <c r="AG3052" s="650"/>
      <c r="AH3052" s="650"/>
      <c r="AI3052" s="667"/>
    </row>
    <row r="3053" spans="12:35" ht="45" customHeight="1" thickBot="1" x14ac:dyDescent="0.25">
      <c r="L3053" s="645"/>
      <c r="M3053" s="616"/>
      <c r="N3053" s="616"/>
      <c r="O3053" s="616"/>
      <c r="P3053" s="615"/>
      <c r="Q3053" s="616"/>
      <c r="R3053" s="663"/>
      <c r="S3053" s="459"/>
      <c r="T3053" s="459"/>
      <c r="U3053" s="459"/>
      <c r="V3053" s="459"/>
      <c r="W3053" s="459"/>
      <c r="X3053" s="459"/>
      <c r="Y3053" s="666"/>
      <c r="Z3053" s="664"/>
      <c r="AA3053" s="665"/>
      <c r="AB3053" s="665"/>
      <c r="AC3053" s="665"/>
      <c r="AD3053" s="665"/>
      <c r="AE3053" s="665"/>
      <c r="AF3053" s="649"/>
      <c r="AG3053" s="650"/>
      <c r="AH3053" s="650"/>
      <c r="AI3053" s="667"/>
    </row>
    <row r="3054" spans="12:35" ht="45" customHeight="1" thickBot="1" x14ac:dyDescent="0.25">
      <c r="L3054" s="645"/>
      <c r="M3054" s="616"/>
      <c r="N3054" s="616"/>
      <c r="O3054" s="616"/>
      <c r="P3054" s="615"/>
      <c r="Q3054" s="616"/>
      <c r="R3054" s="663"/>
      <c r="S3054" s="459"/>
      <c r="T3054" s="459"/>
      <c r="U3054" s="459"/>
      <c r="V3054" s="459"/>
      <c r="W3054" s="459"/>
      <c r="X3054" s="459"/>
      <c r="Y3054" s="666"/>
      <c r="Z3054" s="664"/>
      <c r="AA3054" s="665"/>
      <c r="AB3054" s="665"/>
      <c r="AC3054" s="665"/>
      <c r="AD3054" s="665"/>
      <c r="AE3054" s="665"/>
      <c r="AF3054" s="649"/>
      <c r="AG3054" s="650"/>
      <c r="AH3054" s="650"/>
      <c r="AI3054" s="667"/>
    </row>
    <row r="3055" spans="12:35" ht="45" customHeight="1" thickBot="1" x14ac:dyDescent="0.25">
      <c r="L3055" s="645"/>
      <c r="M3055" s="616"/>
      <c r="N3055" s="616"/>
      <c r="O3055" s="616"/>
      <c r="P3055" s="615"/>
      <c r="Q3055" s="616"/>
      <c r="R3055" s="663"/>
      <c r="S3055" s="459"/>
      <c r="T3055" s="459"/>
      <c r="U3055" s="459"/>
      <c r="V3055" s="459"/>
      <c r="W3055" s="459"/>
      <c r="X3055" s="459"/>
      <c r="Y3055" s="666"/>
      <c r="Z3055" s="664"/>
      <c r="AA3055" s="665"/>
      <c r="AB3055" s="665"/>
      <c r="AC3055" s="665"/>
      <c r="AD3055" s="665"/>
      <c r="AE3055" s="665"/>
      <c r="AF3055" s="649"/>
      <c r="AG3055" s="650"/>
      <c r="AH3055" s="650"/>
      <c r="AI3055" s="667"/>
    </row>
    <row r="3056" spans="12:35" ht="45" customHeight="1" thickBot="1" x14ac:dyDescent="0.25">
      <c r="L3056" s="645"/>
      <c r="M3056" s="616"/>
      <c r="N3056" s="616"/>
      <c r="O3056" s="616"/>
      <c r="P3056" s="615"/>
      <c r="Q3056" s="616"/>
      <c r="R3056" s="663"/>
      <c r="S3056" s="459"/>
      <c r="T3056" s="459"/>
      <c r="U3056" s="459"/>
      <c r="V3056" s="459"/>
      <c r="W3056" s="459"/>
      <c r="X3056" s="459"/>
      <c r="Y3056" s="666"/>
      <c r="Z3056" s="664"/>
      <c r="AA3056" s="665"/>
      <c r="AB3056" s="665"/>
      <c r="AC3056" s="665"/>
      <c r="AD3056" s="665"/>
      <c r="AE3056" s="665"/>
      <c r="AF3056" s="649"/>
      <c r="AG3056" s="650"/>
      <c r="AH3056" s="650"/>
      <c r="AI3056" s="667"/>
    </row>
    <row r="3057" spans="12:35" ht="45" customHeight="1" thickBot="1" x14ac:dyDescent="0.25">
      <c r="L3057" s="645"/>
      <c r="M3057" s="616"/>
      <c r="N3057" s="616"/>
      <c r="O3057" s="616"/>
      <c r="P3057" s="615"/>
      <c r="Q3057" s="616"/>
      <c r="R3057" s="663"/>
      <c r="S3057" s="459"/>
      <c r="T3057" s="459"/>
      <c r="U3057" s="459"/>
      <c r="V3057" s="459"/>
      <c r="W3057" s="459"/>
      <c r="X3057" s="459"/>
      <c r="Y3057" s="666"/>
      <c r="Z3057" s="664"/>
      <c r="AA3057" s="665"/>
      <c r="AB3057" s="665"/>
      <c r="AC3057" s="665"/>
      <c r="AD3057" s="665"/>
      <c r="AE3057" s="665"/>
      <c r="AF3057" s="649"/>
      <c r="AG3057" s="650"/>
      <c r="AH3057" s="650"/>
      <c r="AI3057" s="667"/>
    </row>
    <row r="3058" spans="12:35" ht="45" customHeight="1" thickBot="1" x14ac:dyDescent="0.25">
      <c r="L3058" s="645"/>
      <c r="M3058" s="616"/>
      <c r="N3058" s="616"/>
      <c r="O3058" s="616"/>
      <c r="P3058" s="615"/>
      <c r="Q3058" s="616"/>
      <c r="R3058" s="663"/>
      <c r="S3058" s="459"/>
      <c r="T3058" s="459"/>
      <c r="U3058" s="459"/>
      <c r="V3058" s="459"/>
      <c r="W3058" s="459"/>
      <c r="X3058" s="459"/>
      <c r="Y3058" s="666"/>
      <c r="Z3058" s="664"/>
      <c r="AA3058" s="665"/>
      <c r="AB3058" s="665"/>
      <c r="AC3058" s="665"/>
      <c r="AD3058" s="665"/>
      <c r="AE3058" s="665"/>
      <c r="AF3058" s="649"/>
      <c r="AG3058" s="650"/>
      <c r="AH3058" s="650"/>
      <c r="AI3058" s="667"/>
    </row>
    <row r="3059" spans="12:35" ht="45" customHeight="1" thickBot="1" x14ac:dyDescent="0.25">
      <c r="L3059" s="645"/>
      <c r="M3059" s="616"/>
      <c r="N3059" s="616"/>
      <c r="O3059" s="616"/>
      <c r="P3059" s="615"/>
      <c r="Q3059" s="616"/>
      <c r="R3059" s="663"/>
      <c r="S3059" s="459"/>
      <c r="T3059" s="459"/>
      <c r="U3059" s="459"/>
      <c r="V3059" s="459"/>
      <c r="W3059" s="459"/>
      <c r="X3059" s="459"/>
      <c r="Y3059" s="666"/>
      <c r="Z3059" s="664"/>
      <c r="AA3059" s="665"/>
      <c r="AB3059" s="665"/>
      <c r="AC3059" s="665"/>
      <c r="AD3059" s="665"/>
      <c r="AE3059" s="665"/>
      <c r="AF3059" s="649"/>
      <c r="AG3059" s="650"/>
      <c r="AH3059" s="650"/>
      <c r="AI3059" s="667"/>
    </row>
    <row r="3060" spans="12:35" ht="45" customHeight="1" thickBot="1" x14ac:dyDescent="0.25">
      <c r="L3060" s="645"/>
      <c r="M3060" s="616"/>
      <c r="N3060" s="616"/>
      <c r="O3060" s="616"/>
      <c r="P3060" s="615"/>
      <c r="Q3060" s="616"/>
      <c r="R3060" s="663"/>
      <c r="S3060" s="459"/>
      <c r="T3060" s="459"/>
      <c r="U3060" s="459"/>
      <c r="V3060" s="459"/>
      <c r="W3060" s="459"/>
      <c r="X3060" s="459"/>
      <c r="Y3060" s="666"/>
      <c r="Z3060" s="664"/>
      <c r="AA3060" s="665"/>
      <c r="AB3060" s="665"/>
      <c r="AC3060" s="665"/>
      <c r="AD3060" s="665"/>
      <c r="AE3060" s="665"/>
      <c r="AF3060" s="649"/>
      <c r="AG3060" s="650"/>
      <c r="AH3060" s="650"/>
      <c r="AI3060" s="667"/>
    </row>
    <row r="3061" spans="12:35" ht="45" customHeight="1" thickBot="1" x14ac:dyDescent="0.25">
      <c r="L3061" s="645"/>
      <c r="M3061" s="616"/>
      <c r="N3061" s="616"/>
      <c r="O3061" s="616"/>
      <c r="P3061" s="615"/>
      <c r="Q3061" s="616"/>
      <c r="R3061" s="663"/>
      <c r="S3061" s="459"/>
      <c r="T3061" s="459"/>
      <c r="U3061" s="459"/>
      <c r="V3061" s="459"/>
      <c r="W3061" s="459"/>
      <c r="X3061" s="459"/>
      <c r="Y3061" s="666"/>
      <c r="Z3061" s="664"/>
      <c r="AA3061" s="665"/>
      <c r="AB3061" s="665"/>
      <c r="AC3061" s="665"/>
      <c r="AD3061" s="665"/>
      <c r="AE3061" s="665"/>
      <c r="AF3061" s="649"/>
      <c r="AG3061" s="650"/>
      <c r="AH3061" s="650"/>
      <c r="AI3061" s="667"/>
    </row>
    <row r="3062" spans="12:35" ht="45" customHeight="1" thickBot="1" x14ac:dyDescent="0.25">
      <c r="L3062" s="645"/>
      <c r="M3062" s="616"/>
      <c r="N3062" s="616"/>
      <c r="O3062" s="616"/>
      <c r="P3062" s="615"/>
      <c r="Q3062" s="616"/>
      <c r="R3062" s="663"/>
      <c r="S3062" s="459"/>
      <c r="T3062" s="459"/>
      <c r="U3062" s="459"/>
      <c r="V3062" s="459"/>
      <c r="W3062" s="459"/>
      <c r="X3062" s="459"/>
      <c r="Y3062" s="666"/>
      <c r="Z3062" s="664"/>
      <c r="AA3062" s="665"/>
      <c r="AB3062" s="665"/>
      <c r="AC3062" s="665"/>
      <c r="AD3062" s="665"/>
      <c r="AE3062" s="665"/>
      <c r="AF3062" s="649"/>
      <c r="AG3062" s="650"/>
      <c r="AH3062" s="650"/>
      <c r="AI3062" s="667"/>
    </row>
    <row r="3063" spans="12:35" ht="45" customHeight="1" thickBot="1" x14ac:dyDescent="0.25">
      <c r="L3063" s="645"/>
      <c r="M3063" s="616"/>
      <c r="N3063" s="616"/>
      <c r="O3063" s="616"/>
      <c r="P3063" s="615"/>
      <c r="Q3063" s="616"/>
      <c r="R3063" s="663"/>
      <c r="S3063" s="459"/>
      <c r="T3063" s="459"/>
      <c r="U3063" s="459"/>
      <c r="V3063" s="459"/>
      <c r="W3063" s="459"/>
      <c r="X3063" s="459"/>
      <c r="Y3063" s="666"/>
      <c r="Z3063" s="664"/>
      <c r="AA3063" s="665"/>
      <c r="AB3063" s="665"/>
      <c r="AC3063" s="665"/>
      <c r="AD3063" s="665"/>
      <c r="AE3063" s="665"/>
      <c r="AF3063" s="649"/>
      <c r="AG3063" s="650"/>
      <c r="AH3063" s="650"/>
      <c r="AI3063" s="667"/>
    </row>
    <row r="3064" spans="12:35" ht="45" customHeight="1" thickBot="1" x14ac:dyDescent="0.25">
      <c r="L3064" s="645"/>
      <c r="M3064" s="616"/>
      <c r="N3064" s="616"/>
      <c r="O3064" s="616"/>
      <c r="P3064" s="615"/>
      <c r="Q3064" s="616"/>
      <c r="R3064" s="663"/>
      <c r="S3064" s="459"/>
      <c r="T3064" s="459"/>
      <c r="U3064" s="459"/>
      <c r="V3064" s="459"/>
      <c r="W3064" s="459"/>
      <c r="X3064" s="459"/>
      <c r="Y3064" s="666"/>
      <c r="Z3064" s="664"/>
      <c r="AA3064" s="665"/>
      <c r="AB3064" s="665"/>
      <c r="AC3064" s="665"/>
      <c r="AD3064" s="665"/>
      <c r="AE3064" s="665"/>
      <c r="AF3064" s="649"/>
      <c r="AG3064" s="650"/>
      <c r="AH3064" s="650"/>
      <c r="AI3064" s="667"/>
    </row>
    <row r="3065" spans="12:35" ht="45" customHeight="1" thickBot="1" x14ac:dyDescent="0.25">
      <c r="L3065" s="645"/>
      <c r="M3065" s="616"/>
      <c r="N3065" s="616"/>
      <c r="O3065" s="616"/>
      <c r="P3065" s="615"/>
      <c r="Q3065" s="616"/>
      <c r="R3065" s="663"/>
      <c r="S3065" s="459"/>
      <c r="T3065" s="459"/>
      <c r="U3065" s="459"/>
      <c r="V3065" s="459"/>
      <c r="W3065" s="459"/>
      <c r="X3065" s="459"/>
      <c r="Y3065" s="666"/>
      <c r="Z3065" s="664"/>
      <c r="AA3065" s="665"/>
      <c r="AB3065" s="665"/>
      <c r="AC3065" s="665"/>
      <c r="AD3065" s="665"/>
      <c r="AE3065" s="665"/>
      <c r="AF3065" s="649"/>
      <c r="AG3065" s="650"/>
      <c r="AH3065" s="650"/>
      <c r="AI3065" s="667"/>
    </row>
    <row r="3066" spans="12:35" ht="45" customHeight="1" thickBot="1" x14ac:dyDescent="0.25">
      <c r="L3066" s="645"/>
      <c r="M3066" s="616"/>
      <c r="N3066" s="616"/>
      <c r="O3066" s="616"/>
      <c r="P3066" s="615"/>
      <c r="Q3066" s="616"/>
      <c r="R3066" s="663"/>
      <c r="S3066" s="459"/>
      <c r="T3066" s="459"/>
      <c r="U3066" s="459"/>
      <c r="V3066" s="459"/>
      <c r="W3066" s="459"/>
      <c r="X3066" s="459"/>
      <c r="Y3066" s="666"/>
      <c r="Z3066" s="664"/>
      <c r="AA3066" s="665"/>
      <c r="AB3066" s="665"/>
      <c r="AC3066" s="665"/>
      <c r="AD3066" s="665"/>
      <c r="AE3066" s="665"/>
      <c r="AF3066" s="649"/>
      <c r="AG3066" s="650"/>
      <c r="AH3066" s="650"/>
      <c r="AI3066" s="667"/>
    </row>
    <row r="3067" spans="12:35" ht="45" customHeight="1" thickBot="1" x14ac:dyDescent="0.25">
      <c r="L3067" s="645"/>
      <c r="M3067" s="616"/>
      <c r="N3067" s="616"/>
      <c r="O3067" s="616"/>
      <c r="P3067" s="615"/>
      <c r="Q3067" s="616"/>
      <c r="R3067" s="663"/>
      <c r="S3067" s="459"/>
      <c r="T3067" s="459"/>
      <c r="U3067" s="459"/>
      <c r="V3067" s="459"/>
      <c r="W3067" s="459"/>
      <c r="X3067" s="459"/>
      <c r="Y3067" s="666"/>
      <c r="Z3067" s="664"/>
      <c r="AA3067" s="665"/>
      <c r="AB3067" s="665"/>
      <c r="AC3067" s="665"/>
      <c r="AD3067" s="665"/>
      <c r="AE3067" s="665"/>
      <c r="AF3067" s="649"/>
      <c r="AG3067" s="650"/>
      <c r="AH3067" s="650"/>
      <c r="AI3067" s="667"/>
    </row>
    <row r="3068" spans="12:35" ht="45" customHeight="1" thickBot="1" x14ac:dyDescent="0.25">
      <c r="L3068" s="645"/>
      <c r="M3068" s="616"/>
      <c r="N3068" s="616"/>
      <c r="O3068" s="616"/>
      <c r="P3068" s="615"/>
      <c r="Q3068" s="616"/>
      <c r="R3068" s="663"/>
      <c r="S3068" s="459"/>
      <c r="T3068" s="459"/>
      <c r="U3068" s="459"/>
      <c r="V3068" s="459"/>
      <c r="W3068" s="459"/>
      <c r="X3068" s="459"/>
      <c r="Y3068" s="666"/>
      <c r="Z3068" s="664"/>
      <c r="AA3068" s="665"/>
      <c r="AB3068" s="665"/>
      <c r="AC3068" s="665"/>
      <c r="AD3068" s="665"/>
      <c r="AE3068" s="665"/>
      <c r="AF3068" s="649"/>
      <c r="AG3068" s="650"/>
      <c r="AH3068" s="650"/>
      <c r="AI3068" s="667"/>
    </row>
    <row r="3069" spans="12:35" ht="45" customHeight="1" thickBot="1" x14ac:dyDescent="0.25">
      <c r="L3069" s="645"/>
      <c r="M3069" s="616"/>
      <c r="N3069" s="616"/>
      <c r="O3069" s="616"/>
      <c r="P3069" s="615"/>
      <c r="Q3069" s="616"/>
      <c r="R3069" s="663"/>
      <c r="S3069" s="459"/>
      <c r="T3069" s="459"/>
      <c r="U3069" s="459"/>
      <c r="V3069" s="459"/>
      <c r="W3069" s="459"/>
      <c r="X3069" s="459"/>
      <c r="Y3069" s="666"/>
      <c r="Z3069" s="664"/>
      <c r="AA3069" s="665"/>
      <c r="AB3069" s="665"/>
      <c r="AC3069" s="665"/>
      <c r="AD3069" s="665"/>
      <c r="AE3069" s="665"/>
      <c r="AF3069" s="649"/>
      <c r="AG3069" s="650"/>
      <c r="AH3069" s="650"/>
      <c r="AI3069" s="667"/>
    </row>
    <row r="3070" spans="12:35" ht="45" customHeight="1" thickBot="1" x14ac:dyDescent="0.25">
      <c r="L3070" s="645"/>
      <c r="M3070" s="616"/>
      <c r="N3070" s="616"/>
      <c r="O3070" s="616"/>
      <c r="P3070" s="615"/>
      <c r="Q3070" s="616"/>
      <c r="R3070" s="663"/>
      <c r="S3070" s="459"/>
      <c r="T3070" s="459"/>
      <c r="U3070" s="459"/>
      <c r="V3070" s="459"/>
      <c r="W3070" s="459"/>
      <c r="X3070" s="459"/>
      <c r="Y3070" s="666"/>
      <c r="Z3070" s="664"/>
      <c r="AA3070" s="665"/>
      <c r="AB3070" s="665"/>
      <c r="AC3070" s="665"/>
      <c r="AD3070" s="665"/>
      <c r="AE3070" s="665"/>
      <c r="AF3070" s="649"/>
      <c r="AG3070" s="650"/>
      <c r="AH3070" s="650"/>
      <c r="AI3070" s="667"/>
    </row>
    <row r="3071" spans="12:35" ht="45" customHeight="1" thickBot="1" x14ac:dyDescent="0.25">
      <c r="L3071" s="645"/>
      <c r="M3071" s="616"/>
      <c r="N3071" s="616"/>
      <c r="O3071" s="616"/>
      <c r="P3071" s="615"/>
      <c r="Q3071" s="616"/>
      <c r="R3071" s="663"/>
      <c r="S3071" s="459"/>
      <c r="T3071" s="459"/>
      <c r="U3071" s="459"/>
      <c r="V3071" s="459"/>
      <c r="W3071" s="459"/>
      <c r="X3071" s="459"/>
      <c r="Y3071" s="666"/>
      <c r="Z3071" s="664"/>
      <c r="AA3071" s="665"/>
      <c r="AB3071" s="665"/>
      <c r="AC3071" s="665"/>
      <c r="AD3071" s="665"/>
      <c r="AE3071" s="665"/>
      <c r="AF3071" s="649"/>
      <c r="AG3071" s="650"/>
      <c r="AH3071" s="650"/>
      <c r="AI3071" s="667"/>
    </row>
    <row r="3072" spans="12:35" ht="45" customHeight="1" thickBot="1" x14ac:dyDescent="0.25">
      <c r="L3072" s="645"/>
      <c r="M3072" s="616"/>
      <c r="N3072" s="616"/>
      <c r="O3072" s="616"/>
      <c r="P3072" s="615"/>
      <c r="Q3072" s="616"/>
      <c r="R3072" s="663"/>
      <c r="S3072" s="459"/>
      <c r="T3072" s="459"/>
      <c r="U3072" s="459"/>
      <c r="V3072" s="459"/>
      <c r="W3072" s="459"/>
      <c r="X3072" s="459"/>
      <c r="Y3072" s="666"/>
      <c r="Z3072" s="664"/>
      <c r="AA3072" s="665"/>
      <c r="AB3072" s="665"/>
      <c r="AC3072" s="665"/>
      <c r="AD3072" s="665"/>
      <c r="AE3072" s="665"/>
      <c r="AF3072" s="649"/>
      <c r="AG3072" s="650"/>
      <c r="AH3072" s="650"/>
      <c r="AI3072" s="667"/>
    </row>
    <row r="3073" spans="12:35" ht="45" customHeight="1" thickBot="1" x14ac:dyDescent="0.25">
      <c r="L3073" s="645"/>
      <c r="M3073" s="616"/>
      <c r="N3073" s="616"/>
      <c r="O3073" s="616"/>
      <c r="P3073" s="615"/>
      <c r="Q3073" s="616"/>
      <c r="R3073" s="663"/>
      <c r="S3073" s="459"/>
      <c r="T3073" s="459"/>
      <c r="U3073" s="459"/>
      <c r="V3073" s="459"/>
      <c r="W3073" s="459"/>
      <c r="X3073" s="459"/>
      <c r="Y3073" s="666"/>
      <c r="Z3073" s="664"/>
      <c r="AA3073" s="665"/>
      <c r="AB3073" s="665"/>
      <c r="AC3073" s="665"/>
      <c r="AD3073" s="665"/>
      <c r="AE3073" s="665"/>
      <c r="AF3073" s="649"/>
      <c r="AG3073" s="650"/>
      <c r="AH3073" s="650"/>
      <c r="AI3073" s="667"/>
    </row>
    <row r="3074" spans="12:35" ht="45" customHeight="1" thickBot="1" x14ac:dyDescent="0.25">
      <c r="L3074" s="645"/>
      <c r="M3074" s="616"/>
      <c r="N3074" s="616"/>
      <c r="O3074" s="616"/>
      <c r="P3074" s="615"/>
      <c r="Q3074" s="616"/>
      <c r="R3074" s="663"/>
      <c r="S3074" s="459"/>
      <c r="T3074" s="459"/>
      <c r="U3074" s="459"/>
      <c r="V3074" s="459"/>
      <c r="W3074" s="459"/>
      <c r="X3074" s="459"/>
      <c r="Y3074" s="666"/>
      <c r="Z3074" s="664"/>
      <c r="AA3074" s="665"/>
      <c r="AB3074" s="665"/>
      <c r="AC3074" s="665"/>
      <c r="AD3074" s="665"/>
      <c r="AE3074" s="665"/>
      <c r="AF3074" s="649"/>
      <c r="AG3074" s="650"/>
      <c r="AH3074" s="650"/>
      <c r="AI3074" s="667"/>
    </row>
    <row r="3075" spans="12:35" ht="45" customHeight="1" thickBot="1" x14ac:dyDescent="0.25">
      <c r="L3075" s="645"/>
      <c r="M3075" s="616"/>
      <c r="N3075" s="616"/>
      <c r="O3075" s="616"/>
      <c r="P3075" s="615"/>
      <c r="Q3075" s="616"/>
      <c r="R3075" s="663"/>
      <c r="S3075" s="459"/>
      <c r="T3075" s="459"/>
      <c r="U3075" s="459"/>
      <c r="V3075" s="459"/>
      <c r="W3075" s="459"/>
      <c r="X3075" s="459"/>
      <c r="Y3075" s="666"/>
      <c r="Z3075" s="664"/>
      <c r="AA3075" s="665"/>
      <c r="AB3075" s="665"/>
      <c r="AC3075" s="665"/>
      <c r="AD3075" s="665"/>
      <c r="AE3075" s="665"/>
      <c r="AF3075" s="649"/>
      <c r="AG3075" s="650"/>
      <c r="AH3075" s="650"/>
      <c r="AI3075" s="667"/>
    </row>
    <row r="3076" spans="12:35" ht="45" customHeight="1" thickBot="1" x14ac:dyDescent="0.25">
      <c r="L3076" s="645"/>
      <c r="M3076" s="616"/>
      <c r="N3076" s="616"/>
      <c r="O3076" s="616"/>
      <c r="P3076" s="615"/>
      <c r="Q3076" s="616"/>
      <c r="R3076" s="663"/>
      <c r="S3076" s="459"/>
      <c r="T3076" s="459"/>
      <c r="U3076" s="459"/>
      <c r="V3076" s="459"/>
      <c r="W3076" s="459"/>
      <c r="X3076" s="459"/>
      <c r="Y3076" s="666"/>
      <c r="Z3076" s="664"/>
      <c r="AA3076" s="665"/>
      <c r="AB3076" s="665"/>
      <c r="AC3076" s="665"/>
      <c r="AD3076" s="665"/>
      <c r="AE3076" s="665"/>
      <c r="AF3076" s="649"/>
      <c r="AG3076" s="650"/>
      <c r="AH3076" s="650"/>
      <c r="AI3076" s="667"/>
    </row>
    <row r="3077" spans="12:35" ht="45" customHeight="1" thickBot="1" x14ac:dyDescent="0.25">
      <c r="L3077" s="645"/>
      <c r="M3077" s="616"/>
      <c r="N3077" s="616"/>
      <c r="O3077" s="616"/>
      <c r="P3077" s="615"/>
      <c r="Q3077" s="616"/>
      <c r="R3077" s="663"/>
      <c r="S3077" s="459"/>
      <c r="T3077" s="459"/>
      <c r="U3077" s="459"/>
      <c r="V3077" s="459"/>
      <c r="W3077" s="459"/>
      <c r="X3077" s="459"/>
      <c r="Y3077" s="666"/>
      <c r="Z3077" s="664"/>
      <c r="AA3077" s="665"/>
      <c r="AB3077" s="665"/>
      <c r="AC3077" s="665"/>
      <c r="AD3077" s="665"/>
      <c r="AE3077" s="665"/>
      <c r="AF3077" s="649"/>
      <c r="AG3077" s="650"/>
      <c r="AH3077" s="650"/>
      <c r="AI3077" s="667"/>
    </row>
    <row r="3078" spans="12:35" ht="45" customHeight="1" thickBot="1" x14ac:dyDescent="0.25">
      <c r="L3078" s="645"/>
      <c r="M3078" s="616"/>
      <c r="N3078" s="616"/>
      <c r="O3078" s="616"/>
      <c r="P3078" s="615"/>
      <c r="Q3078" s="616"/>
      <c r="R3078" s="663"/>
      <c r="S3078" s="459"/>
      <c r="T3078" s="459"/>
      <c r="U3078" s="459"/>
      <c r="V3078" s="459"/>
      <c r="W3078" s="459"/>
      <c r="X3078" s="459"/>
      <c r="Y3078" s="666"/>
      <c r="Z3078" s="664"/>
      <c r="AA3078" s="665"/>
      <c r="AB3078" s="665"/>
      <c r="AC3078" s="665"/>
      <c r="AD3078" s="665"/>
      <c r="AE3078" s="665"/>
      <c r="AF3078" s="649"/>
      <c r="AG3078" s="650"/>
      <c r="AH3078" s="650"/>
      <c r="AI3078" s="667"/>
    </row>
    <row r="3079" spans="12:35" ht="45" customHeight="1" thickBot="1" x14ac:dyDescent="0.25">
      <c r="L3079" s="645"/>
      <c r="M3079" s="616"/>
      <c r="N3079" s="616"/>
      <c r="O3079" s="616"/>
      <c r="P3079" s="615"/>
      <c r="Q3079" s="616"/>
      <c r="R3079" s="663"/>
      <c r="S3079" s="459"/>
      <c r="T3079" s="459"/>
      <c r="U3079" s="459"/>
      <c r="V3079" s="459"/>
      <c r="W3079" s="459"/>
      <c r="X3079" s="459"/>
      <c r="Y3079" s="666"/>
      <c r="Z3079" s="664"/>
      <c r="AA3079" s="665"/>
      <c r="AB3079" s="665"/>
      <c r="AC3079" s="665"/>
      <c r="AD3079" s="665"/>
      <c r="AE3079" s="665"/>
      <c r="AF3079" s="649"/>
      <c r="AG3079" s="650"/>
      <c r="AH3079" s="650"/>
      <c r="AI3079" s="667"/>
    </row>
    <row r="3080" spans="12:35" ht="45" customHeight="1" thickBot="1" x14ac:dyDescent="0.25">
      <c r="L3080" s="645"/>
      <c r="M3080" s="616"/>
      <c r="N3080" s="616"/>
      <c r="O3080" s="616"/>
      <c r="P3080" s="615"/>
      <c r="Q3080" s="616"/>
      <c r="R3080" s="663"/>
      <c r="S3080" s="459"/>
      <c r="T3080" s="459"/>
      <c r="U3080" s="459"/>
      <c r="V3080" s="459"/>
      <c r="W3080" s="459"/>
      <c r="X3080" s="459"/>
      <c r="Y3080" s="666"/>
      <c r="Z3080" s="664"/>
      <c r="AA3080" s="665"/>
      <c r="AB3080" s="665"/>
      <c r="AC3080" s="665"/>
      <c r="AD3080" s="665"/>
      <c r="AE3080" s="665"/>
      <c r="AF3080" s="649"/>
      <c r="AG3080" s="650"/>
      <c r="AH3080" s="650"/>
      <c r="AI3080" s="667"/>
    </row>
    <row r="3081" spans="12:35" ht="45" customHeight="1" thickBot="1" x14ac:dyDescent="0.25">
      <c r="L3081" s="645"/>
      <c r="M3081" s="616"/>
      <c r="N3081" s="616"/>
      <c r="O3081" s="616"/>
      <c r="P3081" s="615"/>
      <c r="Q3081" s="616"/>
      <c r="R3081" s="663"/>
      <c r="S3081" s="459"/>
      <c r="T3081" s="459"/>
      <c r="U3081" s="459"/>
      <c r="V3081" s="459"/>
      <c r="W3081" s="459"/>
      <c r="X3081" s="459"/>
      <c r="Y3081" s="666"/>
      <c r="Z3081" s="664"/>
      <c r="AA3081" s="665"/>
      <c r="AB3081" s="665"/>
      <c r="AC3081" s="665"/>
      <c r="AD3081" s="665"/>
      <c r="AE3081" s="665"/>
      <c r="AF3081" s="649"/>
      <c r="AG3081" s="650"/>
      <c r="AH3081" s="650"/>
      <c r="AI3081" s="667"/>
    </row>
    <row r="3082" spans="12:35" ht="45" customHeight="1" thickBot="1" x14ac:dyDescent="0.25">
      <c r="L3082" s="645"/>
      <c r="M3082" s="616"/>
      <c r="N3082" s="616"/>
      <c r="O3082" s="616"/>
      <c r="P3082" s="615"/>
      <c r="Q3082" s="616"/>
      <c r="R3082" s="663"/>
      <c r="S3082" s="459"/>
      <c r="T3082" s="459"/>
      <c r="U3082" s="459"/>
      <c r="V3082" s="459"/>
      <c r="W3082" s="459"/>
      <c r="X3082" s="459"/>
      <c r="Y3082" s="666"/>
      <c r="Z3082" s="664"/>
      <c r="AA3082" s="665"/>
      <c r="AB3082" s="665"/>
      <c r="AC3082" s="665"/>
      <c r="AD3082" s="665"/>
      <c r="AE3082" s="665"/>
      <c r="AF3082" s="649"/>
      <c r="AG3082" s="650"/>
      <c r="AH3082" s="650"/>
      <c r="AI3082" s="667"/>
    </row>
    <row r="3083" spans="12:35" ht="45" customHeight="1" thickBot="1" x14ac:dyDescent="0.25">
      <c r="L3083" s="645"/>
      <c r="M3083" s="616"/>
      <c r="N3083" s="616"/>
      <c r="O3083" s="616"/>
      <c r="P3083" s="615"/>
      <c r="Q3083" s="616"/>
      <c r="R3083" s="663"/>
      <c r="S3083" s="459"/>
      <c r="T3083" s="459"/>
      <c r="U3083" s="459"/>
      <c r="V3083" s="459"/>
      <c r="W3083" s="459"/>
      <c r="X3083" s="459"/>
      <c r="Y3083" s="666"/>
      <c r="Z3083" s="664"/>
      <c r="AA3083" s="665"/>
      <c r="AB3083" s="665"/>
      <c r="AC3083" s="665"/>
      <c r="AD3083" s="665"/>
      <c r="AE3083" s="665"/>
      <c r="AF3083" s="649"/>
      <c r="AG3083" s="650"/>
      <c r="AH3083" s="650"/>
      <c r="AI3083" s="667"/>
    </row>
    <row r="3084" spans="12:35" ht="45" customHeight="1" thickBot="1" x14ac:dyDescent="0.25">
      <c r="L3084" s="645"/>
      <c r="M3084" s="616"/>
      <c r="N3084" s="616"/>
      <c r="O3084" s="616"/>
      <c r="P3084" s="615"/>
      <c r="Q3084" s="616"/>
      <c r="R3084" s="663"/>
      <c r="S3084" s="459"/>
      <c r="T3084" s="459"/>
      <c r="U3084" s="459"/>
      <c r="V3084" s="459"/>
      <c r="W3084" s="459"/>
      <c r="X3084" s="459"/>
      <c r="Y3084" s="666"/>
      <c r="Z3084" s="664"/>
      <c r="AA3084" s="665"/>
      <c r="AB3084" s="665"/>
      <c r="AC3084" s="665"/>
      <c r="AD3084" s="665"/>
      <c r="AE3084" s="665"/>
      <c r="AF3084" s="649"/>
      <c r="AG3084" s="650"/>
      <c r="AH3084" s="650"/>
      <c r="AI3084" s="667"/>
    </row>
    <row r="3085" spans="12:35" ht="45" customHeight="1" thickBot="1" x14ac:dyDescent="0.25">
      <c r="L3085" s="645"/>
      <c r="M3085" s="616"/>
      <c r="N3085" s="616"/>
      <c r="O3085" s="616"/>
      <c r="P3085" s="615"/>
      <c r="Q3085" s="616"/>
      <c r="R3085" s="663"/>
      <c r="S3085" s="459"/>
      <c r="T3085" s="459"/>
      <c r="U3085" s="459"/>
      <c r="V3085" s="459"/>
      <c r="W3085" s="459"/>
      <c r="X3085" s="459"/>
      <c r="Y3085" s="666"/>
      <c r="Z3085" s="664"/>
      <c r="AA3085" s="665"/>
      <c r="AB3085" s="665"/>
      <c r="AC3085" s="665"/>
      <c r="AD3085" s="665"/>
      <c r="AE3085" s="665"/>
      <c r="AF3085" s="649"/>
      <c r="AG3085" s="650"/>
      <c r="AH3085" s="650"/>
      <c r="AI3085" s="667"/>
    </row>
    <row r="3086" spans="12:35" ht="45" customHeight="1" thickBot="1" x14ac:dyDescent="0.25">
      <c r="L3086" s="645"/>
      <c r="M3086" s="616"/>
      <c r="N3086" s="616"/>
      <c r="O3086" s="616"/>
      <c r="P3086" s="615"/>
      <c r="Q3086" s="616"/>
      <c r="R3086" s="663"/>
      <c r="S3086" s="459"/>
      <c r="T3086" s="459"/>
      <c r="U3086" s="459"/>
      <c r="V3086" s="459"/>
      <c r="W3086" s="459"/>
      <c r="X3086" s="459"/>
      <c r="Y3086" s="666"/>
      <c r="Z3086" s="664"/>
      <c r="AA3086" s="665"/>
      <c r="AB3086" s="665"/>
      <c r="AC3086" s="665"/>
      <c r="AD3086" s="665"/>
      <c r="AE3086" s="665"/>
      <c r="AF3086" s="649"/>
      <c r="AG3086" s="650"/>
      <c r="AH3086" s="650"/>
      <c r="AI3086" s="667"/>
    </row>
    <row r="3087" spans="12:35" ht="45" customHeight="1" thickBot="1" x14ac:dyDescent="0.25">
      <c r="L3087" s="645"/>
      <c r="M3087" s="616"/>
      <c r="N3087" s="616"/>
      <c r="O3087" s="616"/>
      <c r="P3087" s="615"/>
      <c r="Q3087" s="616"/>
      <c r="R3087" s="663"/>
      <c r="S3087" s="459"/>
      <c r="T3087" s="459"/>
      <c r="U3087" s="459"/>
      <c r="V3087" s="459"/>
      <c r="W3087" s="459"/>
      <c r="X3087" s="459"/>
      <c r="Y3087" s="666"/>
      <c r="Z3087" s="664"/>
      <c r="AA3087" s="665"/>
      <c r="AB3087" s="665"/>
      <c r="AC3087" s="665"/>
      <c r="AD3087" s="665"/>
      <c r="AE3087" s="665"/>
      <c r="AF3087" s="649"/>
      <c r="AG3087" s="650"/>
      <c r="AH3087" s="650"/>
      <c r="AI3087" s="667"/>
    </row>
    <row r="3088" spans="12:35" ht="45" customHeight="1" thickBot="1" x14ac:dyDescent="0.25">
      <c r="L3088" s="645"/>
      <c r="M3088" s="616"/>
      <c r="N3088" s="616"/>
      <c r="O3088" s="616"/>
      <c r="P3088" s="615"/>
      <c r="Q3088" s="616"/>
      <c r="R3088" s="663"/>
      <c r="S3088" s="459"/>
      <c r="T3088" s="459"/>
      <c r="U3088" s="459"/>
      <c r="V3088" s="459"/>
      <c r="W3088" s="459"/>
      <c r="X3088" s="459"/>
      <c r="Y3088" s="666"/>
      <c r="Z3088" s="664"/>
      <c r="AA3088" s="665"/>
      <c r="AB3088" s="665"/>
      <c r="AC3088" s="665"/>
      <c r="AD3088" s="665"/>
      <c r="AE3088" s="665"/>
      <c r="AF3088" s="649"/>
      <c r="AG3088" s="650"/>
      <c r="AH3088" s="650"/>
      <c r="AI3088" s="667"/>
    </row>
    <row r="3089" spans="12:35" ht="45" customHeight="1" thickBot="1" x14ac:dyDescent="0.25">
      <c r="L3089" s="645"/>
      <c r="M3089" s="616"/>
      <c r="N3089" s="616"/>
      <c r="O3089" s="616"/>
      <c r="P3089" s="615"/>
      <c r="Q3089" s="616"/>
      <c r="R3089" s="663"/>
      <c r="S3089" s="459"/>
      <c r="T3089" s="459"/>
      <c r="U3089" s="459"/>
      <c r="V3089" s="459"/>
      <c r="W3089" s="459"/>
      <c r="X3089" s="459"/>
      <c r="Y3089" s="666"/>
      <c r="Z3089" s="664"/>
      <c r="AA3089" s="665"/>
      <c r="AB3089" s="665"/>
      <c r="AC3089" s="665"/>
      <c r="AD3089" s="665"/>
      <c r="AE3089" s="665"/>
      <c r="AF3089" s="649"/>
      <c r="AG3089" s="650"/>
      <c r="AH3089" s="650"/>
      <c r="AI3089" s="667"/>
    </row>
    <row r="3090" spans="12:35" ht="45" customHeight="1" thickBot="1" x14ac:dyDescent="0.25">
      <c r="L3090" s="645"/>
      <c r="M3090" s="616"/>
      <c r="N3090" s="616"/>
      <c r="O3090" s="616"/>
      <c r="P3090" s="615"/>
      <c r="Q3090" s="616"/>
      <c r="R3090" s="663"/>
      <c r="S3090" s="459"/>
      <c r="T3090" s="459"/>
      <c r="U3090" s="459"/>
      <c r="V3090" s="459"/>
      <c r="W3090" s="459"/>
      <c r="X3090" s="459"/>
      <c r="Y3090" s="666"/>
      <c r="Z3090" s="664"/>
      <c r="AA3090" s="665"/>
      <c r="AB3090" s="665"/>
      <c r="AC3090" s="665"/>
      <c r="AD3090" s="665"/>
      <c r="AE3090" s="665"/>
      <c r="AF3090" s="649"/>
      <c r="AG3090" s="650"/>
      <c r="AH3090" s="650"/>
      <c r="AI3090" s="667"/>
    </row>
    <row r="3091" spans="12:35" ht="45" customHeight="1" thickBot="1" x14ac:dyDescent="0.25">
      <c r="L3091" s="645"/>
      <c r="M3091" s="616"/>
      <c r="N3091" s="616"/>
      <c r="O3091" s="616"/>
      <c r="P3091" s="615"/>
      <c r="Q3091" s="616"/>
      <c r="R3091" s="663"/>
      <c r="S3091" s="459"/>
      <c r="T3091" s="459"/>
      <c r="U3091" s="459"/>
      <c r="V3091" s="459"/>
      <c r="W3091" s="459"/>
      <c r="X3091" s="459"/>
      <c r="Y3091" s="666"/>
      <c r="Z3091" s="664"/>
      <c r="AA3091" s="665"/>
      <c r="AB3091" s="665"/>
      <c r="AC3091" s="665"/>
      <c r="AD3091" s="665"/>
      <c r="AE3091" s="665"/>
      <c r="AF3091" s="649"/>
      <c r="AG3091" s="650"/>
      <c r="AH3091" s="650"/>
      <c r="AI3091" s="667"/>
    </row>
    <row r="3092" spans="12:35" ht="45" customHeight="1" thickBot="1" x14ac:dyDescent="0.25">
      <c r="L3092" s="645"/>
      <c r="M3092" s="616"/>
      <c r="N3092" s="616"/>
      <c r="O3092" s="616"/>
      <c r="P3092" s="615"/>
      <c r="Q3092" s="616"/>
      <c r="R3092" s="663"/>
      <c r="S3092" s="459"/>
      <c r="T3092" s="459"/>
      <c r="U3092" s="459"/>
      <c r="V3092" s="459"/>
      <c r="W3092" s="459"/>
      <c r="X3092" s="459"/>
      <c r="Y3092" s="666"/>
      <c r="Z3092" s="664"/>
      <c r="AA3092" s="665"/>
      <c r="AB3092" s="665"/>
      <c r="AC3092" s="665"/>
      <c r="AD3092" s="665"/>
      <c r="AE3092" s="665"/>
      <c r="AF3092" s="649"/>
      <c r="AG3092" s="650"/>
      <c r="AH3092" s="650"/>
      <c r="AI3092" s="667"/>
    </row>
    <row r="3093" spans="12:35" ht="45" customHeight="1" thickBot="1" x14ac:dyDescent="0.25">
      <c r="L3093" s="645"/>
      <c r="M3093" s="616"/>
      <c r="N3093" s="616"/>
      <c r="O3093" s="616"/>
      <c r="P3093" s="615"/>
      <c r="Q3093" s="616"/>
      <c r="R3093" s="663"/>
      <c r="S3093" s="459"/>
      <c r="T3093" s="459"/>
      <c r="U3093" s="459"/>
      <c r="V3093" s="459"/>
      <c r="W3093" s="459"/>
      <c r="X3093" s="459"/>
      <c r="Y3093" s="666"/>
      <c r="Z3093" s="664"/>
      <c r="AA3093" s="665"/>
      <c r="AB3093" s="665"/>
      <c r="AC3093" s="665"/>
      <c r="AD3093" s="665"/>
      <c r="AE3093" s="665"/>
      <c r="AF3093" s="649"/>
      <c r="AG3093" s="650"/>
      <c r="AH3093" s="650"/>
      <c r="AI3093" s="667"/>
    </row>
    <row r="3094" spans="12:35" ht="45" customHeight="1" thickBot="1" x14ac:dyDescent="0.25">
      <c r="L3094" s="645"/>
      <c r="M3094" s="616"/>
      <c r="N3094" s="616"/>
      <c r="O3094" s="616"/>
      <c r="P3094" s="615"/>
      <c r="Q3094" s="616"/>
      <c r="R3094" s="663"/>
      <c r="S3094" s="459"/>
      <c r="T3094" s="459"/>
      <c r="U3094" s="459"/>
      <c r="V3094" s="459"/>
      <c r="W3094" s="459"/>
      <c r="X3094" s="459"/>
      <c r="Y3094" s="666"/>
      <c r="Z3094" s="664"/>
      <c r="AA3094" s="665"/>
      <c r="AB3094" s="665"/>
      <c r="AC3094" s="665"/>
      <c r="AD3094" s="665"/>
      <c r="AE3094" s="665"/>
      <c r="AF3094" s="649"/>
      <c r="AG3094" s="650"/>
      <c r="AH3094" s="650"/>
      <c r="AI3094" s="667"/>
    </row>
    <row r="3095" spans="12:35" ht="45" customHeight="1" thickBot="1" x14ac:dyDescent="0.25">
      <c r="L3095" s="645"/>
      <c r="M3095" s="616"/>
      <c r="N3095" s="616"/>
      <c r="O3095" s="616"/>
      <c r="P3095" s="615"/>
      <c r="Q3095" s="616"/>
      <c r="R3095" s="663"/>
      <c r="S3095" s="459"/>
      <c r="T3095" s="459"/>
      <c r="U3095" s="459"/>
      <c r="V3095" s="459"/>
      <c r="W3095" s="459"/>
      <c r="X3095" s="459"/>
      <c r="Y3095" s="666"/>
      <c r="Z3095" s="664"/>
      <c r="AA3095" s="665"/>
      <c r="AB3095" s="665"/>
      <c r="AC3095" s="665"/>
      <c r="AD3095" s="665"/>
      <c r="AE3095" s="665"/>
      <c r="AF3095" s="649"/>
      <c r="AG3095" s="650"/>
      <c r="AH3095" s="650"/>
      <c r="AI3095" s="667"/>
    </row>
    <row r="3096" spans="12:35" ht="45" customHeight="1" thickBot="1" x14ac:dyDescent="0.25">
      <c r="L3096" s="645"/>
      <c r="M3096" s="616"/>
      <c r="N3096" s="616"/>
      <c r="O3096" s="616"/>
      <c r="P3096" s="615"/>
      <c r="Q3096" s="616"/>
      <c r="R3096" s="663"/>
      <c r="S3096" s="459"/>
      <c r="T3096" s="459"/>
      <c r="U3096" s="459"/>
      <c r="V3096" s="459"/>
      <c r="W3096" s="459"/>
      <c r="X3096" s="459"/>
      <c r="Y3096" s="666"/>
      <c r="Z3096" s="664"/>
      <c r="AA3096" s="665"/>
      <c r="AB3096" s="665"/>
      <c r="AC3096" s="665"/>
      <c r="AD3096" s="665"/>
      <c r="AE3096" s="665"/>
      <c r="AF3096" s="649"/>
      <c r="AG3096" s="650"/>
      <c r="AH3096" s="650"/>
      <c r="AI3096" s="667"/>
    </row>
    <row r="3097" spans="12:35" ht="45" customHeight="1" thickBot="1" x14ac:dyDescent="0.25">
      <c r="L3097" s="645"/>
      <c r="M3097" s="616"/>
      <c r="N3097" s="616"/>
      <c r="O3097" s="616"/>
      <c r="P3097" s="615"/>
      <c r="Q3097" s="616"/>
      <c r="R3097" s="663"/>
      <c r="S3097" s="459"/>
      <c r="T3097" s="459"/>
      <c r="U3097" s="459"/>
      <c r="V3097" s="459"/>
      <c r="W3097" s="459"/>
      <c r="X3097" s="459"/>
      <c r="Y3097" s="666"/>
      <c r="Z3097" s="664"/>
      <c r="AA3097" s="665"/>
      <c r="AB3097" s="665"/>
      <c r="AC3097" s="665"/>
      <c r="AD3097" s="665"/>
      <c r="AE3097" s="665"/>
      <c r="AF3097" s="649"/>
      <c r="AG3097" s="650"/>
      <c r="AH3097" s="650"/>
      <c r="AI3097" s="667"/>
    </row>
    <row r="3098" spans="12:35" ht="45" customHeight="1" thickBot="1" x14ac:dyDescent="0.25">
      <c r="L3098" s="645"/>
      <c r="M3098" s="616"/>
      <c r="N3098" s="616"/>
      <c r="O3098" s="616"/>
      <c r="P3098" s="615"/>
      <c r="Q3098" s="616"/>
      <c r="R3098" s="663"/>
      <c r="S3098" s="459"/>
      <c r="T3098" s="459"/>
      <c r="U3098" s="459"/>
      <c r="V3098" s="459"/>
      <c r="W3098" s="459"/>
      <c r="X3098" s="459"/>
      <c r="Y3098" s="666"/>
      <c r="Z3098" s="664"/>
      <c r="AA3098" s="665"/>
      <c r="AB3098" s="665"/>
      <c r="AC3098" s="665"/>
      <c r="AD3098" s="665"/>
      <c r="AE3098" s="665"/>
      <c r="AF3098" s="649"/>
      <c r="AG3098" s="650"/>
      <c r="AH3098" s="650"/>
      <c r="AI3098" s="667"/>
    </row>
    <row r="3099" spans="12:35" ht="45" customHeight="1" thickBot="1" x14ac:dyDescent="0.25">
      <c r="L3099" s="645"/>
      <c r="M3099" s="616"/>
      <c r="N3099" s="616"/>
      <c r="O3099" s="616"/>
      <c r="P3099" s="615"/>
      <c r="Q3099" s="616"/>
      <c r="R3099" s="663"/>
      <c r="S3099" s="459"/>
      <c r="T3099" s="459"/>
      <c r="U3099" s="459"/>
      <c r="V3099" s="459"/>
      <c r="W3099" s="459"/>
      <c r="X3099" s="459"/>
      <c r="Y3099" s="666"/>
      <c r="Z3099" s="664"/>
      <c r="AA3099" s="665"/>
      <c r="AB3099" s="665"/>
      <c r="AC3099" s="665"/>
      <c r="AD3099" s="665"/>
      <c r="AE3099" s="665"/>
      <c r="AF3099" s="649"/>
      <c r="AG3099" s="650"/>
      <c r="AH3099" s="650"/>
      <c r="AI3099" s="667"/>
    </row>
    <row r="3100" spans="12:35" ht="45" customHeight="1" thickBot="1" x14ac:dyDescent="0.25">
      <c r="L3100" s="645"/>
      <c r="M3100" s="616"/>
      <c r="N3100" s="616"/>
      <c r="O3100" s="616"/>
      <c r="P3100" s="615"/>
      <c r="Q3100" s="616"/>
      <c r="R3100" s="663"/>
      <c r="S3100" s="459"/>
      <c r="T3100" s="459"/>
      <c r="U3100" s="459"/>
      <c r="V3100" s="459"/>
      <c r="W3100" s="459"/>
      <c r="X3100" s="459"/>
      <c r="Y3100" s="666"/>
      <c r="Z3100" s="664"/>
      <c r="AA3100" s="665"/>
      <c r="AB3100" s="665"/>
      <c r="AC3100" s="665"/>
      <c r="AD3100" s="665"/>
      <c r="AE3100" s="665"/>
      <c r="AF3100" s="649"/>
      <c r="AG3100" s="650"/>
      <c r="AH3100" s="650"/>
      <c r="AI3100" s="667"/>
    </row>
    <row r="3101" spans="12:35" ht="45" customHeight="1" thickBot="1" x14ac:dyDescent="0.25">
      <c r="L3101" s="645"/>
      <c r="M3101" s="616"/>
      <c r="N3101" s="616"/>
      <c r="O3101" s="616"/>
      <c r="P3101" s="615"/>
      <c r="Q3101" s="616"/>
      <c r="R3101" s="663"/>
      <c r="S3101" s="459"/>
      <c r="T3101" s="459"/>
      <c r="U3101" s="459"/>
      <c r="V3101" s="459"/>
      <c r="W3101" s="459"/>
      <c r="X3101" s="459"/>
      <c r="Y3101" s="666"/>
      <c r="Z3101" s="664"/>
      <c r="AA3101" s="665"/>
      <c r="AB3101" s="665"/>
      <c r="AC3101" s="665"/>
      <c r="AD3101" s="665"/>
      <c r="AE3101" s="665"/>
      <c r="AF3101" s="649"/>
      <c r="AG3101" s="650"/>
      <c r="AH3101" s="650"/>
      <c r="AI3101" s="667"/>
    </row>
    <row r="3102" spans="12:35" ht="45" customHeight="1" thickBot="1" x14ac:dyDescent="0.25">
      <c r="L3102" s="645"/>
      <c r="M3102" s="616"/>
      <c r="N3102" s="616"/>
      <c r="O3102" s="616"/>
      <c r="P3102" s="615"/>
      <c r="Q3102" s="616"/>
      <c r="R3102" s="663"/>
      <c r="S3102" s="459"/>
      <c r="T3102" s="459"/>
      <c r="U3102" s="459"/>
      <c r="V3102" s="459"/>
      <c r="W3102" s="459"/>
      <c r="X3102" s="459"/>
      <c r="Y3102" s="666"/>
      <c r="Z3102" s="664"/>
      <c r="AA3102" s="665"/>
      <c r="AB3102" s="665"/>
      <c r="AC3102" s="665"/>
      <c r="AD3102" s="665"/>
      <c r="AE3102" s="665"/>
      <c r="AF3102" s="649"/>
      <c r="AG3102" s="650"/>
      <c r="AH3102" s="650"/>
      <c r="AI3102" s="667"/>
    </row>
    <row r="3103" spans="12:35" ht="45" customHeight="1" thickBot="1" x14ac:dyDescent="0.25">
      <c r="L3103" s="645"/>
      <c r="M3103" s="616"/>
      <c r="N3103" s="616"/>
      <c r="O3103" s="616"/>
      <c r="P3103" s="615"/>
      <c r="Q3103" s="616"/>
      <c r="R3103" s="663"/>
      <c r="S3103" s="459"/>
      <c r="T3103" s="459"/>
      <c r="U3103" s="459"/>
      <c r="V3103" s="459"/>
      <c r="W3103" s="459"/>
      <c r="X3103" s="459"/>
      <c r="Y3103" s="666"/>
      <c r="Z3103" s="664"/>
      <c r="AA3103" s="665"/>
      <c r="AB3103" s="665"/>
      <c r="AC3103" s="665"/>
      <c r="AD3103" s="665"/>
      <c r="AE3103" s="665"/>
      <c r="AF3103" s="649"/>
      <c r="AG3103" s="650"/>
      <c r="AH3103" s="650"/>
      <c r="AI3103" s="667"/>
    </row>
    <row r="3104" spans="12:35" ht="45" customHeight="1" thickBot="1" x14ac:dyDescent="0.25">
      <c r="L3104" s="645"/>
      <c r="M3104" s="616"/>
      <c r="N3104" s="616"/>
      <c r="O3104" s="616"/>
      <c r="P3104" s="615"/>
      <c r="Q3104" s="616"/>
      <c r="R3104" s="663"/>
      <c r="S3104" s="459"/>
      <c r="T3104" s="459"/>
      <c r="U3104" s="459"/>
      <c r="V3104" s="459"/>
      <c r="W3104" s="459"/>
      <c r="X3104" s="459"/>
      <c r="Y3104" s="666"/>
      <c r="Z3104" s="664"/>
      <c r="AA3104" s="665"/>
      <c r="AB3104" s="665"/>
      <c r="AC3104" s="665"/>
      <c r="AD3104" s="665"/>
      <c r="AE3104" s="665"/>
      <c r="AF3104" s="649"/>
      <c r="AG3104" s="650"/>
      <c r="AH3104" s="650"/>
      <c r="AI3104" s="667"/>
    </row>
    <row r="3105" spans="12:35" ht="45" customHeight="1" thickBot="1" x14ac:dyDescent="0.25">
      <c r="L3105" s="645"/>
      <c r="M3105" s="616"/>
      <c r="N3105" s="616"/>
      <c r="O3105" s="616"/>
      <c r="P3105" s="615"/>
      <c r="Q3105" s="616"/>
      <c r="R3105" s="663"/>
      <c r="S3105" s="459"/>
      <c r="T3105" s="459"/>
      <c r="U3105" s="459"/>
      <c r="V3105" s="459"/>
      <c r="W3105" s="459"/>
      <c r="X3105" s="459"/>
      <c r="Y3105" s="666"/>
      <c r="Z3105" s="664"/>
      <c r="AA3105" s="665"/>
      <c r="AB3105" s="665"/>
      <c r="AC3105" s="665"/>
      <c r="AD3105" s="665"/>
      <c r="AE3105" s="665"/>
      <c r="AF3105" s="649"/>
      <c r="AG3105" s="650"/>
      <c r="AH3105" s="650"/>
      <c r="AI3105" s="667"/>
    </row>
    <row r="3106" spans="12:35" ht="45" customHeight="1" thickBot="1" x14ac:dyDescent="0.25">
      <c r="L3106" s="645"/>
      <c r="M3106" s="616"/>
      <c r="N3106" s="616"/>
      <c r="O3106" s="616"/>
      <c r="P3106" s="615"/>
      <c r="Q3106" s="616"/>
      <c r="R3106" s="663"/>
      <c r="S3106" s="459"/>
      <c r="T3106" s="459"/>
      <c r="U3106" s="459"/>
      <c r="V3106" s="459"/>
      <c r="W3106" s="459"/>
      <c r="X3106" s="459"/>
      <c r="Y3106" s="666"/>
      <c r="Z3106" s="664"/>
      <c r="AA3106" s="665"/>
      <c r="AB3106" s="665"/>
      <c r="AC3106" s="665"/>
      <c r="AD3106" s="665"/>
      <c r="AE3106" s="665"/>
      <c r="AF3106" s="649"/>
      <c r="AG3106" s="650"/>
      <c r="AH3106" s="650"/>
      <c r="AI3106" s="667"/>
    </row>
    <row r="3107" spans="12:35" ht="45" customHeight="1" thickBot="1" x14ac:dyDescent="0.25">
      <c r="L3107" s="645"/>
      <c r="M3107" s="616"/>
      <c r="N3107" s="616"/>
      <c r="O3107" s="616"/>
      <c r="P3107" s="615"/>
      <c r="Q3107" s="616"/>
      <c r="R3107" s="663"/>
      <c r="S3107" s="459"/>
      <c r="T3107" s="459"/>
      <c r="U3107" s="459"/>
      <c r="V3107" s="459"/>
      <c r="W3107" s="459"/>
      <c r="X3107" s="459"/>
      <c r="Y3107" s="666"/>
      <c r="Z3107" s="664"/>
      <c r="AA3107" s="665"/>
      <c r="AB3107" s="665"/>
      <c r="AC3107" s="665"/>
      <c r="AD3107" s="665"/>
      <c r="AE3107" s="665"/>
      <c r="AF3107" s="649"/>
      <c r="AG3107" s="650"/>
      <c r="AH3107" s="650"/>
      <c r="AI3107" s="667"/>
    </row>
    <row r="3108" spans="12:35" ht="45" customHeight="1" thickBot="1" x14ac:dyDescent="0.25">
      <c r="L3108" s="645"/>
      <c r="M3108" s="616"/>
      <c r="N3108" s="616"/>
      <c r="O3108" s="616"/>
      <c r="P3108" s="615"/>
      <c r="Q3108" s="616"/>
      <c r="R3108" s="663"/>
      <c r="S3108" s="459"/>
      <c r="T3108" s="459"/>
      <c r="U3108" s="459"/>
      <c r="V3108" s="459"/>
      <c r="W3108" s="459"/>
      <c r="X3108" s="459"/>
      <c r="Y3108" s="666"/>
      <c r="Z3108" s="664"/>
      <c r="AA3108" s="665"/>
      <c r="AB3108" s="665"/>
      <c r="AC3108" s="665"/>
      <c r="AD3108" s="665"/>
      <c r="AE3108" s="665"/>
      <c r="AF3108" s="649"/>
      <c r="AG3108" s="650"/>
      <c r="AH3108" s="650"/>
      <c r="AI3108" s="667"/>
    </row>
    <row r="3109" spans="12:35" ht="45" customHeight="1" thickBot="1" x14ac:dyDescent="0.25">
      <c r="L3109" s="645"/>
      <c r="M3109" s="616"/>
      <c r="N3109" s="616"/>
      <c r="O3109" s="616"/>
      <c r="P3109" s="615"/>
      <c r="Q3109" s="616"/>
      <c r="R3109" s="663"/>
      <c r="S3109" s="459"/>
      <c r="T3109" s="459"/>
      <c r="U3109" s="459"/>
      <c r="V3109" s="459"/>
      <c r="W3109" s="459"/>
      <c r="X3109" s="459"/>
      <c r="Y3109" s="666"/>
      <c r="Z3109" s="664"/>
      <c r="AA3109" s="665"/>
      <c r="AB3109" s="665"/>
      <c r="AC3109" s="665"/>
      <c r="AD3109" s="665"/>
      <c r="AE3109" s="665"/>
      <c r="AF3109" s="649"/>
      <c r="AG3109" s="650"/>
      <c r="AH3109" s="650"/>
      <c r="AI3109" s="667"/>
    </row>
    <row r="3110" spans="12:35" ht="45" customHeight="1" thickBot="1" x14ac:dyDescent="0.25">
      <c r="L3110" s="645"/>
      <c r="M3110" s="616"/>
      <c r="N3110" s="616"/>
      <c r="O3110" s="616"/>
      <c r="P3110" s="615"/>
      <c r="Q3110" s="616"/>
      <c r="R3110" s="663"/>
      <c r="S3110" s="459"/>
      <c r="T3110" s="459"/>
      <c r="U3110" s="459"/>
      <c r="V3110" s="459"/>
      <c r="W3110" s="459"/>
      <c r="X3110" s="459"/>
      <c r="Y3110" s="666"/>
      <c r="Z3110" s="664"/>
      <c r="AA3110" s="665"/>
      <c r="AB3110" s="665"/>
      <c r="AC3110" s="665"/>
      <c r="AD3110" s="665"/>
      <c r="AE3110" s="665"/>
      <c r="AF3110" s="649"/>
      <c r="AG3110" s="650"/>
      <c r="AH3110" s="650"/>
      <c r="AI3110" s="667"/>
    </row>
    <row r="3111" spans="12:35" ht="45" customHeight="1" thickBot="1" x14ac:dyDescent="0.25">
      <c r="L3111" s="645"/>
      <c r="M3111" s="616"/>
      <c r="N3111" s="616"/>
      <c r="O3111" s="616"/>
      <c r="P3111" s="615"/>
      <c r="Q3111" s="616"/>
      <c r="R3111" s="663"/>
      <c r="S3111" s="459"/>
      <c r="T3111" s="459"/>
      <c r="U3111" s="459"/>
      <c r="V3111" s="459"/>
      <c r="W3111" s="459"/>
      <c r="X3111" s="459"/>
      <c r="Y3111" s="666"/>
      <c r="Z3111" s="664"/>
      <c r="AA3111" s="665"/>
      <c r="AB3111" s="665"/>
      <c r="AC3111" s="665"/>
      <c r="AD3111" s="665"/>
      <c r="AE3111" s="665"/>
      <c r="AF3111" s="649"/>
      <c r="AG3111" s="650"/>
      <c r="AH3111" s="650"/>
      <c r="AI3111" s="667"/>
    </row>
    <row r="3112" spans="12:35" ht="45" customHeight="1" thickBot="1" x14ac:dyDescent="0.25">
      <c r="L3112" s="645"/>
      <c r="M3112" s="616"/>
      <c r="N3112" s="616"/>
      <c r="O3112" s="616"/>
      <c r="P3112" s="615"/>
      <c r="Q3112" s="616"/>
      <c r="R3112" s="663"/>
      <c r="S3112" s="459"/>
      <c r="T3112" s="459"/>
      <c r="U3112" s="459"/>
      <c r="V3112" s="459"/>
      <c r="W3112" s="459"/>
      <c r="X3112" s="459"/>
      <c r="Y3112" s="666"/>
      <c r="Z3112" s="664"/>
      <c r="AA3112" s="665"/>
      <c r="AB3112" s="665"/>
      <c r="AC3112" s="665"/>
      <c r="AD3112" s="665"/>
      <c r="AE3112" s="665"/>
      <c r="AF3112" s="649"/>
      <c r="AG3112" s="650"/>
      <c r="AH3112" s="650"/>
      <c r="AI3112" s="667"/>
    </row>
    <row r="3113" spans="12:35" ht="45" customHeight="1" thickBot="1" x14ac:dyDescent="0.25">
      <c r="L3113" s="645"/>
      <c r="M3113" s="616"/>
      <c r="N3113" s="616"/>
      <c r="O3113" s="616"/>
      <c r="P3113" s="615"/>
      <c r="Q3113" s="616"/>
      <c r="R3113" s="663"/>
      <c r="S3113" s="459"/>
      <c r="T3113" s="459"/>
      <c r="U3113" s="459"/>
      <c r="V3113" s="459"/>
      <c r="W3113" s="459"/>
      <c r="X3113" s="459"/>
      <c r="Y3113" s="666"/>
      <c r="Z3113" s="664"/>
      <c r="AA3113" s="665"/>
      <c r="AB3113" s="665"/>
      <c r="AC3113" s="665"/>
      <c r="AD3113" s="665"/>
      <c r="AE3113" s="665"/>
      <c r="AF3113" s="649"/>
      <c r="AG3113" s="650"/>
      <c r="AH3113" s="650"/>
      <c r="AI3113" s="667"/>
    </row>
    <row r="3114" spans="12:35" ht="45" customHeight="1" thickBot="1" x14ac:dyDescent="0.25">
      <c r="L3114" s="645"/>
      <c r="M3114" s="616"/>
      <c r="N3114" s="616"/>
      <c r="O3114" s="616"/>
      <c r="P3114" s="615"/>
      <c r="Q3114" s="616"/>
      <c r="R3114" s="663"/>
      <c r="S3114" s="459"/>
      <c r="T3114" s="459"/>
      <c r="U3114" s="459"/>
      <c r="V3114" s="459"/>
      <c r="W3114" s="459"/>
      <c r="X3114" s="459"/>
      <c r="Y3114" s="666"/>
      <c r="Z3114" s="664"/>
      <c r="AA3114" s="665"/>
      <c r="AB3114" s="665"/>
      <c r="AC3114" s="665"/>
      <c r="AD3114" s="665"/>
      <c r="AE3114" s="665"/>
      <c r="AF3114" s="649"/>
      <c r="AG3114" s="650"/>
      <c r="AH3114" s="650"/>
      <c r="AI3114" s="667"/>
    </row>
    <row r="3115" spans="12:35" ht="45" customHeight="1" thickBot="1" x14ac:dyDescent="0.25">
      <c r="L3115" s="645"/>
      <c r="M3115" s="616"/>
      <c r="N3115" s="616"/>
      <c r="O3115" s="616"/>
      <c r="P3115" s="615"/>
      <c r="Q3115" s="616"/>
      <c r="R3115" s="663"/>
      <c r="S3115" s="459"/>
      <c r="T3115" s="459"/>
      <c r="U3115" s="459"/>
      <c r="V3115" s="459"/>
      <c r="W3115" s="459"/>
      <c r="X3115" s="459"/>
      <c r="Y3115" s="666"/>
      <c r="Z3115" s="664"/>
      <c r="AA3115" s="665"/>
      <c r="AB3115" s="665"/>
      <c r="AC3115" s="665"/>
      <c r="AD3115" s="665"/>
      <c r="AE3115" s="665"/>
      <c r="AF3115" s="649"/>
      <c r="AG3115" s="650"/>
      <c r="AH3115" s="650"/>
      <c r="AI3115" s="667"/>
    </row>
    <row r="3116" spans="12:35" ht="45" customHeight="1" thickBot="1" x14ac:dyDescent="0.25">
      <c r="L3116" s="645"/>
      <c r="M3116" s="616"/>
      <c r="N3116" s="616"/>
      <c r="O3116" s="616"/>
      <c r="P3116" s="615"/>
      <c r="Q3116" s="616"/>
      <c r="R3116" s="663"/>
      <c r="S3116" s="459"/>
      <c r="T3116" s="459"/>
      <c r="U3116" s="459"/>
      <c r="V3116" s="459"/>
      <c r="W3116" s="459"/>
      <c r="X3116" s="459"/>
      <c r="Y3116" s="666"/>
      <c r="Z3116" s="664"/>
      <c r="AA3116" s="665"/>
      <c r="AB3116" s="665"/>
      <c r="AC3116" s="665"/>
      <c r="AD3116" s="665"/>
      <c r="AE3116" s="665"/>
      <c r="AF3116" s="649"/>
      <c r="AG3116" s="650"/>
      <c r="AH3116" s="650"/>
      <c r="AI3116" s="667"/>
    </row>
    <row r="3117" spans="12:35" ht="45" customHeight="1" thickBot="1" x14ac:dyDescent="0.25">
      <c r="L3117" s="645"/>
      <c r="M3117" s="616"/>
      <c r="N3117" s="616"/>
      <c r="O3117" s="616"/>
      <c r="P3117" s="615"/>
      <c r="Q3117" s="616"/>
      <c r="R3117" s="663"/>
      <c r="S3117" s="459"/>
      <c r="T3117" s="459"/>
      <c r="U3117" s="459"/>
      <c r="V3117" s="459"/>
      <c r="W3117" s="459"/>
      <c r="X3117" s="459"/>
      <c r="Y3117" s="666"/>
      <c r="Z3117" s="664"/>
      <c r="AA3117" s="665"/>
      <c r="AB3117" s="665"/>
      <c r="AC3117" s="665"/>
      <c r="AD3117" s="665"/>
      <c r="AE3117" s="665"/>
      <c r="AF3117" s="649"/>
      <c r="AG3117" s="650"/>
      <c r="AH3117" s="650"/>
      <c r="AI3117" s="667"/>
    </row>
    <row r="3118" spans="12:35" ht="45" customHeight="1" thickBot="1" x14ac:dyDescent="0.25">
      <c r="L3118" s="645"/>
      <c r="M3118" s="616"/>
      <c r="N3118" s="616"/>
      <c r="O3118" s="616"/>
      <c r="P3118" s="615"/>
      <c r="Q3118" s="616"/>
      <c r="R3118" s="663"/>
      <c r="S3118" s="459"/>
      <c r="T3118" s="459"/>
      <c r="U3118" s="459"/>
      <c r="V3118" s="459"/>
      <c r="W3118" s="459"/>
      <c r="X3118" s="459"/>
      <c r="Y3118" s="666"/>
      <c r="Z3118" s="664"/>
      <c r="AA3118" s="665"/>
      <c r="AB3118" s="665"/>
      <c r="AC3118" s="665"/>
      <c r="AD3118" s="665"/>
      <c r="AE3118" s="665"/>
      <c r="AF3118" s="649"/>
      <c r="AG3118" s="650"/>
      <c r="AH3118" s="650"/>
      <c r="AI3118" s="667"/>
    </row>
    <row r="3119" spans="12:35" ht="45" customHeight="1" thickBot="1" x14ac:dyDescent="0.25">
      <c r="L3119" s="645"/>
      <c r="M3119" s="616"/>
      <c r="N3119" s="616"/>
      <c r="O3119" s="616"/>
      <c r="P3119" s="615"/>
      <c r="Q3119" s="616"/>
      <c r="R3119" s="663"/>
      <c r="S3119" s="459"/>
      <c r="T3119" s="459"/>
      <c r="U3119" s="459"/>
      <c r="V3119" s="459"/>
      <c r="W3119" s="459"/>
      <c r="X3119" s="459"/>
      <c r="Y3119" s="666"/>
      <c r="Z3119" s="664"/>
      <c r="AA3119" s="665"/>
      <c r="AB3119" s="665"/>
      <c r="AC3119" s="665"/>
      <c r="AD3119" s="665"/>
      <c r="AE3119" s="665"/>
      <c r="AF3119" s="649"/>
      <c r="AG3119" s="650"/>
      <c r="AH3119" s="650"/>
      <c r="AI3119" s="667"/>
    </row>
    <row r="3120" spans="12:35" ht="45" customHeight="1" thickBot="1" x14ac:dyDescent="0.25">
      <c r="L3120" s="645"/>
      <c r="M3120" s="616"/>
      <c r="N3120" s="616"/>
      <c r="O3120" s="616"/>
      <c r="P3120" s="615"/>
      <c r="Q3120" s="616"/>
      <c r="R3120" s="663"/>
      <c r="S3120" s="459"/>
      <c r="T3120" s="459"/>
      <c r="U3120" s="459"/>
      <c r="V3120" s="459"/>
      <c r="W3120" s="459"/>
      <c r="X3120" s="459"/>
      <c r="Y3120" s="666"/>
      <c r="Z3120" s="664"/>
      <c r="AA3120" s="665"/>
      <c r="AB3120" s="665"/>
      <c r="AC3120" s="665"/>
      <c r="AD3120" s="665"/>
      <c r="AE3120" s="665"/>
      <c r="AF3120" s="649"/>
      <c r="AG3120" s="650"/>
      <c r="AH3120" s="650"/>
      <c r="AI3120" s="667"/>
    </row>
    <row r="3121" spans="12:35" ht="45" customHeight="1" thickBot="1" x14ac:dyDescent="0.25">
      <c r="L3121" s="645"/>
      <c r="M3121" s="616"/>
      <c r="N3121" s="616"/>
      <c r="O3121" s="616"/>
      <c r="P3121" s="615"/>
      <c r="Q3121" s="616"/>
      <c r="R3121" s="663"/>
      <c r="S3121" s="459"/>
      <c r="T3121" s="459"/>
      <c r="U3121" s="459"/>
      <c r="V3121" s="459"/>
      <c r="W3121" s="459"/>
      <c r="X3121" s="459"/>
      <c r="Y3121" s="666"/>
      <c r="Z3121" s="664"/>
      <c r="AA3121" s="665"/>
      <c r="AB3121" s="665"/>
      <c r="AC3121" s="665"/>
      <c r="AD3121" s="665"/>
      <c r="AE3121" s="665"/>
      <c r="AF3121" s="649"/>
      <c r="AG3121" s="650"/>
      <c r="AH3121" s="650"/>
      <c r="AI3121" s="667"/>
    </row>
    <row r="3122" spans="12:35" ht="45" customHeight="1" thickBot="1" x14ac:dyDescent="0.25">
      <c r="L3122" s="645"/>
      <c r="M3122" s="616"/>
      <c r="N3122" s="616"/>
      <c r="O3122" s="616"/>
      <c r="P3122" s="615"/>
      <c r="Q3122" s="616"/>
      <c r="R3122" s="663"/>
      <c r="S3122" s="459"/>
      <c r="T3122" s="459"/>
      <c r="U3122" s="459"/>
      <c r="V3122" s="459"/>
      <c r="W3122" s="459"/>
      <c r="X3122" s="459"/>
      <c r="Y3122" s="666"/>
      <c r="Z3122" s="664"/>
      <c r="AA3122" s="665"/>
      <c r="AB3122" s="665"/>
      <c r="AC3122" s="665"/>
      <c r="AD3122" s="665"/>
      <c r="AE3122" s="665"/>
      <c r="AF3122" s="649"/>
      <c r="AG3122" s="650"/>
      <c r="AH3122" s="650"/>
      <c r="AI3122" s="667"/>
    </row>
    <row r="3123" spans="12:35" ht="45" customHeight="1" thickBot="1" x14ac:dyDescent="0.25">
      <c r="L3123" s="645"/>
      <c r="M3123" s="616"/>
      <c r="N3123" s="616"/>
      <c r="O3123" s="616"/>
      <c r="P3123" s="615"/>
      <c r="Q3123" s="616"/>
      <c r="R3123" s="663"/>
      <c r="S3123" s="459"/>
      <c r="T3123" s="459"/>
      <c r="U3123" s="459"/>
      <c r="V3123" s="459"/>
      <c r="W3123" s="459"/>
      <c r="X3123" s="459"/>
      <c r="Y3123" s="666"/>
      <c r="Z3123" s="664"/>
      <c r="AA3123" s="665"/>
      <c r="AB3123" s="665"/>
      <c r="AC3123" s="665"/>
      <c r="AD3123" s="665"/>
      <c r="AE3123" s="665"/>
      <c r="AF3123" s="649"/>
      <c r="AG3123" s="650"/>
      <c r="AH3123" s="650"/>
      <c r="AI3123" s="667"/>
    </row>
    <row r="3124" spans="12:35" ht="45" customHeight="1" thickBot="1" x14ac:dyDescent="0.25">
      <c r="L3124" s="645"/>
      <c r="M3124" s="616"/>
      <c r="N3124" s="616"/>
      <c r="O3124" s="616"/>
      <c r="P3124" s="615"/>
      <c r="Q3124" s="616"/>
      <c r="R3124" s="663"/>
      <c r="S3124" s="459"/>
      <c r="T3124" s="459"/>
      <c r="U3124" s="459"/>
      <c r="V3124" s="459"/>
      <c r="W3124" s="459"/>
      <c r="X3124" s="459"/>
      <c r="Y3124" s="666"/>
      <c r="Z3124" s="664"/>
      <c r="AA3124" s="665"/>
      <c r="AB3124" s="665"/>
      <c r="AC3124" s="665"/>
      <c r="AD3124" s="665"/>
      <c r="AE3124" s="665"/>
      <c r="AF3124" s="649"/>
      <c r="AG3124" s="650"/>
      <c r="AH3124" s="650"/>
      <c r="AI3124" s="667"/>
    </row>
    <row r="3125" spans="12:35" ht="45" customHeight="1" thickBot="1" x14ac:dyDescent="0.25">
      <c r="L3125" s="645"/>
      <c r="M3125" s="616"/>
      <c r="N3125" s="616"/>
      <c r="O3125" s="616"/>
      <c r="P3125" s="615"/>
      <c r="Q3125" s="616"/>
      <c r="R3125" s="663"/>
      <c r="S3125" s="459"/>
      <c r="T3125" s="459"/>
      <c r="U3125" s="459"/>
      <c r="V3125" s="459"/>
      <c r="W3125" s="459"/>
      <c r="X3125" s="459"/>
      <c r="Y3125" s="666"/>
      <c r="Z3125" s="664"/>
      <c r="AA3125" s="665"/>
      <c r="AB3125" s="665"/>
      <c r="AC3125" s="665"/>
      <c r="AD3125" s="665"/>
      <c r="AE3125" s="665"/>
      <c r="AF3125" s="649"/>
      <c r="AG3125" s="650"/>
      <c r="AH3125" s="650"/>
      <c r="AI3125" s="667"/>
    </row>
    <row r="3126" spans="12:35" ht="45" customHeight="1" thickBot="1" x14ac:dyDescent="0.25">
      <c r="L3126" s="645"/>
      <c r="M3126" s="616"/>
      <c r="N3126" s="616"/>
      <c r="O3126" s="616"/>
      <c r="P3126" s="615"/>
      <c r="Q3126" s="616"/>
      <c r="R3126" s="663"/>
      <c r="S3126" s="459"/>
      <c r="T3126" s="459"/>
      <c r="U3126" s="459"/>
      <c r="V3126" s="459"/>
      <c r="W3126" s="459"/>
      <c r="X3126" s="459"/>
      <c r="Y3126" s="666"/>
      <c r="Z3126" s="664"/>
      <c r="AA3126" s="665"/>
      <c r="AB3126" s="665"/>
      <c r="AC3126" s="665"/>
      <c r="AD3126" s="665"/>
      <c r="AE3126" s="665"/>
      <c r="AF3126" s="649"/>
      <c r="AG3126" s="650"/>
      <c r="AH3126" s="650"/>
      <c r="AI3126" s="667"/>
    </row>
    <row r="3127" spans="12:35" ht="45" customHeight="1" thickBot="1" x14ac:dyDescent="0.25">
      <c r="L3127" s="645"/>
      <c r="M3127" s="616"/>
      <c r="N3127" s="616"/>
      <c r="O3127" s="616"/>
      <c r="P3127" s="615"/>
      <c r="Q3127" s="616"/>
      <c r="R3127" s="663"/>
      <c r="S3127" s="459"/>
      <c r="T3127" s="459"/>
      <c r="U3127" s="459"/>
      <c r="V3127" s="459"/>
      <c r="W3127" s="459"/>
      <c r="X3127" s="459"/>
      <c r="Y3127" s="666"/>
      <c r="Z3127" s="664"/>
      <c r="AA3127" s="665"/>
      <c r="AB3127" s="665"/>
      <c r="AC3127" s="665"/>
      <c r="AD3127" s="665"/>
      <c r="AE3127" s="665"/>
      <c r="AF3127" s="649"/>
      <c r="AG3127" s="650"/>
      <c r="AH3127" s="650"/>
      <c r="AI3127" s="667"/>
    </row>
    <row r="3128" spans="12:35" ht="45" customHeight="1" thickBot="1" x14ac:dyDescent="0.25">
      <c r="L3128" s="645"/>
      <c r="M3128" s="616"/>
      <c r="N3128" s="616"/>
      <c r="O3128" s="616"/>
      <c r="P3128" s="615"/>
      <c r="Q3128" s="616"/>
      <c r="R3128" s="663"/>
      <c r="S3128" s="459"/>
      <c r="T3128" s="459"/>
      <c r="U3128" s="459"/>
      <c r="V3128" s="459"/>
      <c r="W3128" s="459"/>
      <c r="X3128" s="459"/>
      <c r="Y3128" s="666"/>
      <c r="Z3128" s="664"/>
      <c r="AA3128" s="665"/>
      <c r="AB3128" s="665"/>
      <c r="AC3128" s="665"/>
      <c r="AD3128" s="665"/>
      <c r="AE3128" s="665"/>
      <c r="AF3128" s="649"/>
      <c r="AG3128" s="650"/>
      <c r="AH3128" s="650"/>
      <c r="AI3128" s="667"/>
    </row>
    <row r="3129" spans="12:35" ht="45" customHeight="1" thickBot="1" x14ac:dyDescent="0.25">
      <c r="L3129" s="645"/>
      <c r="M3129" s="616"/>
      <c r="N3129" s="616"/>
      <c r="O3129" s="616"/>
      <c r="P3129" s="615"/>
      <c r="Q3129" s="616"/>
      <c r="R3129" s="663"/>
      <c r="S3129" s="459"/>
      <c r="T3129" s="459"/>
      <c r="U3129" s="459"/>
      <c r="V3129" s="459"/>
      <c r="W3129" s="459"/>
      <c r="X3129" s="459"/>
      <c r="Y3129" s="666"/>
      <c r="Z3129" s="664"/>
      <c r="AA3129" s="665"/>
      <c r="AB3129" s="665"/>
      <c r="AC3129" s="665"/>
      <c r="AD3129" s="665"/>
      <c r="AE3129" s="665"/>
      <c r="AF3129" s="649"/>
      <c r="AG3129" s="650"/>
      <c r="AH3129" s="650"/>
      <c r="AI3129" s="667"/>
    </row>
    <row r="3130" spans="12:35" ht="45" customHeight="1" thickBot="1" x14ac:dyDescent="0.25">
      <c r="L3130" s="645"/>
      <c r="M3130" s="616"/>
      <c r="N3130" s="616"/>
      <c r="O3130" s="616"/>
      <c r="P3130" s="615"/>
      <c r="Q3130" s="616"/>
      <c r="R3130" s="663"/>
      <c r="S3130" s="459"/>
      <c r="T3130" s="459"/>
      <c r="U3130" s="459"/>
      <c r="V3130" s="459"/>
      <c r="W3130" s="459"/>
      <c r="X3130" s="459"/>
      <c r="Y3130" s="666"/>
      <c r="Z3130" s="664"/>
      <c r="AA3130" s="665"/>
      <c r="AB3130" s="665"/>
      <c r="AC3130" s="665"/>
      <c r="AD3130" s="665"/>
      <c r="AE3130" s="665"/>
      <c r="AF3130" s="649"/>
      <c r="AG3130" s="650"/>
      <c r="AH3130" s="650"/>
      <c r="AI3130" s="667"/>
    </row>
    <row r="3131" spans="12:35" ht="45" customHeight="1" thickBot="1" x14ac:dyDescent="0.25">
      <c r="L3131" s="645"/>
      <c r="M3131" s="616"/>
      <c r="N3131" s="616"/>
      <c r="O3131" s="616"/>
      <c r="P3131" s="615"/>
      <c r="Q3131" s="616"/>
      <c r="R3131" s="663"/>
      <c r="S3131" s="459"/>
      <c r="T3131" s="459"/>
      <c r="U3131" s="459"/>
      <c r="V3131" s="459"/>
      <c r="W3131" s="459"/>
      <c r="X3131" s="459"/>
      <c r="Y3131" s="666"/>
      <c r="Z3131" s="664"/>
      <c r="AA3131" s="665"/>
      <c r="AB3131" s="665"/>
      <c r="AC3131" s="665"/>
      <c r="AD3131" s="665"/>
      <c r="AE3131" s="665"/>
      <c r="AF3131" s="649"/>
      <c r="AG3131" s="650"/>
      <c r="AH3131" s="650"/>
      <c r="AI3131" s="667"/>
    </row>
    <row r="3132" spans="12:35" ht="45" customHeight="1" thickBot="1" x14ac:dyDescent="0.25">
      <c r="L3132" s="645"/>
      <c r="M3132" s="616"/>
      <c r="N3132" s="616"/>
      <c r="O3132" s="616"/>
      <c r="P3132" s="615"/>
      <c r="Q3132" s="616"/>
      <c r="R3132" s="663"/>
      <c r="S3132" s="459"/>
      <c r="T3132" s="459"/>
      <c r="U3132" s="459"/>
      <c r="V3132" s="459"/>
      <c r="W3132" s="459"/>
      <c r="X3132" s="459"/>
      <c r="Y3132" s="666"/>
      <c r="Z3132" s="664"/>
      <c r="AA3132" s="665"/>
      <c r="AB3132" s="665"/>
      <c r="AC3132" s="665"/>
      <c r="AD3132" s="665"/>
      <c r="AE3132" s="665"/>
      <c r="AF3132" s="649"/>
      <c r="AG3132" s="650"/>
      <c r="AH3132" s="650"/>
      <c r="AI3132" s="667"/>
    </row>
    <row r="3133" spans="12:35" ht="45" customHeight="1" thickBot="1" x14ac:dyDescent="0.25">
      <c r="L3133" s="645"/>
      <c r="M3133" s="616"/>
      <c r="N3133" s="616"/>
      <c r="O3133" s="616"/>
      <c r="P3133" s="615"/>
      <c r="Q3133" s="616"/>
      <c r="R3133" s="663"/>
      <c r="S3133" s="459"/>
      <c r="T3133" s="459"/>
      <c r="U3133" s="459"/>
      <c r="V3133" s="459"/>
      <c r="W3133" s="459"/>
      <c r="X3133" s="459"/>
      <c r="Y3133" s="666"/>
      <c r="Z3133" s="664"/>
      <c r="AA3133" s="665"/>
      <c r="AB3133" s="665"/>
      <c r="AC3133" s="665"/>
      <c r="AD3133" s="665"/>
      <c r="AE3133" s="665"/>
      <c r="AF3133" s="649"/>
      <c r="AG3133" s="650"/>
      <c r="AH3133" s="650"/>
      <c r="AI3133" s="667"/>
    </row>
    <row r="3134" spans="12:35" ht="45" customHeight="1" thickBot="1" x14ac:dyDescent="0.25">
      <c r="L3134" s="645"/>
      <c r="M3134" s="616"/>
      <c r="N3134" s="616"/>
      <c r="O3134" s="616"/>
      <c r="P3134" s="615"/>
      <c r="Q3134" s="616"/>
      <c r="R3134" s="663"/>
      <c r="S3134" s="459"/>
      <c r="T3134" s="459"/>
      <c r="U3134" s="459"/>
      <c r="V3134" s="459"/>
      <c r="W3134" s="459"/>
      <c r="X3134" s="459"/>
      <c r="Y3134" s="666"/>
      <c r="Z3134" s="664"/>
      <c r="AA3134" s="665"/>
      <c r="AB3134" s="665"/>
      <c r="AC3134" s="665"/>
      <c r="AD3134" s="665"/>
      <c r="AE3134" s="665"/>
      <c r="AF3134" s="649"/>
      <c r="AG3134" s="650"/>
      <c r="AH3134" s="650"/>
      <c r="AI3134" s="667"/>
    </row>
    <row r="3135" spans="12:35" ht="45" customHeight="1" thickBot="1" x14ac:dyDescent="0.25">
      <c r="L3135" s="645"/>
      <c r="M3135" s="616"/>
      <c r="N3135" s="616"/>
      <c r="O3135" s="616"/>
      <c r="P3135" s="615"/>
      <c r="Q3135" s="616"/>
      <c r="R3135" s="663"/>
      <c r="S3135" s="459"/>
      <c r="T3135" s="459"/>
      <c r="U3135" s="459"/>
      <c r="V3135" s="459"/>
      <c r="W3135" s="459"/>
      <c r="X3135" s="459"/>
      <c r="Y3135" s="666"/>
      <c r="Z3135" s="664"/>
      <c r="AA3135" s="665"/>
      <c r="AB3135" s="665"/>
      <c r="AC3135" s="665"/>
      <c r="AD3135" s="665"/>
      <c r="AE3135" s="665"/>
      <c r="AF3135" s="649"/>
      <c r="AG3135" s="650"/>
      <c r="AH3135" s="650"/>
      <c r="AI3135" s="667"/>
    </row>
    <row r="3136" spans="12:35" ht="45" customHeight="1" thickBot="1" x14ac:dyDescent="0.25">
      <c r="L3136" s="645"/>
      <c r="M3136" s="616"/>
      <c r="N3136" s="616"/>
      <c r="O3136" s="616"/>
      <c r="P3136" s="615"/>
      <c r="Q3136" s="616"/>
      <c r="R3136" s="663"/>
      <c r="S3136" s="459"/>
      <c r="T3136" s="459"/>
      <c r="U3136" s="459"/>
      <c r="V3136" s="459"/>
      <c r="W3136" s="459"/>
      <c r="X3136" s="459"/>
      <c r="Y3136" s="666"/>
      <c r="Z3136" s="664"/>
      <c r="AA3136" s="665"/>
      <c r="AB3136" s="665"/>
      <c r="AC3136" s="665"/>
      <c r="AD3136" s="665"/>
      <c r="AE3136" s="665"/>
      <c r="AF3136" s="649"/>
      <c r="AG3136" s="650"/>
      <c r="AH3136" s="650"/>
      <c r="AI3136" s="667"/>
    </row>
    <row r="3137" spans="12:35" ht="45" customHeight="1" thickBot="1" x14ac:dyDescent="0.25">
      <c r="L3137" s="645"/>
      <c r="M3137" s="616"/>
      <c r="N3137" s="616"/>
      <c r="O3137" s="616"/>
      <c r="P3137" s="615"/>
      <c r="Q3137" s="616"/>
      <c r="R3137" s="663"/>
      <c r="S3137" s="459"/>
      <c r="T3137" s="459"/>
      <c r="U3137" s="459"/>
      <c r="V3137" s="459"/>
      <c r="W3137" s="459"/>
      <c r="X3137" s="459"/>
      <c r="Y3137" s="666"/>
      <c r="Z3137" s="664"/>
      <c r="AA3137" s="665"/>
      <c r="AB3137" s="665"/>
      <c r="AC3137" s="665"/>
      <c r="AD3137" s="665"/>
      <c r="AE3137" s="665"/>
      <c r="AF3137" s="649"/>
      <c r="AG3137" s="650"/>
      <c r="AH3137" s="650"/>
      <c r="AI3137" s="667"/>
    </row>
    <row r="3138" spans="12:35" ht="45" customHeight="1" thickBot="1" x14ac:dyDescent="0.25">
      <c r="L3138" s="645"/>
      <c r="M3138" s="616"/>
      <c r="N3138" s="616"/>
      <c r="O3138" s="616"/>
      <c r="P3138" s="615"/>
      <c r="Q3138" s="616"/>
      <c r="R3138" s="663"/>
      <c r="S3138" s="459"/>
      <c r="T3138" s="459"/>
      <c r="U3138" s="459"/>
      <c r="V3138" s="459"/>
      <c r="W3138" s="459"/>
      <c r="X3138" s="459"/>
      <c r="Y3138" s="666"/>
      <c r="Z3138" s="664"/>
      <c r="AA3138" s="665"/>
      <c r="AB3138" s="665"/>
      <c r="AC3138" s="665"/>
      <c r="AD3138" s="665"/>
      <c r="AE3138" s="665"/>
      <c r="AF3138" s="649"/>
      <c r="AG3138" s="650"/>
      <c r="AH3138" s="650"/>
      <c r="AI3138" s="667"/>
    </row>
    <row r="3139" spans="12:35" ht="45" customHeight="1" thickBot="1" x14ac:dyDescent="0.25">
      <c r="L3139" s="645"/>
      <c r="M3139" s="616"/>
      <c r="N3139" s="616"/>
      <c r="O3139" s="616"/>
      <c r="P3139" s="615"/>
      <c r="Q3139" s="616"/>
      <c r="R3139" s="663"/>
      <c r="S3139" s="459"/>
      <c r="T3139" s="459"/>
      <c r="U3139" s="459"/>
      <c r="V3139" s="459"/>
      <c r="W3139" s="459"/>
      <c r="X3139" s="459"/>
      <c r="Y3139" s="666"/>
      <c r="Z3139" s="664"/>
      <c r="AA3139" s="665"/>
      <c r="AB3139" s="665"/>
      <c r="AC3139" s="665"/>
      <c r="AD3139" s="665"/>
      <c r="AE3139" s="665"/>
      <c r="AF3139" s="649"/>
      <c r="AG3139" s="650"/>
      <c r="AH3139" s="650"/>
      <c r="AI3139" s="667"/>
    </row>
    <row r="3140" spans="12:35" ht="45" customHeight="1" thickBot="1" x14ac:dyDescent="0.25">
      <c r="L3140" s="645"/>
      <c r="M3140" s="616"/>
      <c r="N3140" s="616"/>
      <c r="O3140" s="616"/>
      <c r="P3140" s="615"/>
      <c r="Q3140" s="616"/>
      <c r="R3140" s="663"/>
      <c r="S3140" s="459"/>
      <c r="T3140" s="459"/>
      <c r="U3140" s="459"/>
      <c r="V3140" s="459"/>
      <c r="W3140" s="459"/>
      <c r="X3140" s="459"/>
      <c r="Y3140" s="666"/>
      <c r="Z3140" s="664"/>
      <c r="AA3140" s="665"/>
      <c r="AB3140" s="665"/>
      <c r="AC3140" s="665"/>
      <c r="AD3140" s="665"/>
      <c r="AE3140" s="665"/>
      <c r="AF3140" s="649"/>
      <c r="AG3140" s="650"/>
      <c r="AH3140" s="650"/>
      <c r="AI3140" s="667"/>
    </row>
    <row r="3141" spans="12:35" ht="45" customHeight="1" thickBot="1" x14ac:dyDescent="0.25">
      <c r="L3141" s="645"/>
      <c r="M3141" s="616"/>
      <c r="N3141" s="616"/>
      <c r="O3141" s="616"/>
      <c r="P3141" s="615"/>
      <c r="Q3141" s="616"/>
      <c r="R3141" s="663"/>
      <c r="S3141" s="459"/>
      <c r="T3141" s="459"/>
      <c r="U3141" s="459"/>
      <c r="V3141" s="459"/>
      <c r="W3141" s="459"/>
      <c r="X3141" s="459"/>
      <c r="Y3141" s="666"/>
      <c r="Z3141" s="664"/>
      <c r="AA3141" s="665"/>
      <c r="AB3141" s="665"/>
      <c r="AC3141" s="665"/>
      <c r="AD3141" s="665"/>
      <c r="AE3141" s="665"/>
      <c r="AF3141" s="649"/>
      <c r="AG3141" s="650"/>
      <c r="AH3141" s="650"/>
      <c r="AI3141" s="667"/>
    </row>
    <row r="3142" spans="12:35" ht="45" customHeight="1" thickBot="1" x14ac:dyDescent="0.25">
      <c r="L3142" s="645"/>
      <c r="M3142" s="616"/>
      <c r="N3142" s="616"/>
      <c r="O3142" s="616"/>
      <c r="P3142" s="615"/>
      <c r="Q3142" s="616"/>
      <c r="R3142" s="663"/>
      <c r="S3142" s="459"/>
      <c r="T3142" s="459"/>
      <c r="U3142" s="459"/>
      <c r="V3142" s="459"/>
      <c r="W3142" s="459"/>
      <c r="X3142" s="459"/>
      <c r="Y3142" s="666"/>
      <c r="Z3142" s="664"/>
      <c r="AA3142" s="665"/>
      <c r="AB3142" s="665"/>
      <c r="AC3142" s="665"/>
      <c r="AD3142" s="665"/>
      <c r="AE3142" s="665"/>
      <c r="AF3142" s="649"/>
      <c r="AG3142" s="650"/>
      <c r="AH3142" s="650"/>
      <c r="AI3142" s="667"/>
    </row>
    <row r="3143" spans="12:35" ht="45" customHeight="1" thickBot="1" x14ac:dyDescent="0.25">
      <c r="L3143" s="645"/>
      <c r="M3143" s="616"/>
      <c r="N3143" s="616"/>
      <c r="O3143" s="616"/>
      <c r="P3143" s="615"/>
      <c r="Q3143" s="616"/>
      <c r="R3143" s="663"/>
      <c r="S3143" s="459"/>
      <c r="T3143" s="459"/>
      <c r="U3143" s="459"/>
      <c r="V3143" s="459"/>
      <c r="W3143" s="459"/>
      <c r="X3143" s="459"/>
      <c r="Y3143" s="666"/>
      <c r="Z3143" s="664"/>
      <c r="AA3143" s="665"/>
      <c r="AB3143" s="665"/>
      <c r="AC3143" s="665"/>
      <c r="AD3143" s="665"/>
      <c r="AE3143" s="665"/>
      <c r="AF3143" s="649"/>
      <c r="AG3143" s="650"/>
      <c r="AH3143" s="650"/>
      <c r="AI3143" s="667"/>
    </row>
    <row r="3144" spans="12:35" ht="45" customHeight="1" thickBot="1" x14ac:dyDescent="0.25">
      <c r="L3144" s="645"/>
      <c r="M3144" s="616"/>
      <c r="N3144" s="616"/>
      <c r="O3144" s="616"/>
      <c r="P3144" s="615"/>
      <c r="Q3144" s="616"/>
      <c r="R3144" s="663"/>
      <c r="S3144" s="459"/>
      <c r="T3144" s="459"/>
      <c r="U3144" s="459"/>
      <c r="V3144" s="459"/>
      <c r="W3144" s="459"/>
      <c r="X3144" s="459"/>
      <c r="Y3144" s="666"/>
      <c r="Z3144" s="664"/>
      <c r="AA3144" s="665"/>
      <c r="AB3144" s="665"/>
      <c r="AC3144" s="665"/>
      <c r="AD3144" s="665"/>
      <c r="AE3144" s="665"/>
      <c r="AF3144" s="649"/>
      <c r="AG3144" s="650"/>
      <c r="AH3144" s="650"/>
      <c r="AI3144" s="667"/>
    </row>
    <row r="3145" spans="12:35" ht="45" customHeight="1" thickBot="1" x14ac:dyDescent="0.25">
      <c r="L3145" s="645"/>
      <c r="M3145" s="616"/>
      <c r="N3145" s="616"/>
      <c r="O3145" s="616"/>
      <c r="P3145" s="615"/>
      <c r="Q3145" s="616"/>
      <c r="R3145" s="663"/>
      <c r="S3145" s="459"/>
      <c r="T3145" s="459"/>
      <c r="U3145" s="459"/>
      <c r="V3145" s="459"/>
      <c r="W3145" s="459"/>
      <c r="X3145" s="459"/>
      <c r="Y3145" s="666"/>
      <c r="Z3145" s="664"/>
      <c r="AA3145" s="665"/>
      <c r="AB3145" s="665"/>
      <c r="AC3145" s="665"/>
      <c r="AD3145" s="665"/>
      <c r="AE3145" s="665"/>
      <c r="AF3145" s="649"/>
      <c r="AG3145" s="650"/>
      <c r="AH3145" s="650"/>
      <c r="AI3145" s="667"/>
    </row>
    <row r="3146" spans="12:35" ht="45" customHeight="1" thickBot="1" x14ac:dyDescent="0.25">
      <c r="L3146" s="645"/>
      <c r="M3146" s="616"/>
      <c r="N3146" s="616"/>
      <c r="O3146" s="616"/>
      <c r="P3146" s="615"/>
      <c r="Q3146" s="616"/>
      <c r="R3146" s="663"/>
      <c r="S3146" s="459"/>
      <c r="T3146" s="459"/>
      <c r="U3146" s="459"/>
      <c r="V3146" s="459"/>
      <c r="W3146" s="459"/>
      <c r="X3146" s="459"/>
      <c r="Y3146" s="666"/>
      <c r="Z3146" s="664"/>
      <c r="AA3146" s="665"/>
      <c r="AB3146" s="665"/>
      <c r="AC3146" s="665"/>
      <c r="AD3146" s="665"/>
      <c r="AE3146" s="665"/>
      <c r="AF3146" s="649"/>
      <c r="AG3146" s="650"/>
      <c r="AH3146" s="650"/>
      <c r="AI3146" s="667"/>
    </row>
    <row r="3147" spans="12:35" ht="45" customHeight="1" thickBot="1" x14ac:dyDescent="0.25">
      <c r="L3147" s="645"/>
      <c r="M3147" s="616"/>
      <c r="N3147" s="616"/>
      <c r="O3147" s="616"/>
      <c r="P3147" s="615"/>
      <c r="Q3147" s="616"/>
      <c r="R3147" s="663"/>
      <c r="S3147" s="459"/>
      <c r="T3147" s="459"/>
      <c r="U3147" s="459"/>
      <c r="V3147" s="459"/>
      <c r="W3147" s="459"/>
      <c r="X3147" s="459"/>
      <c r="Y3147" s="666"/>
      <c r="Z3147" s="664"/>
      <c r="AA3147" s="665"/>
      <c r="AB3147" s="665"/>
      <c r="AC3147" s="665"/>
      <c r="AD3147" s="665"/>
      <c r="AE3147" s="665"/>
      <c r="AF3147" s="649"/>
      <c r="AG3147" s="650"/>
      <c r="AH3147" s="650"/>
      <c r="AI3147" s="667"/>
    </row>
    <row r="3148" spans="12:35" ht="45" customHeight="1" thickBot="1" x14ac:dyDescent="0.25">
      <c r="L3148" s="645"/>
      <c r="M3148" s="616"/>
      <c r="N3148" s="616"/>
      <c r="O3148" s="616"/>
      <c r="P3148" s="615"/>
      <c r="Q3148" s="616"/>
      <c r="R3148" s="663"/>
      <c r="S3148" s="459"/>
      <c r="T3148" s="459"/>
      <c r="U3148" s="459"/>
      <c r="V3148" s="459"/>
      <c r="W3148" s="459"/>
      <c r="X3148" s="459"/>
      <c r="Y3148" s="666"/>
      <c r="Z3148" s="664"/>
      <c r="AA3148" s="665"/>
      <c r="AB3148" s="665"/>
      <c r="AC3148" s="665"/>
      <c r="AD3148" s="665"/>
      <c r="AE3148" s="665"/>
      <c r="AF3148" s="649"/>
      <c r="AG3148" s="650"/>
      <c r="AH3148" s="650"/>
      <c r="AI3148" s="667"/>
    </row>
    <row r="3149" spans="12:35" ht="45" customHeight="1" thickBot="1" x14ac:dyDescent="0.25">
      <c r="L3149" s="645"/>
      <c r="M3149" s="616"/>
      <c r="N3149" s="616"/>
      <c r="O3149" s="616"/>
      <c r="P3149" s="615"/>
      <c r="Q3149" s="616"/>
      <c r="R3149" s="663"/>
      <c r="S3149" s="459"/>
      <c r="T3149" s="459"/>
      <c r="U3149" s="459"/>
      <c r="V3149" s="459"/>
      <c r="W3149" s="459"/>
      <c r="X3149" s="459"/>
      <c r="Y3149" s="666"/>
      <c r="Z3149" s="664"/>
      <c r="AA3149" s="665"/>
      <c r="AB3149" s="665"/>
      <c r="AC3149" s="665"/>
      <c r="AD3149" s="665"/>
      <c r="AE3149" s="665"/>
      <c r="AF3149" s="649"/>
      <c r="AG3149" s="650"/>
      <c r="AH3149" s="650"/>
      <c r="AI3149" s="667"/>
    </row>
    <row r="3150" spans="12:35" ht="45" customHeight="1" thickBot="1" x14ac:dyDescent="0.25">
      <c r="L3150" s="645"/>
      <c r="M3150" s="616"/>
      <c r="N3150" s="616"/>
      <c r="O3150" s="616"/>
      <c r="P3150" s="615"/>
      <c r="Q3150" s="616"/>
      <c r="R3150" s="663"/>
      <c r="S3150" s="459"/>
      <c r="T3150" s="459"/>
      <c r="U3150" s="459"/>
      <c r="V3150" s="459"/>
      <c r="W3150" s="459"/>
      <c r="X3150" s="459"/>
      <c r="Y3150" s="666"/>
      <c r="Z3150" s="664"/>
      <c r="AA3150" s="665"/>
      <c r="AB3150" s="665"/>
      <c r="AC3150" s="665"/>
      <c r="AD3150" s="665"/>
      <c r="AE3150" s="665"/>
      <c r="AF3150" s="649"/>
      <c r="AG3150" s="650"/>
      <c r="AH3150" s="650"/>
      <c r="AI3150" s="667"/>
    </row>
    <row r="3151" spans="12:35" ht="45" customHeight="1" thickBot="1" x14ac:dyDescent="0.25">
      <c r="L3151" s="645"/>
      <c r="M3151" s="616"/>
      <c r="N3151" s="616"/>
      <c r="O3151" s="616"/>
      <c r="P3151" s="615"/>
      <c r="Q3151" s="616"/>
      <c r="R3151" s="663"/>
      <c r="S3151" s="459"/>
      <c r="T3151" s="459"/>
      <c r="U3151" s="459"/>
      <c r="V3151" s="459"/>
      <c r="W3151" s="459"/>
      <c r="X3151" s="459"/>
      <c r="Y3151" s="666"/>
      <c r="Z3151" s="664"/>
      <c r="AA3151" s="665"/>
      <c r="AB3151" s="665"/>
      <c r="AC3151" s="665"/>
      <c r="AD3151" s="665"/>
      <c r="AE3151" s="665"/>
      <c r="AF3151" s="649"/>
      <c r="AG3151" s="650"/>
      <c r="AH3151" s="650"/>
      <c r="AI3151" s="667"/>
    </row>
    <row r="3152" spans="12:35" ht="45" customHeight="1" thickBot="1" x14ac:dyDescent="0.25">
      <c r="L3152" s="645"/>
      <c r="M3152" s="616"/>
      <c r="N3152" s="616"/>
      <c r="O3152" s="616"/>
      <c r="P3152" s="615"/>
      <c r="Q3152" s="616"/>
      <c r="R3152" s="663"/>
      <c r="S3152" s="459"/>
      <c r="T3152" s="459"/>
      <c r="U3152" s="459"/>
      <c r="V3152" s="459"/>
      <c r="W3152" s="459"/>
      <c r="X3152" s="459"/>
      <c r="Y3152" s="666"/>
      <c r="Z3152" s="664"/>
      <c r="AA3152" s="665"/>
      <c r="AB3152" s="665"/>
      <c r="AC3152" s="665"/>
      <c r="AD3152" s="665"/>
      <c r="AE3152" s="665"/>
      <c r="AF3152" s="649"/>
      <c r="AG3152" s="650"/>
      <c r="AH3152" s="650"/>
      <c r="AI3152" s="667"/>
    </row>
    <row r="3153" spans="12:35" ht="45" customHeight="1" thickBot="1" x14ac:dyDescent="0.25">
      <c r="L3153" s="645"/>
      <c r="M3153" s="616"/>
      <c r="N3153" s="616"/>
      <c r="O3153" s="616"/>
      <c r="P3153" s="615"/>
      <c r="Q3153" s="616"/>
      <c r="R3153" s="663"/>
      <c r="S3153" s="459"/>
      <c r="T3153" s="459"/>
      <c r="U3153" s="459"/>
      <c r="V3153" s="459"/>
      <c r="W3153" s="459"/>
      <c r="X3153" s="459"/>
      <c r="Y3153" s="666"/>
      <c r="Z3153" s="664"/>
      <c r="AA3153" s="665"/>
      <c r="AB3153" s="665"/>
      <c r="AC3153" s="665"/>
      <c r="AD3153" s="665"/>
      <c r="AE3153" s="665"/>
      <c r="AF3153" s="649"/>
      <c r="AG3153" s="650"/>
      <c r="AH3153" s="650"/>
      <c r="AI3153" s="667"/>
    </row>
    <row r="3154" spans="12:35" ht="45" customHeight="1" thickBot="1" x14ac:dyDescent="0.25">
      <c r="L3154" s="645"/>
      <c r="M3154" s="616"/>
      <c r="N3154" s="616"/>
      <c r="O3154" s="616"/>
      <c r="P3154" s="615"/>
      <c r="Q3154" s="616"/>
      <c r="R3154" s="663"/>
      <c r="S3154" s="459"/>
      <c r="T3154" s="459"/>
      <c r="U3154" s="459"/>
      <c r="V3154" s="459"/>
      <c r="W3154" s="459"/>
      <c r="X3154" s="459"/>
      <c r="Y3154" s="666"/>
      <c r="Z3154" s="664"/>
      <c r="AA3154" s="665"/>
      <c r="AB3154" s="665"/>
      <c r="AC3154" s="665"/>
      <c r="AD3154" s="665"/>
      <c r="AE3154" s="665"/>
      <c r="AF3154" s="649"/>
      <c r="AG3154" s="650"/>
      <c r="AH3154" s="650"/>
      <c r="AI3154" s="667"/>
    </row>
    <row r="3155" spans="12:35" ht="45" customHeight="1" thickBot="1" x14ac:dyDescent="0.25">
      <c r="L3155" s="645"/>
      <c r="M3155" s="616"/>
      <c r="N3155" s="616"/>
      <c r="O3155" s="616"/>
      <c r="P3155" s="615"/>
      <c r="Q3155" s="616"/>
      <c r="R3155" s="663"/>
      <c r="S3155" s="459"/>
      <c r="T3155" s="459"/>
      <c r="U3155" s="459"/>
      <c r="V3155" s="459"/>
      <c r="W3155" s="459"/>
      <c r="X3155" s="459"/>
      <c r="Y3155" s="666"/>
      <c r="Z3155" s="664"/>
      <c r="AA3155" s="665"/>
      <c r="AB3155" s="665"/>
      <c r="AC3155" s="665"/>
      <c r="AD3155" s="665"/>
      <c r="AE3155" s="665"/>
      <c r="AF3155" s="649"/>
      <c r="AG3155" s="650"/>
      <c r="AH3155" s="650"/>
      <c r="AI3155" s="667"/>
    </row>
    <row r="3156" spans="12:35" ht="45" customHeight="1" thickBot="1" x14ac:dyDescent="0.25">
      <c r="L3156" s="645"/>
      <c r="M3156" s="616"/>
      <c r="N3156" s="616"/>
      <c r="O3156" s="616"/>
      <c r="P3156" s="615"/>
      <c r="Q3156" s="616"/>
      <c r="R3156" s="663"/>
      <c r="S3156" s="459"/>
      <c r="T3156" s="459"/>
      <c r="U3156" s="459"/>
      <c r="V3156" s="459"/>
      <c r="W3156" s="459"/>
      <c r="X3156" s="459"/>
      <c r="Y3156" s="666"/>
      <c r="Z3156" s="664"/>
      <c r="AA3156" s="665"/>
      <c r="AB3156" s="665"/>
      <c r="AC3156" s="665"/>
      <c r="AD3156" s="665"/>
      <c r="AE3156" s="665"/>
      <c r="AF3156" s="649"/>
      <c r="AG3156" s="650"/>
      <c r="AH3156" s="650"/>
      <c r="AI3156" s="667"/>
    </row>
    <row r="3157" spans="12:35" ht="45" customHeight="1" thickBot="1" x14ac:dyDescent="0.25">
      <c r="L3157" s="645"/>
      <c r="M3157" s="616"/>
      <c r="N3157" s="616"/>
      <c r="O3157" s="616"/>
      <c r="P3157" s="615"/>
      <c r="Q3157" s="616"/>
      <c r="R3157" s="663"/>
      <c r="S3157" s="459"/>
      <c r="T3157" s="459"/>
      <c r="U3157" s="459"/>
      <c r="V3157" s="459"/>
      <c r="W3157" s="459"/>
      <c r="X3157" s="459"/>
      <c r="Y3157" s="666"/>
      <c r="Z3157" s="664"/>
      <c r="AA3157" s="665"/>
      <c r="AB3157" s="665"/>
      <c r="AC3157" s="665"/>
      <c r="AD3157" s="665"/>
      <c r="AE3157" s="665"/>
      <c r="AF3157" s="649"/>
      <c r="AG3157" s="650"/>
      <c r="AH3157" s="650"/>
      <c r="AI3157" s="667"/>
    </row>
    <row r="3158" spans="12:35" ht="45" customHeight="1" thickBot="1" x14ac:dyDescent="0.25">
      <c r="L3158" s="645"/>
      <c r="M3158" s="616"/>
      <c r="N3158" s="616"/>
      <c r="O3158" s="616"/>
      <c r="P3158" s="615"/>
      <c r="Q3158" s="616"/>
      <c r="R3158" s="663"/>
      <c r="S3158" s="459"/>
      <c r="T3158" s="459"/>
      <c r="U3158" s="459"/>
      <c r="V3158" s="459"/>
      <c r="W3158" s="459"/>
      <c r="X3158" s="459"/>
      <c r="Y3158" s="666"/>
      <c r="Z3158" s="664"/>
      <c r="AA3158" s="665"/>
      <c r="AB3158" s="665"/>
      <c r="AC3158" s="665"/>
      <c r="AD3158" s="665"/>
      <c r="AE3158" s="665"/>
      <c r="AF3158" s="649"/>
      <c r="AG3158" s="650"/>
      <c r="AH3158" s="650"/>
      <c r="AI3158" s="667"/>
    </row>
    <row r="3159" spans="12:35" ht="45" customHeight="1" thickBot="1" x14ac:dyDescent="0.25">
      <c r="L3159" s="645"/>
      <c r="M3159" s="616"/>
      <c r="N3159" s="616"/>
      <c r="O3159" s="616"/>
      <c r="P3159" s="615"/>
      <c r="Q3159" s="616"/>
      <c r="R3159" s="663"/>
      <c r="S3159" s="459"/>
      <c r="T3159" s="459"/>
      <c r="U3159" s="459"/>
      <c r="V3159" s="459"/>
      <c r="W3159" s="459"/>
      <c r="X3159" s="459"/>
      <c r="Y3159" s="666"/>
      <c r="Z3159" s="664"/>
      <c r="AA3159" s="665"/>
      <c r="AB3159" s="665"/>
      <c r="AC3159" s="665"/>
      <c r="AD3159" s="665"/>
      <c r="AE3159" s="665"/>
      <c r="AF3159" s="649"/>
      <c r="AG3159" s="650"/>
      <c r="AH3159" s="650"/>
      <c r="AI3159" s="667"/>
    </row>
    <row r="3160" spans="12:35" ht="45" customHeight="1" thickBot="1" x14ac:dyDescent="0.25">
      <c r="L3160" s="645"/>
      <c r="M3160" s="616"/>
      <c r="N3160" s="616"/>
      <c r="O3160" s="616"/>
      <c r="P3160" s="615"/>
      <c r="Q3160" s="616"/>
      <c r="R3160" s="663"/>
      <c r="S3160" s="459"/>
      <c r="T3160" s="459"/>
      <c r="U3160" s="459"/>
      <c r="V3160" s="459"/>
      <c r="W3160" s="459"/>
      <c r="X3160" s="459"/>
      <c r="Y3160" s="666"/>
      <c r="Z3160" s="664"/>
      <c r="AA3160" s="665"/>
      <c r="AB3160" s="665"/>
      <c r="AC3160" s="665"/>
      <c r="AD3160" s="665"/>
      <c r="AE3160" s="665"/>
      <c r="AF3160" s="649"/>
      <c r="AG3160" s="650"/>
      <c r="AH3160" s="650"/>
      <c r="AI3160" s="667"/>
    </row>
    <row r="3161" spans="12:35" ht="45" customHeight="1" thickBot="1" x14ac:dyDescent="0.25">
      <c r="L3161" s="645"/>
      <c r="M3161" s="616"/>
      <c r="N3161" s="616"/>
      <c r="O3161" s="616"/>
      <c r="P3161" s="615"/>
      <c r="Q3161" s="616"/>
      <c r="R3161" s="663"/>
      <c r="S3161" s="459"/>
      <c r="T3161" s="459"/>
      <c r="U3161" s="459"/>
      <c r="V3161" s="459"/>
      <c r="W3161" s="459"/>
      <c r="X3161" s="459"/>
      <c r="Y3161" s="666"/>
      <c r="Z3161" s="664"/>
      <c r="AA3161" s="665"/>
      <c r="AB3161" s="665"/>
      <c r="AC3161" s="665"/>
      <c r="AD3161" s="665"/>
      <c r="AE3161" s="665"/>
      <c r="AF3161" s="649"/>
      <c r="AG3161" s="650"/>
      <c r="AH3161" s="650"/>
      <c r="AI3161" s="667"/>
    </row>
    <row r="3162" spans="12:35" ht="45" customHeight="1" thickBot="1" x14ac:dyDescent="0.25">
      <c r="L3162" s="645"/>
      <c r="M3162" s="616"/>
      <c r="N3162" s="616"/>
      <c r="O3162" s="616"/>
      <c r="P3162" s="615"/>
      <c r="Q3162" s="616"/>
      <c r="R3162" s="663"/>
      <c r="S3162" s="459"/>
      <c r="T3162" s="459"/>
      <c r="U3162" s="459"/>
      <c r="V3162" s="459"/>
      <c r="W3162" s="459"/>
      <c r="X3162" s="459"/>
      <c r="Y3162" s="666"/>
      <c r="Z3162" s="664"/>
      <c r="AA3162" s="665"/>
      <c r="AB3162" s="665"/>
      <c r="AC3162" s="665"/>
      <c r="AD3162" s="665"/>
      <c r="AE3162" s="665"/>
      <c r="AF3162" s="649"/>
      <c r="AG3162" s="650"/>
      <c r="AH3162" s="650"/>
      <c r="AI3162" s="667"/>
    </row>
    <row r="3163" spans="12:35" ht="45" customHeight="1" thickBot="1" x14ac:dyDescent="0.25">
      <c r="L3163" s="645"/>
      <c r="M3163" s="616"/>
      <c r="N3163" s="616"/>
      <c r="O3163" s="616"/>
      <c r="P3163" s="615"/>
      <c r="Q3163" s="616"/>
      <c r="R3163" s="663"/>
      <c r="S3163" s="459"/>
      <c r="T3163" s="459"/>
      <c r="U3163" s="459"/>
      <c r="V3163" s="459"/>
      <c r="W3163" s="459"/>
      <c r="X3163" s="459"/>
      <c r="Y3163" s="666"/>
      <c r="Z3163" s="664"/>
      <c r="AA3163" s="665"/>
      <c r="AB3163" s="665"/>
      <c r="AC3163" s="665"/>
      <c r="AD3163" s="665"/>
      <c r="AE3163" s="665"/>
      <c r="AF3163" s="649"/>
      <c r="AG3163" s="650"/>
      <c r="AH3163" s="650"/>
      <c r="AI3163" s="667"/>
    </row>
    <row r="3164" spans="12:35" ht="45" customHeight="1" thickBot="1" x14ac:dyDescent="0.25">
      <c r="L3164" s="645"/>
      <c r="M3164" s="616"/>
      <c r="N3164" s="616"/>
      <c r="O3164" s="616"/>
      <c r="P3164" s="615"/>
      <c r="Q3164" s="616"/>
      <c r="R3164" s="663"/>
      <c r="S3164" s="459"/>
      <c r="T3164" s="459"/>
      <c r="U3164" s="459"/>
      <c r="V3164" s="459"/>
      <c r="W3164" s="459"/>
      <c r="X3164" s="459"/>
      <c r="Y3164" s="666"/>
      <c r="Z3164" s="664"/>
      <c r="AA3164" s="665"/>
      <c r="AB3164" s="665"/>
      <c r="AC3164" s="665"/>
      <c r="AD3164" s="665"/>
      <c r="AE3164" s="665"/>
      <c r="AF3164" s="649"/>
      <c r="AG3164" s="650"/>
      <c r="AH3164" s="650"/>
      <c r="AI3164" s="667"/>
    </row>
    <row r="3165" spans="12:35" ht="45" customHeight="1" thickBot="1" x14ac:dyDescent="0.25">
      <c r="L3165" s="645"/>
      <c r="M3165" s="616"/>
      <c r="N3165" s="616"/>
      <c r="O3165" s="616"/>
      <c r="P3165" s="615"/>
      <c r="Q3165" s="616"/>
      <c r="R3165" s="663"/>
      <c r="S3165" s="459"/>
      <c r="T3165" s="459"/>
      <c r="U3165" s="459"/>
      <c r="V3165" s="459"/>
      <c r="W3165" s="459"/>
      <c r="X3165" s="459"/>
      <c r="Y3165" s="666"/>
      <c r="Z3165" s="664"/>
      <c r="AA3165" s="665"/>
      <c r="AB3165" s="665"/>
      <c r="AC3165" s="665"/>
      <c r="AD3165" s="665"/>
      <c r="AE3165" s="665"/>
      <c r="AF3165" s="649"/>
      <c r="AG3165" s="650"/>
      <c r="AH3165" s="650"/>
      <c r="AI3165" s="667"/>
    </row>
    <row r="3166" spans="12:35" ht="45" customHeight="1" thickBot="1" x14ac:dyDescent="0.25">
      <c r="L3166" s="645"/>
      <c r="M3166" s="616"/>
      <c r="N3166" s="616"/>
      <c r="O3166" s="616"/>
      <c r="P3166" s="615"/>
      <c r="Q3166" s="616"/>
      <c r="R3166" s="663"/>
      <c r="S3166" s="459"/>
      <c r="T3166" s="459"/>
      <c r="U3166" s="459"/>
      <c r="V3166" s="459"/>
      <c r="W3166" s="459"/>
      <c r="X3166" s="459"/>
      <c r="Y3166" s="666"/>
      <c r="Z3166" s="664"/>
      <c r="AA3166" s="665"/>
      <c r="AB3166" s="665"/>
      <c r="AC3166" s="665"/>
      <c r="AD3166" s="665"/>
      <c r="AE3166" s="665"/>
      <c r="AF3166" s="649"/>
      <c r="AG3166" s="650"/>
      <c r="AH3166" s="650"/>
      <c r="AI3166" s="667"/>
    </row>
    <row r="3167" spans="12:35" ht="45" customHeight="1" thickBot="1" x14ac:dyDescent="0.25">
      <c r="L3167" s="645"/>
      <c r="M3167" s="616"/>
      <c r="N3167" s="616"/>
      <c r="O3167" s="616"/>
      <c r="P3167" s="615"/>
      <c r="Q3167" s="616"/>
      <c r="R3167" s="663"/>
      <c r="S3167" s="459"/>
      <c r="T3167" s="459"/>
      <c r="U3167" s="459"/>
      <c r="V3167" s="459"/>
      <c r="W3167" s="459"/>
      <c r="X3167" s="459"/>
      <c r="Y3167" s="666"/>
      <c r="Z3167" s="664"/>
      <c r="AA3167" s="665"/>
      <c r="AB3167" s="665"/>
      <c r="AC3167" s="665"/>
      <c r="AD3167" s="665"/>
      <c r="AE3167" s="665"/>
      <c r="AF3167" s="649"/>
      <c r="AG3167" s="650"/>
      <c r="AH3167" s="650"/>
      <c r="AI3167" s="667"/>
    </row>
    <row r="3168" spans="12:35" ht="45" customHeight="1" thickBot="1" x14ac:dyDescent="0.25">
      <c r="L3168" s="645"/>
      <c r="M3168" s="616"/>
      <c r="N3168" s="616"/>
      <c r="O3168" s="616"/>
      <c r="P3168" s="615"/>
      <c r="Q3168" s="616"/>
      <c r="R3168" s="663"/>
      <c r="S3168" s="459"/>
      <c r="T3168" s="459"/>
      <c r="U3168" s="459"/>
      <c r="V3168" s="459"/>
      <c r="W3168" s="459"/>
      <c r="X3168" s="459"/>
      <c r="Y3168" s="666"/>
      <c r="Z3168" s="664"/>
      <c r="AA3168" s="665"/>
      <c r="AB3168" s="665"/>
      <c r="AC3168" s="665"/>
      <c r="AD3168" s="665"/>
      <c r="AE3168" s="665"/>
      <c r="AF3168" s="649"/>
      <c r="AG3168" s="650"/>
      <c r="AH3168" s="650"/>
      <c r="AI3168" s="667"/>
    </row>
    <row r="3169" spans="12:35" ht="45" customHeight="1" thickBot="1" x14ac:dyDescent="0.25">
      <c r="L3169" s="645"/>
      <c r="M3169" s="616"/>
      <c r="N3169" s="616"/>
      <c r="O3169" s="616"/>
      <c r="P3169" s="615"/>
      <c r="Q3169" s="616"/>
      <c r="R3169" s="663"/>
      <c r="S3169" s="459"/>
      <c r="T3169" s="459"/>
      <c r="U3169" s="459"/>
      <c r="V3169" s="459"/>
      <c r="W3169" s="459"/>
      <c r="X3169" s="459"/>
      <c r="Y3169" s="666"/>
      <c r="Z3169" s="664"/>
      <c r="AA3169" s="665"/>
      <c r="AB3169" s="665"/>
      <c r="AC3169" s="665"/>
      <c r="AD3169" s="665"/>
      <c r="AE3169" s="665"/>
      <c r="AF3169" s="649"/>
      <c r="AG3169" s="650"/>
      <c r="AH3169" s="650"/>
      <c r="AI3169" s="667"/>
    </row>
    <row r="3170" spans="12:35" ht="45" customHeight="1" thickBot="1" x14ac:dyDescent="0.25">
      <c r="L3170" s="645"/>
      <c r="M3170" s="616"/>
      <c r="N3170" s="616"/>
      <c r="O3170" s="616"/>
      <c r="P3170" s="615"/>
      <c r="Q3170" s="616"/>
      <c r="R3170" s="663"/>
      <c r="S3170" s="459"/>
      <c r="T3170" s="459"/>
      <c r="U3170" s="459"/>
      <c r="V3170" s="459"/>
      <c r="W3170" s="459"/>
      <c r="X3170" s="459"/>
      <c r="Y3170" s="666"/>
      <c r="Z3170" s="664"/>
      <c r="AA3170" s="665"/>
      <c r="AB3170" s="665"/>
      <c r="AC3170" s="665"/>
      <c r="AD3170" s="665"/>
      <c r="AE3170" s="665"/>
      <c r="AF3170" s="649"/>
      <c r="AG3170" s="650"/>
      <c r="AH3170" s="650"/>
      <c r="AI3170" s="667"/>
    </row>
    <row r="3171" spans="12:35" ht="45" customHeight="1" thickBot="1" x14ac:dyDescent="0.25">
      <c r="L3171" s="645"/>
      <c r="M3171" s="616"/>
      <c r="N3171" s="616"/>
      <c r="O3171" s="616"/>
      <c r="P3171" s="615"/>
      <c r="Q3171" s="616"/>
      <c r="R3171" s="663"/>
      <c r="S3171" s="459"/>
      <c r="T3171" s="459"/>
      <c r="U3171" s="459"/>
      <c r="V3171" s="459"/>
      <c r="W3171" s="459"/>
      <c r="X3171" s="459"/>
      <c r="Y3171" s="666"/>
      <c r="Z3171" s="664"/>
      <c r="AA3171" s="665"/>
      <c r="AB3171" s="665"/>
      <c r="AC3171" s="665"/>
      <c r="AD3171" s="665"/>
      <c r="AE3171" s="665"/>
      <c r="AF3171" s="649"/>
      <c r="AG3171" s="650"/>
      <c r="AH3171" s="650"/>
      <c r="AI3171" s="667"/>
    </row>
    <row r="3172" spans="12:35" ht="45" customHeight="1" thickBot="1" x14ac:dyDescent="0.25">
      <c r="L3172" s="645"/>
      <c r="M3172" s="616"/>
      <c r="N3172" s="616"/>
      <c r="O3172" s="616"/>
      <c r="P3172" s="615"/>
      <c r="Q3172" s="616"/>
      <c r="R3172" s="663"/>
      <c r="S3172" s="459"/>
      <c r="T3172" s="459"/>
      <c r="U3172" s="459"/>
      <c r="V3172" s="459"/>
      <c r="W3172" s="459"/>
      <c r="X3172" s="459"/>
      <c r="Y3172" s="666"/>
      <c r="Z3172" s="664"/>
      <c r="AA3172" s="665"/>
      <c r="AB3172" s="665"/>
      <c r="AC3172" s="665"/>
      <c r="AD3172" s="665"/>
      <c r="AE3172" s="665"/>
      <c r="AF3172" s="649"/>
      <c r="AG3172" s="650"/>
      <c r="AH3172" s="650"/>
      <c r="AI3172" s="667"/>
    </row>
    <row r="3173" spans="12:35" ht="45" customHeight="1" thickBot="1" x14ac:dyDescent="0.25">
      <c r="L3173" s="645"/>
      <c r="M3173" s="616"/>
      <c r="N3173" s="616"/>
      <c r="O3173" s="616"/>
      <c r="P3173" s="615"/>
      <c r="Q3173" s="616"/>
      <c r="R3173" s="663"/>
      <c r="S3173" s="459"/>
      <c r="T3173" s="459"/>
      <c r="U3173" s="459"/>
      <c r="V3173" s="459"/>
      <c r="W3173" s="459"/>
      <c r="X3173" s="459"/>
      <c r="Y3173" s="666"/>
      <c r="Z3173" s="664"/>
      <c r="AA3173" s="665"/>
      <c r="AB3173" s="665"/>
      <c r="AC3173" s="665"/>
      <c r="AD3173" s="665"/>
      <c r="AE3173" s="665"/>
      <c r="AF3173" s="649"/>
      <c r="AG3173" s="650"/>
      <c r="AH3173" s="650"/>
      <c r="AI3173" s="667"/>
    </row>
    <row r="3174" spans="12:35" ht="45" customHeight="1" thickBot="1" x14ac:dyDescent="0.25">
      <c r="L3174" s="645"/>
      <c r="M3174" s="616"/>
      <c r="N3174" s="616"/>
      <c r="O3174" s="616"/>
      <c r="P3174" s="615"/>
      <c r="Q3174" s="616"/>
      <c r="R3174" s="663"/>
      <c r="S3174" s="459"/>
      <c r="T3174" s="459"/>
      <c r="U3174" s="459"/>
      <c r="V3174" s="459"/>
      <c r="W3174" s="459"/>
      <c r="X3174" s="459"/>
      <c r="Y3174" s="666"/>
      <c r="Z3174" s="664"/>
      <c r="AA3174" s="665"/>
      <c r="AB3174" s="665"/>
      <c r="AC3174" s="665"/>
      <c r="AD3174" s="665"/>
      <c r="AE3174" s="665"/>
      <c r="AF3174" s="649"/>
      <c r="AG3174" s="650"/>
      <c r="AH3174" s="650"/>
      <c r="AI3174" s="667"/>
    </row>
    <row r="3175" spans="12:35" ht="45" customHeight="1" thickBot="1" x14ac:dyDescent="0.25">
      <c r="L3175" s="645"/>
      <c r="M3175" s="616"/>
      <c r="N3175" s="616"/>
      <c r="O3175" s="616"/>
      <c r="P3175" s="615"/>
      <c r="Q3175" s="616"/>
      <c r="R3175" s="663"/>
      <c r="S3175" s="459"/>
      <c r="T3175" s="459"/>
      <c r="U3175" s="459"/>
      <c r="V3175" s="459"/>
      <c r="W3175" s="459"/>
      <c r="X3175" s="459"/>
      <c r="Y3175" s="666"/>
      <c r="Z3175" s="664"/>
      <c r="AA3175" s="665"/>
      <c r="AB3175" s="665"/>
      <c r="AC3175" s="665"/>
      <c r="AD3175" s="665"/>
      <c r="AE3175" s="665"/>
      <c r="AF3175" s="649"/>
      <c r="AG3175" s="650"/>
      <c r="AH3175" s="650"/>
      <c r="AI3175" s="667"/>
    </row>
    <row r="3176" spans="12:35" ht="45" customHeight="1" thickBot="1" x14ac:dyDescent="0.25">
      <c r="L3176" s="645"/>
      <c r="M3176" s="616"/>
      <c r="N3176" s="616"/>
      <c r="O3176" s="616"/>
      <c r="P3176" s="615"/>
      <c r="Q3176" s="616"/>
      <c r="R3176" s="663"/>
      <c r="S3176" s="459"/>
      <c r="T3176" s="459"/>
      <c r="U3176" s="459"/>
      <c r="V3176" s="459"/>
      <c r="W3176" s="459"/>
      <c r="X3176" s="459"/>
      <c r="Y3176" s="666"/>
      <c r="Z3176" s="664"/>
      <c r="AA3176" s="665"/>
      <c r="AB3176" s="665"/>
      <c r="AC3176" s="665"/>
      <c r="AD3176" s="665"/>
      <c r="AE3176" s="665"/>
      <c r="AF3176" s="649"/>
      <c r="AG3176" s="650"/>
      <c r="AH3176" s="650"/>
      <c r="AI3176" s="667"/>
    </row>
    <row r="3177" spans="12:35" ht="45" customHeight="1" thickBot="1" x14ac:dyDescent="0.25">
      <c r="L3177" s="645"/>
      <c r="M3177" s="616"/>
      <c r="N3177" s="616"/>
      <c r="O3177" s="616"/>
      <c r="P3177" s="615"/>
      <c r="Q3177" s="616"/>
      <c r="R3177" s="663"/>
      <c r="S3177" s="459"/>
      <c r="T3177" s="459"/>
      <c r="U3177" s="459"/>
      <c r="V3177" s="459"/>
      <c r="W3177" s="459"/>
      <c r="X3177" s="459"/>
      <c r="Y3177" s="666"/>
      <c r="Z3177" s="664"/>
      <c r="AA3177" s="665"/>
      <c r="AB3177" s="665"/>
      <c r="AC3177" s="665"/>
      <c r="AD3177" s="665"/>
      <c r="AE3177" s="665"/>
      <c r="AF3177" s="649"/>
      <c r="AG3177" s="650"/>
      <c r="AH3177" s="650"/>
      <c r="AI3177" s="667"/>
    </row>
    <row r="3178" spans="12:35" ht="45" customHeight="1" thickBot="1" x14ac:dyDescent="0.25">
      <c r="L3178" s="645"/>
      <c r="M3178" s="616"/>
      <c r="N3178" s="616"/>
      <c r="O3178" s="616"/>
      <c r="P3178" s="615"/>
      <c r="Q3178" s="616"/>
      <c r="R3178" s="663"/>
      <c r="S3178" s="459"/>
      <c r="T3178" s="459"/>
      <c r="U3178" s="459"/>
      <c r="V3178" s="459"/>
      <c r="W3178" s="459"/>
      <c r="X3178" s="459"/>
      <c r="Y3178" s="666"/>
      <c r="Z3178" s="664"/>
      <c r="AA3178" s="665"/>
      <c r="AB3178" s="665"/>
      <c r="AC3178" s="665"/>
      <c r="AD3178" s="665"/>
      <c r="AE3178" s="665"/>
      <c r="AF3178" s="649"/>
      <c r="AG3178" s="650"/>
      <c r="AH3178" s="650"/>
      <c r="AI3178" s="667"/>
    </row>
    <row r="3179" spans="12:35" ht="45" customHeight="1" thickBot="1" x14ac:dyDescent="0.25">
      <c r="L3179" s="645"/>
      <c r="M3179" s="616"/>
      <c r="N3179" s="616"/>
      <c r="O3179" s="616"/>
      <c r="P3179" s="615"/>
      <c r="Q3179" s="616"/>
      <c r="R3179" s="663"/>
      <c r="S3179" s="459"/>
      <c r="T3179" s="459"/>
      <c r="U3179" s="459"/>
      <c r="V3179" s="459"/>
      <c r="W3179" s="459"/>
      <c r="X3179" s="459"/>
      <c r="Y3179" s="666"/>
      <c r="Z3179" s="664"/>
      <c r="AA3179" s="665"/>
      <c r="AB3179" s="665"/>
      <c r="AC3179" s="665"/>
      <c r="AD3179" s="665"/>
      <c r="AE3179" s="665"/>
      <c r="AF3179" s="649"/>
      <c r="AG3179" s="650"/>
      <c r="AH3179" s="650"/>
      <c r="AI3179" s="667"/>
    </row>
    <row r="3180" spans="12:35" ht="45" customHeight="1" thickBot="1" x14ac:dyDescent="0.25">
      <c r="L3180" s="645"/>
      <c r="M3180" s="616"/>
      <c r="N3180" s="616"/>
      <c r="O3180" s="616"/>
      <c r="P3180" s="615"/>
      <c r="Q3180" s="616"/>
      <c r="R3180" s="663"/>
      <c r="S3180" s="459"/>
      <c r="T3180" s="459"/>
      <c r="U3180" s="459"/>
      <c r="V3180" s="459"/>
      <c r="W3180" s="459"/>
      <c r="X3180" s="459"/>
      <c r="Y3180" s="666"/>
      <c r="Z3180" s="664"/>
      <c r="AA3180" s="665"/>
      <c r="AB3180" s="665"/>
      <c r="AC3180" s="665"/>
      <c r="AD3180" s="665"/>
      <c r="AE3180" s="665"/>
      <c r="AF3180" s="649"/>
      <c r="AG3180" s="650"/>
      <c r="AH3180" s="650"/>
      <c r="AI3180" s="667"/>
    </row>
    <row r="3181" spans="12:35" ht="45" customHeight="1" thickBot="1" x14ac:dyDescent="0.25">
      <c r="L3181" s="645"/>
      <c r="M3181" s="616"/>
      <c r="N3181" s="616"/>
      <c r="O3181" s="616"/>
      <c r="P3181" s="615"/>
      <c r="Q3181" s="616"/>
      <c r="R3181" s="663"/>
      <c r="S3181" s="459"/>
      <c r="T3181" s="459"/>
      <c r="U3181" s="459"/>
      <c r="V3181" s="459"/>
      <c r="W3181" s="459"/>
      <c r="X3181" s="459"/>
      <c r="Y3181" s="666"/>
      <c r="Z3181" s="664"/>
      <c r="AA3181" s="665"/>
      <c r="AB3181" s="665"/>
      <c r="AC3181" s="665"/>
      <c r="AD3181" s="665"/>
      <c r="AE3181" s="665"/>
      <c r="AF3181" s="649"/>
      <c r="AG3181" s="650"/>
      <c r="AH3181" s="650"/>
      <c r="AI3181" s="667"/>
    </row>
    <row r="3182" spans="12:35" ht="45" customHeight="1" thickBot="1" x14ac:dyDescent="0.25">
      <c r="L3182" s="645"/>
      <c r="M3182" s="616"/>
      <c r="N3182" s="616"/>
      <c r="O3182" s="616"/>
      <c r="P3182" s="615"/>
      <c r="Q3182" s="616"/>
      <c r="R3182" s="663"/>
      <c r="S3182" s="459"/>
      <c r="T3182" s="459"/>
      <c r="U3182" s="459"/>
      <c r="V3182" s="459"/>
      <c r="W3182" s="459"/>
      <c r="X3182" s="459"/>
      <c r="Y3182" s="666"/>
      <c r="Z3182" s="664"/>
      <c r="AA3182" s="665"/>
      <c r="AB3182" s="665"/>
      <c r="AC3182" s="665"/>
      <c r="AD3182" s="665"/>
      <c r="AE3182" s="665"/>
      <c r="AF3182" s="649"/>
      <c r="AG3182" s="650"/>
      <c r="AH3182" s="650"/>
      <c r="AI3182" s="667"/>
    </row>
    <row r="3183" spans="12:35" ht="45" customHeight="1" thickBot="1" x14ac:dyDescent="0.25">
      <c r="L3183" s="645"/>
      <c r="M3183" s="616"/>
      <c r="N3183" s="616"/>
      <c r="O3183" s="616"/>
      <c r="P3183" s="615"/>
      <c r="Q3183" s="616"/>
      <c r="R3183" s="663"/>
      <c r="S3183" s="459"/>
      <c r="T3183" s="459"/>
      <c r="U3183" s="459"/>
      <c r="V3183" s="459"/>
      <c r="W3183" s="459"/>
      <c r="X3183" s="459"/>
      <c r="Y3183" s="666"/>
      <c r="Z3183" s="664"/>
      <c r="AA3183" s="665"/>
      <c r="AB3183" s="665"/>
      <c r="AC3183" s="665"/>
      <c r="AD3183" s="665"/>
      <c r="AE3183" s="665"/>
      <c r="AF3183" s="649"/>
      <c r="AG3183" s="650"/>
      <c r="AH3183" s="650"/>
      <c r="AI3183" s="667"/>
    </row>
    <row r="3184" spans="12:35" ht="45" customHeight="1" thickBot="1" x14ac:dyDescent="0.25">
      <c r="L3184" s="645"/>
      <c r="M3184" s="616"/>
      <c r="N3184" s="616"/>
      <c r="O3184" s="616"/>
      <c r="P3184" s="615"/>
      <c r="Q3184" s="616"/>
      <c r="R3184" s="663"/>
      <c r="S3184" s="459"/>
      <c r="T3184" s="459"/>
      <c r="U3184" s="459"/>
      <c r="V3184" s="459"/>
      <c r="W3184" s="459"/>
      <c r="X3184" s="459"/>
      <c r="Y3184" s="666"/>
      <c r="Z3184" s="664"/>
      <c r="AA3184" s="665"/>
      <c r="AB3184" s="665"/>
      <c r="AC3184" s="665"/>
      <c r="AD3184" s="665"/>
      <c r="AE3184" s="665"/>
      <c r="AF3184" s="649"/>
      <c r="AG3184" s="650"/>
      <c r="AH3184" s="650"/>
      <c r="AI3184" s="667"/>
    </row>
    <row r="3185" spans="12:35" ht="45" customHeight="1" thickBot="1" x14ac:dyDescent="0.25">
      <c r="L3185" s="645"/>
      <c r="M3185" s="616"/>
      <c r="N3185" s="616"/>
      <c r="O3185" s="616"/>
      <c r="P3185" s="615"/>
      <c r="Q3185" s="616"/>
      <c r="R3185" s="663"/>
      <c r="S3185" s="459"/>
      <c r="T3185" s="459"/>
      <c r="U3185" s="459"/>
      <c r="V3185" s="459"/>
      <c r="W3185" s="459"/>
      <c r="X3185" s="459"/>
      <c r="Y3185" s="666"/>
      <c r="Z3185" s="664"/>
      <c r="AA3185" s="665"/>
      <c r="AB3185" s="665"/>
      <c r="AC3185" s="665"/>
      <c r="AD3185" s="665"/>
      <c r="AE3185" s="665"/>
      <c r="AF3185" s="649"/>
      <c r="AG3185" s="650"/>
      <c r="AH3185" s="650"/>
      <c r="AI3185" s="667"/>
    </row>
    <row r="3186" spans="12:35" ht="45" customHeight="1" thickBot="1" x14ac:dyDescent="0.25">
      <c r="L3186" s="645"/>
      <c r="M3186" s="616"/>
      <c r="N3186" s="616"/>
      <c r="O3186" s="616"/>
      <c r="P3186" s="615"/>
      <c r="Q3186" s="616"/>
      <c r="R3186" s="663"/>
      <c r="S3186" s="459"/>
      <c r="T3186" s="459"/>
      <c r="U3186" s="459"/>
      <c r="V3186" s="459"/>
      <c r="W3186" s="459"/>
      <c r="X3186" s="459"/>
      <c r="Y3186" s="666"/>
      <c r="Z3186" s="664"/>
      <c r="AA3186" s="665"/>
      <c r="AB3186" s="665"/>
      <c r="AC3186" s="665"/>
      <c r="AD3186" s="665"/>
      <c r="AE3186" s="665"/>
      <c r="AF3186" s="649"/>
      <c r="AG3186" s="650"/>
      <c r="AH3186" s="650"/>
      <c r="AI3186" s="667"/>
    </row>
    <row r="3187" spans="12:35" ht="45" customHeight="1" thickBot="1" x14ac:dyDescent="0.25">
      <c r="L3187" s="645"/>
      <c r="M3187" s="616"/>
      <c r="N3187" s="616"/>
      <c r="O3187" s="616"/>
      <c r="P3187" s="615"/>
      <c r="Q3187" s="616"/>
      <c r="R3187" s="663"/>
      <c r="S3187" s="459"/>
      <c r="T3187" s="459"/>
      <c r="U3187" s="459"/>
      <c r="V3187" s="459"/>
      <c r="W3187" s="459"/>
      <c r="X3187" s="459"/>
      <c r="Y3187" s="666"/>
      <c r="Z3187" s="664"/>
      <c r="AA3187" s="665"/>
      <c r="AB3187" s="665"/>
      <c r="AC3187" s="665"/>
      <c r="AD3187" s="665"/>
      <c r="AE3187" s="665"/>
      <c r="AF3187" s="649"/>
      <c r="AG3187" s="650"/>
      <c r="AH3187" s="650"/>
      <c r="AI3187" s="667"/>
    </row>
    <row r="3188" spans="12:35" ht="45" customHeight="1" thickBot="1" x14ac:dyDescent="0.25">
      <c r="L3188" s="645"/>
      <c r="M3188" s="616"/>
      <c r="N3188" s="616"/>
      <c r="O3188" s="616"/>
      <c r="P3188" s="615"/>
      <c r="Q3188" s="616"/>
      <c r="R3188" s="663"/>
      <c r="S3188" s="459"/>
      <c r="T3188" s="459"/>
      <c r="U3188" s="459"/>
      <c r="V3188" s="459"/>
      <c r="W3188" s="459"/>
      <c r="X3188" s="459"/>
      <c r="Y3188" s="666"/>
      <c r="Z3188" s="664"/>
      <c r="AA3188" s="665"/>
      <c r="AB3188" s="665"/>
      <c r="AC3188" s="665"/>
      <c r="AD3188" s="665"/>
      <c r="AE3188" s="665"/>
      <c r="AF3188" s="649"/>
      <c r="AG3188" s="650"/>
      <c r="AH3188" s="650"/>
      <c r="AI3188" s="667"/>
    </row>
    <row r="3189" spans="12:35" ht="45" customHeight="1" thickBot="1" x14ac:dyDescent="0.25">
      <c r="L3189" s="645"/>
      <c r="M3189" s="616"/>
      <c r="N3189" s="616"/>
      <c r="O3189" s="616"/>
      <c r="P3189" s="615"/>
      <c r="Q3189" s="616"/>
      <c r="R3189" s="663"/>
      <c r="S3189" s="459"/>
      <c r="T3189" s="459"/>
      <c r="U3189" s="459"/>
      <c r="V3189" s="459"/>
      <c r="W3189" s="459"/>
      <c r="X3189" s="459"/>
      <c r="Y3189" s="666"/>
      <c r="Z3189" s="664"/>
      <c r="AA3189" s="665"/>
      <c r="AB3189" s="665"/>
      <c r="AC3189" s="665"/>
      <c r="AD3189" s="665"/>
      <c r="AE3189" s="665"/>
      <c r="AF3189" s="649"/>
      <c r="AG3189" s="650"/>
      <c r="AH3189" s="650"/>
      <c r="AI3189" s="667"/>
    </row>
    <row r="3190" spans="12:35" ht="45" customHeight="1" thickBot="1" x14ac:dyDescent="0.25">
      <c r="L3190" s="645"/>
      <c r="M3190" s="616"/>
      <c r="N3190" s="616"/>
      <c r="O3190" s="616"/>
      <c r="P3190" s="615"/>
      <c r="Q3190" s="616"/>
      <c r="R3190" s="663"/>
      <c r="S3190" s="459"/>
      <c r="T3190" s="459"/>
      <c r="U3190" s="459"/>
      <c r="V3190" s="459"/>
      <c r="W3190" s="459"/>
      <c r="X3190" s="459"/>
      <c r="Y3190" s="666"/>
      <c r="Z3190" s="664"/>
      <c r="AA3190" s="665"/>
      <c r="AB3190" s="665"/>
      <c r="AC3190" s="665"/>
      <c r="AD3190" s="665"/>
      <c r="AE3190" s="665"/>
      <c r="AF3190" s="649"/>
      <c r="AG3190" s="650"/>
      <c r="AH3190" s="650"/>
      <c r="AI3190" s="667"/>
    </row>
    <row r="3191" spans="12:35" ht="45" customHeight="1" thickBot="1" x14ac:dyDescent="0.25">
      <c r="L3191" s="645"/>
      <c r="M3191" s="616"/>
      <c r="N3191" s="616"/>
      <c r="O3191" s="616"/>
      <c r="P3191" s="615"/>
      <c r="Q3191" s="616"/>
      <c r="R3191" s="663"/>
      <c r="S3191" s="459"/>
      <c r="T3191" s="459"/>
      <c r="U3191" s="459"/>
      <c r="V3191" s="459"/>
      <c r="W3191" s="459"/>
      <c r="X3191" s="459"/>
      <c r="Y3191" s="666"/>
      <c r="Z3191" s="664"/>
      <c r="AA3191" s="665"/>
      <c r="AB3191" s="665"/>
      <c r="AC3191" s="665"/>
      <c r="AD3191" s="665"/>
      <c r="AE3191" s="665"/>
      <c r="AF3191" s="649"/>
      <c r="AG3191" s="650"/>
      <c r="AH3191" s="650"/>
      <c r="AI3191" s="667"/>
    </row>
    <row r="3192" spans="12:35" ht="45" customHeight="1" thickBot="1" x14ac:dyDescent="0.25">
      <c r="L3192" s="645"/>
      <c r="M3192" s="616"/>
      <c r="N3192" s="616"/>
      <c r="O3192" s="616"/>
      <c r="P3192" s="615"/>
      <c r="Q3192" s="616"/>
      <c r="R3192" s="663"/>
      <c r="S3192" s="459"/>
      <c r="T3192" s="459"/>
      <c r="U3192" s="459"/>
      <c r="V3192" s="459"/>
      <c r="W3192" s="459"/>
      <c r="X3192" s="459"/>
      <c r="Y3192" s="666"/>
      <c r="Z3192" s="664"/>
      <c r="AA3192" s="665"/>
      <c r="AB3192" s="665"/>
      <c r="AC3192" s="665"/>
      <c r="AD3192" s="665"/>
      <c r="AE3192" s="665"/>
      <c r="AF3192" s="649"/>
      <c r="AG3192" s="650"/>
      <c r="AH3192" s="650"/>
      <c r="AI3192" s="667"/>
    </row>
    <row r="3193" spans="12:35" ht="45" customHeight="1" thickBot="1" x14ac:dyDescent="0.25">
      <c r="L3193" s="645"/>
      <c r="M3193" s="616"/>
      <c r="N3193" s="616"/>
      <c r="O3193" s="616"/>
      <c r="P3193" s="615"/>
      <c r="Q3193" s="616"/>
      <c r="R3193" s="663"/>
      <c r="S3193" s="459"/>
      <c r="T3193" s="459"/>
      <c r="U3193" s="459"/>
      <c r="V3193" s="459"/>
      <c r="W3193" s="459"/>
      <c r="X3193" s="459"/>
      <c r="Y3193" s="666"/>
      <c r="Z3193" s="664"/>
      <c r="AA3193" s="665"/>
      <c r="AB3193" s="665"/>
      <c r="AC3193" s="665"/>
      <c r="AD3193" s="665"/>
      <c r="AE3193" s="665"/>
      <c r="AF3193" s="649"/>
      <c r="AG3193" s="650"/>
      <c r="AH3193" s="650"/>
      <c r="AI3193" s="667"/>
    </row>
    <row r="3194" spans="12:35" ht="45" customHeight="1" thickBot="1" x14ac:dyDescent="0.25">
      <c r="L3194" s="645"/>
      <c r="M3194" s="616"/>
      <c r="N3194" s="616"/>
      <c r="O3194" s="616"/>
      <c r="P3194" s="615"/>
      <c r="Q3194" s="616"/>
      <c r="R3194" s="663"/>
      <c r="S3194" s="459"/>
      <c r="T3194" s="459"/>
      <c r="U3194" s="459"/>
      <c r="V3194" s="459"/>
      <c r="W3194" s="459"/>
      <c r="X3194" s="459"/>
      <c r="Y3194" s="666"/>
      <c r="Z3194" s="664"/>
      <c r="AA3194" s="665"/>
      <c r="AB3194" s="665"/>
      <c r="AC3194" s="665"/>
      <c r="AD3194" s="665"/>
      <c r="AE3194" s="665"/>
      <c r="AF3194" s="649"/>
      <c r="AG3194" s="650"/>
      <c r="AH3194" s="650"/>
      <c r="AI3194" s="667"/>
    </row>
    <row r="3195" spans="12:35" ht="45" customHeight="1" thickBot="1" x14ac:dyDescent="0.25">
      <c r="L3195" s="645"/>
      <c r="M3195" s="616"/>
      <c r="N3195" s="616"/>
      <c r="O3195" s="616"/>
      <c r="P3195" s="615"/>
      <c r="Q3195" s="616"/>
      <c r="R3195" s="663"/>
      <c r="S3195" s="459"/>
      <c r="T3195" s="459"/>
      <c r="U3195" s="459"/>
      <c r="V3195" s="459"/>
      <c r="W3195" s="459"/>
      <c r="X3195" s="459"/>
      <c r="Y3195" s="666"/>
      <c r="Z3195" s="664"/>
      <c r="AA3195" s="665"/>
      <c r="AB3195" s="665"/>
      <c r="AC3195" s="665"/>
      <c r="AD3195" s="665"/>
      <c r="AE3195" s="665"/>
      <c r="AF3195" s="649"/>
      <c r="AG3195" s="650"/>
      <c r="AH3195" s="650"/>
      <c r="AI3195" s="667"/>
    </row>
    <row r="3196" spans="12:35" ht="45" customHeight="1" thickBot="1" x14ac:dyDescent="0.25">
      <c r="L3196" s="645"/>
      <c r="M3196" s="616"/>
      <c r="N3196" s="616"/>
      <c r="O3196" s="616"/>
      <c r="P3196" s="615"/>
      <c r="Q3196" s="616"/>
      <c r="R3196" s="663"/>
      <c r="S3196" s="459"/>
      <c r="T3196" s="459"/>
      <c r="U3196" s="459"/>
      <c r="V3196" s="459"/>
      <c r="W3196" s="459"/>
      <c r="X3196" s="459"/>
      <c r="Y3196" s="666"/>
      <c r="Z3196" s="664"/>
      <c r="AA3196" s="665"/>
      <c r="AB3196" s="665"/>
      <c r="AC3196" s="665"/>
      <c r="AD3196" s="665"/>
      <c r="AE3196" s="665"/>
      <c r="AF3196" s="649"/>
      <c r="AG3196" s="650"/>
      <c r="AH3196" s="650"/>
      <c r="AI3196" s="667"/>
    </row>
    <row r="3197" spans="12:35" ht="45" customHeight="1" thickBot="1" x14ac:dyDescent="0.25">
      <c r="L3197" s="645"/>
      <c r="M3197" s="616"/>
      <c r="N3197" s="616"/>
      <c r="O3197" s="616"/>
      <c r="P3197" s="615"/>
      <c r="Q3197" s="616"/>
      <c r="R3197" s="663"/>
      <c r="S3197" s="459"/>
      <c r="T3197" s="459"/>
      <c r="U3197" s="459"/>
      <c r="V3197" s="459"/>
      <c r="W3197" s="459"/>
      <c r="X3197" s="459"/>
      <c r="Y3197" s="666"/>
      <c r="Z3197" s="664"/>
      <c r="AA3197" s="665"/>
      <c r="AB3197" s="665"/>
      <c r="AC3197" s="665"/>
      <c r="AD3197" s="665"/>
      <c r="AE3197" s="665"/>
      <c r="AF3197" s="649"/>
      <c r="AG3197" s="650"/>
      <c r="AH3197" s="650"/>
      <c r="AI3197" s="667"/>
    </row>
    <row r="3198" spans="12:35" ht="45" customHeight="1" thickBot="1" x14ac:dyDescent="0.25">
      <c r="L3198" s="645"/>
      <c r="M3198" s="616"/>
      <c r="N3198" s="616"/>
      <c r="O3198" s="616"/>
      <c r="P3198" s="615"/>
      <c r="Q3198" s="616"/>
      <c r="R3198" s="663"/>
      <c r="S3198" s="459"/>
      <c r="T3198" s="459"/>
      <c r="U3198" s="459"/>
      <c r="V3198" s="459"/>
      <c r="W3198" s="459"/>
      <c r="X3198" s="459"/>
      <c r="Y3198" s="666"/>
      <c r="Z3198" s="664"/>
      <c r="AA3198" s="665"/>
      <c r="AB3198" s="665"/>
      <c r="AC3198" s="665"/>
      <c r="AD3198" s="665"/>
      <c r="AE3198" s="665"/>
      <c r="AF3198" s="649"/>
      <c r="AG3198" s="650"/>
      <c r="AH3198" s="650"/>
      <c r="AI3198" s="667"/>
    </row>
    <row r="3199" spans="12:35" ht="45" customHeight="1" thickBot="1" x14ac:dyDescent="0.25">
      <c r="L3199" s="645"/>
      <c r="M3199" s="616"/>
      <c r="N3199" s="616"/>
      <c r="O3199" s="616"/>
      <c r="P3199" s="615"/>
      <c r="Q3199" s="616"/>
      <c r="R3199" s="663"/>
      <c r="S3199" s="459"/>
      <c r="T3199" s="459"/>
      <c r="U3199" s="459"/>
      <c r="V3199" s="459"/>
      <c r="W3199" s="459"/>
      <c r="X3199" s="459"/>
      <c r="Y3199" s="666"/>
      <c r="Z3199" s="664"/>
      <c r="AA3199" s="665"/>
      <c r="AB3199" s="665"/>
      <c r="AC3199" s="665"/>
      <c r="AD3199" s="665"/>
      <c r="AE3199" s="665"/>
      <c r="AF3199" s="649"/>
      <c r="AG3199" s="650"/>
      <c r="AH3199" s="650"/>
      <c r="AI3199" s="667"/>
    </row>
    <row r="3200" spans="12:35" ht="45" customHeight="1" thickBot="1" x14ac:dyDescent="0.25">
      <c r="L3200" s="645"/>
      <c r="M3200" s="616"/>
      <c r="N3200" s="616"/>
      <c r="O3200" s="616"/>
      <c r="P3200" s="615"/>
      <c r="Q3200" s="616"/>
      <c r="R3200" s="663"/>
      <c r="S3200" s="459"/>
      <c r="T3200" s="459"/>
      <c r="U3200" s="459"/>
      <c r="V3200" s="459"/>
      <c r="W3200" s="459"/>
      <c r="X3200" s="459"/>
      <c r="Y3200" s="666"/>
      <c r="Z3200" s="664"/>
      <c r="AA3200" s="665"/>
      <c r="AB3200" s="665"/>
      <c r="AC3200" s="665"/>
      <c r="AD3200" s="665"/>
      <c r="AE3200" s="665"/>
      <c r="AF3200" s="649"/>
      <c r="AG3200" s="650"/>
      <c r="AH3200" s="650"/>
      <c r="AI3200" s="667"/>
    </row>
    <row r="3201" spans="12:35" ht="45" customHeight="1" thickBot="1" x14ac:dyDescent="0.25">
      <c r="L3201" s="645"/>
      <c r="M3201" s="616"/>
      <c r="N3201" s="616"/>
      <c r="O3201" s="616"/>
      <c r="P3201" s="615"/>
      <c r="Q3201" s="616"/>
      <c r="R3201" s="663"/>
      <c r="S3201" s="459"/>
      <c r="T3201" s="459"/>
      <c r="U3201" s="459"/>
      <c r="V3201" s="459"/>
      <c r="W3201" s="459"/>
      <c r="X3201" s="459"/>
      <c r="Y3201" s="666"/>
      <c r="Z3201" s="664"/>
      <c r="AA3201" s="665"/>
      <c r="AB3201" s="665"/>
      <c r="AC3201" s="665"/>
      <c r="AD3201" s="665"/>
      <c r="AE3201" s="665"/>
      <c r="AF3201" s="649"/>
      <c r="AG3201" s="650"/>
      <c r="AH3201" s="650"/>
      <c r="AI3201" s="667"/>
    </row>
    <row r="3202" spans="12:35" ht="45" customHeight="1" thickBot="1" x14ac:dyDescent="0.25">
      <c r="L3202" s="645"/>
      <c r="M3202" s="616"/>
      <c r="N3202" s="616"/>
      <c r="O3202" s="616"/>
      <c r="P3202" s="615"/>
      <c r="Q3202" s="616"/>
      <c r="R3202" s="663"/>
      <c r="S3202" s="459"/>
      <c r="T3202" s="459"/>
      <c r="U3202" s="459"/>
      <c r="V3202" s="459"/>
      <c r="W3202" s="459"/>
      <c r="X3202" s="459"/>
      <c r="Y3202" s="666"/>
      <c r="Z3202" s="664"/>
      <c r="AA3202" s="665"/>
      <c r="AB3202" s="665"/>
      <c r="AC3202" s="665"/>
      <c r="AD3202" s="665"/>
      <c r="AE3202" s="665"/>
      <c r="AF3202" s="649"/>
      <c r="AG3202" s="650"/>
      <c r="AH3202" s="650"/>
      <c r="AI3202" s="667"/>
    </row>
    <row r="3203" spans="12:35" ht="45" customHeight="1" thickBot="1" x14ac:dyDescent="0.25">
      <c r="L3203" s="645"/>
      <c r="M3203" s="616"/>
      <c r="N3203" s="616"/>
      <c r="O3203" s="616"/>
      <c r="P3203" s="615"/>
      <c r="Q3203" s="616"/>
      <c r="R3203" s="663"/>
      <c r="S3203" s="459"/>
      <c r="T3203" s="459"/>
      <c r="U3203" s="459"/>
      <c r="V3203" s="459"/>
      <c r="W3203" s="459"/>
      <c r="X3203" s="459"/>
      <c r="Y3203" s="666"/>
      <c r="Z3203" s="664"/>
      <c r="AA3203" s="665"/>
      <c r="AB3203" s="665"/>
      <c r="AC3203" s="665"/>
      <c r="AD3203" s="665"/>
      <c r="AE3203" s="665"/>
      <c r="AF3203" s="649"/>
      <c r="AG3203" s="650"/>
      <c r="AH3203" s="650"/>
      <c r="AI3203" s="667"/>
    </row>
    <row r="3204" spans="12:35" ht="45" customHeight="1" thickBot="1" x14ac:dyDescent="0.25">
      <c r="L3204" s="645"/>
      <c r="M3204" s="616"/>
      <c r="N3204" s="616"/>
      <c r="O3204" s="616"/>
      <c r="P3204" s="615"/>
      <c r="Q3204" s="616"/>
      <c r="R3204" s="663"/>
      <c r="S3204" s="459"/>
      <c r="T3204" s="459"/>
      <c r="U3204" s="459"/>
      <c r="V3204" s="459"/>
      <c r="W3204" s="459"/>
      <c r="X3204" s="459"/>
      <c r="Y3204" s="666"/>
      <c r="Z3204" s="664"/>
      <c r="AA3204" s="665"/>
      <c r="AB3204" s="665"/>
      <c r="AC3204" s="665"/>
      <c r="AD3204" s="665"/>
      <c r="AE3204" s="665"/>
      <c r="AF3204" s="649"/>
      <c r="AG3204" s="650"/>
      <c r="AH3204" s="650"/>
      <c r="AI3204" s="667"/>
    </row>
    <row r="3205" spans="12:35" ht="45" customHeight="1" thickBot="1" x14ac:dyDescent="0.25">
      <c r="L3205" s="645"/>
      <c r="M3205" s="616"/>
      <c r="N3205" s="616"/>
      <c r="O3205" s="616"/>
      <c r="P3205" s="615"/>
      <c r="Q3205" s="616"/>
      <c r="R3205" s="663"/>
      <c r="S3205" s="459"/>
      <c r="T3205" s="459"/>
      <c r="U3205" s="459"/>
      <c r="V3205" s="459"/>
      <c r="W3205" s="459"/>
      <c r="X3205" s="459"/>
      <c r="Y3205" s="666"/>
      <c r="Z3205" s="664"/>
      <c r="AA3205" s="665"/>
      <c r="AB3205" s="665"/>
      <c r="AC3205" s="665"/>
      <c r="AD3205" s="665"/>
      <c r="AE3205" s="665"/>
      <c r="AF3205" s="649"/>
      <c r="AG3205" s="650"/>
      <c r="AH3205" s="650"/>
      <c r="AI3205" s="667"/>
    </row>
    <row r="3206" spans="12:35" ht="45" customHeight="1" thickBot="1" x14ac:dyDescent="0.25">
      <c r="L3206" s="645"/>
      <c r="M3206" s="616"/>
      <c r="N3206" s="616"/>
      <c r="O3206" s="616"/>
      <c r="P3206" s="615"/>
      <c r="Q3206" s="616"/>
      <c r="R3206" s="663"/>
      <c r="S3206" s="459"/>
      <c r="T3206" s="459"/>
      <c r="U3206" s="459"/>
      <c r="V3206" s="459"/>
      <c r="W3206" s="459"/>
      <c r="X3206" s="459"/>
      <c r="Y3206" s="666"/>
      <c r="Z3206" s="664"/>
      <c r="AA3206" s="665"/>
      <c r="AB3206" s="665"/>
      <c r="AC3206" s="665"/>
      <c r="AD3206" s="665"/>
      <c r="AE3206" s="665"/>
      <c r="AF3206" s="649"/>
      <c r="AG3206" s="650"/>
      <c r="AH3206" s="650"/>
      <c r="AI3206" s="667"/>
    </row>
    <row r="3207" spans="12:35" ht="45" customHeight="1" thickBot="1" x14ac:dyDescent="0.25">
      <c r="L3207" s="645"/>
      <c r="M3207" s="616"/>
      <c r="N3207" s="616"/>
      <c r="O3207" s="616"/>
      <c r="P3207" s="615"/>
      <c r="Q3207" s="616"/>
      <c r="R3207" s="663"/>
      <c r="S3207" s="459"/>
      <c r="T3207" s="459"/>
      <c r="U3207" s="459"/>
      <c r="V3207" s="459"/>
      <c r="W3207" s="459"/>
      <c r="X3207" s="459"/>
      <c r="Y3207" s="666"/>
      <c r="Z3207" s="664"/>
      <c r="AA3207" s="665"/>
      <c r="AB3207" s="665"/>
      <c r="AC3207" s="665"/>
      <c r="AD3207" s="665"/>
      <c r="AE3207" s="665"/>
      <c r="AF3207" s="649"/>
      <c r="AG3207" s="650"/>
      <c r="AH3207" s="650"/>
      <c r="AI3207" s="667"/>
    </row>
    <row r="3208" spans="12:35" ht="45" customHeight="1" thickBot="1" x14ac:dyDescent="0.25">
      <c r="L3208" s="645"/>
      <c r="M3208" s="616"/>
      <c r="N3208" s="616"/>
      <c r="O3208" s="616"/>
      <c r="P3208" s="615"/>
      <c r="Q3208" s="616"/>
      <c r="R3208" s="663"/>
      <c r="S3208" s="459"/>
      <c r="T3208" s="459"/>
      <c r="U3208" s="459"/>
      <c r="V3208" s="459"/>
      <c r="W3208" s="459"/>
      <c r="X3208" s="459"/>
      <c r="Y3208" s="666"/>
      <c r="Z3208" s="664"/>
      <c r="AA3208" s="665"/>
      <c r="AB3208" s="665"/>
      <c r="AC3208" s="665"/>
      <c r="AD3208" s="665"/>
      <c r="AE3208" s="665"/>
      <c r="AF3208" s="649"/>
      <c r="AG3208" s="650"/>
      <c r="AH3208" s="650"/>
      <c r="AI3208" s="667"/>
    </row>
    <row r="3209" spans="12:35" ht="45" customHeight="1" thickBot="1" x14ac:dyDescent="0.25">
      <c r="L3209" s="645"/>
      <c r="M3209" s="616"/>
      <c r="N3209" s="616"/>
      <c r="O3209" s="616"/>
      <c r="P3209" s="615"/>
      <c r="Q3209" s="616"/>
      <c r="R3209" s="663"/>
      <c r="S3209" s="459"/>
      <c r="T3209" s="459"/>
      <c r="U3209" s="459"/>
      <c r="V3209" s="459"/>
      <c r="W3209" s="459"/>
      <c r="X3209" s="459"/>
      <c r="Y3209" s="666"/>
      <c r="Z3209" s="664"/>
      <c r="AA3209" s="665"/>
      <c r="AB3209" s="665"/>
      <c r="AC3209" s="665"/>
      <c r="AD3209" s="665"/>
      <c r="AE3209" s="665"/>
      <c r="AF3209" s="649"/>
      <c r="AG3209" s="650"/>
      <c r="AH3209" s="650"/>
      <c r="AI3209" s="667"/>
    </row>
    <row r="3210" spans="12:35" ht="45" customHeight="1" thickBot="1" x14ac:dyDescent="0.25">
      <c r="L3210" s="645"/>
      <c r="M3210" s="616"/>
      <c r="N3210" s="616"/>
      <c r="O3210" s="616"/>
      <c r="P3210" s="615"/>
      <c r="Q3210" s="616"/>
      <c r="R3210" s="663"/>
      <c r="S3210" s="459"/>
      <c r="T3210" s="459"/>
      <c r="U3210" s="459"/>
      <c r="V3210" s="459"/>
      <c r="W3210" s="459"/>
      <c r="X3210" s="459"/>
      <c r="Y3210" s="666"/>
      <c r="Z3210" s="664"/>
      <c r="AA3210" s="665"/>
      <c r="AB3210" s="665"/>
      <c r="AC3210" s="665"/>
      <c r="AD3210" s="665"/>
      <c r="AE3210" s="665"/>
      <c r="AF3210" s="649"/>
      <c r="AG3210" s="650"/>
      <c r="AH3210" s="650"/>
      <c r="AI3210" s="667"/>
    </row>
    <row r="3211" spans="12:35" ht="45" customHeight="1" thickBot="1" x14ac:dyDescent="0.25">
      <c r="L3211" s="645"/>
      <c r="M3211" s="616"/>
      <c r="N3211" s="616"/>
      <c r="O3211" s="616"/>
      <c r="P3211" s="615"/>
      <c r="Q3211" s="616"/>
      <c r="R3211" s="663"/>
      <c r="S3211" s="459"/>
      <c r="T3211" s="459"/>
      <c r="U3211" s="459"/>
      <c r="V3211" s="459"/>
      <c r="W3211" s="459"/>
      <c r="X3211" s="459"/>
      <c r="Y3211" s="666"/>
      <c r="Z3211" s="664"/>
      <c r="AA3211" s="665"/>
      <c r="AB3211" s="665"/>
      <c r="AC3211" s="665"/>
      <c r="AD3211" s="665"/>
      <c r="AE3211" s="665"/>
      <c r="AF3211" s="649"/>
      <c r="AG3211" s="650"/>
      <c r="AH3211" s="650"/>
      <c r="AI3211" s="667"/>
    </row>
    <row r="3212" spans="12:35" ht="45" customHeight="1" thickBot="1" x14ac:dyDescent="0.25">
      <c r="L3212" s="645"/>
      <c r="M3212" s="616"/>
      <c r="N3212" s="616"/>
      <c r="O3212" s="616"/>
      <c r="P3212" s="615"/>
      <c r="Q3212" s="616"/>
      <c r="R3212" s="663"/>
      <c r="S3212" s="459"/>
      <c r="T3212" s="459"/>
      <c r="U3212" s="459"/>
      <c r="V3212" s="459"/>
      <c r="W3212" s="459"/>
      <c r="X3212" s="459"/>
      <c r="Y3212" s="666"/>
      <c r="Z3212" s="664"/>
      <c r="AA3212" s="665"/>
      <c r="AB3212" s="665"/>
      <c r="AC3212" s="665"/>
      <c r="AD3212" s="665"/>
      <c r="AE3212" s="665"/>
      <c r="AF3212" s="649"/>
      <c r="AG3212" s="650"/>
      <c r="AH3212" s="650"/>
      <c r="AI3212" s="667"/>
    </row>
    <row r="3213" spans="12:35" ht="45" customHeight="1" thickBot="1" x14ac:dyDescent="0.25">
      <c r="L3213" s="645"/>
      <c r="M3213" s="616"/>
      <c r="N3213" s="616"/>
      <c r="O3213" s="616"/>
      <c r="P3213" s="615"/>
      <c r="Q3213" s="616"/>
      <c r="R3213" s="663"/>
      <c r="S3213" s="459"/>
      <c r="T3213" s="459"/>
      <c r="U3213" s="459"/>
      <c r="V3213" s="459"/>
      <c r="W3213" s="459"/>
      <c r="X3213" s="459"/>
      <c r="Y3213" s="666"/>
      <c r="Z3213" s="664"/>
      <c r="AA3213" s="665"/>
      <c r="AB3213" s="665"/>
      <c r="AC3213" s="665"/>
      <c r="AD3213" s="665"/>
      <c r="AE3213" s="665"/>
      <c r="AF3213" s="649"/>
      <c r="AG3213" s="650"/>
      <c r="AH3213" s="650"/>
      <c r="AI3213" s="667"/>
    </row>
    <row r="3214" spans="12:35" ht="45" customHeight="1" thickBot="1" x14ac:dyDescent="0.25">
      <c r="L3214" s="645"/>
      <c r="M3214" s="616"/>
      <c r="N3214" s="616"/>
      <c r="O3214" s="616"/>
      <c r="P3214" s="615"/>
      <c r="Q3214" s="616"/>
      <c r="R3214" s="663"/>
      <c r="S3214" s="459"/>
      <c r="T3214" s="459"/>
      <c r="U3214" s="459"/>
      <c r="V3214" s="459"/>
      <c r="W3214" s="459"/>
      <c r="X3214" s="459"/>
      <c r="Y3214" s="666"/>
      <c r="Z3214" s="664"/>
      <c r="AA3214" s="665"/>
      <c r="AB3214" s="665"/>
      <c r="AC3214" s="665"/>
      <c r="AD3214" s="665"/>
      <c r="AE3214" s="665"/>
      <c r="AF3214" s="649"/>
      <c r="AG3214" s="650"/>
      <c r="AH3214" s="650"/>
      <c r="AI3214" s="667"/>
    </row>
    <row r="3215" spans="12:35" ht="45" customHeight="1" thickBot="1" x14ac:dyDescent="0.25">
      <c r="L3215" s="645"/>
      <c r="M3215" s="616"/>
      <c r="N3215" s="616"/>
      <c r="O3215" s="616"/>
      <c r="P3215" s="615"/>
      <c r="Q3215" s="616"/>
      <c r="R3215" s="663"/>
      <c r="S3215" s="459"/>
      <c r="T3215" s="459"/>
      <c r="U3215" s="459"/>
      <c r="V3215" s="459"/>
      <c r="W3215" s="459"/>
      <c r="X3215" s="459"/>
      <c r="Y3215" s="666"/>
      <c r="Z3215" s="664"/>
      <c r="AA3215" s="665"/>
      <c r="AB3215" s="665"/>
      <c r="AC3215" s="665"/>
      <c r="AD3215" s="665"/>
      <c r="AE3215" s="665"/>
      <c r="AF3215" s="649"/>
      <c r="AG3215" s="650"/>
      <c r="AH3215" s="650"/>
      <c r="AI3215" s="667"/>
    </row>
    <row r="3216" spans="12:35" ht="45" customHeight="1" thickBot="1" x14ac:dyDescent="0.25">
      <c r="L3216" s="645"/>
      <c r="M3216" s="616"/>
      <c r="N3216" s="616"/>
      <c r="O3216" s="616"/>
      <c r="P3216" s="615"/>
      <c r="Q3216" s="616"/>
      <c r="R3216" s="663"/>
      <c r="S3216" s="459"/>
      <c r="T3216" s="459"/>
      <c r="U3216" s="459"/>
      <c r="V3216" s="459"/>
      <c r="W3216" s="459"/>
      <c r="X3216" s="459"/>
      <c r="Y3216" s="666"/>
      <c r="Z3216" s="664"/>
      <c r="AA3216" s="665"/>
      <c r="AB3216" s="665"/>
      <c r="AC3216" s="665"/>
      <c r="AD3216" s="665"/>
      <c r="AE3216" s="665"/>
      <c r="AF3216" s="649"/>
      <c r="AG3216" s="650"/>
      <c r="AH3216" s="650"/>
      <c r="AI3216" s="667"/>
    </row>
    <row r="3217" spans="12:35" ht="45" customHeight="1" thickBot="1" x14ac:dyDescent="0.25">
      <c r="L3217" s="645"/>
      <c r="M3217" s="616"/>
      <c r="N3217" s="616"/>
      <c r="O3217" s="616"/>
      <c r="P3217" s="615"/>
      <c r="Q3217" s="616"/>
      <c r="R3217" s="663"/>
      <c r="S3217" s="459"/>
      <c r="T3217" s="459"/>
      <c r="U3217" s="459"/>
      <c r="V3217" s="459"/>
      <c r="W3217" s="459"/>
      <c r="X3217" s="459"/>
      <c r="Y3217" s="666"/>
      <c r="Z3217" s="664"/>
      <c r="AA3217" s="665"/>
      <c r="AB3217" s="665"/>
      <c r="AC3217" s="665"/>
      <c r="AD3217" s="665"/>
      <c r="AE3217" s="665"/>
      <c r="AF3217" s="649"/>
      <c r="AG3217" s="650"/>
      <c r="AH3217" s="650"/>
      <c r="AI3217" s="667"/>
    </row>
    <row r="3218" spans="12:35" ht="45" customHeight="1" thickBot="1" x14ac:dyDescent="0.25">
      <c r="L3218" s="645"/>
      <c r="M3218" s="616"/>
      <c r="N3218" s="616"/>
      <c r="O3218" s="616"/>
      <c r="P3218" s="615"/>
      <c r="Q3218" s="616"/>
      <c r="R3218" s="663"/>
      <c r="S3218" s="459"/>
      <c r="T3218" s="459"/>
      <c r="U3218" s="459"/>
      <c r="V3218" s="459"/>
      <c r="W3218" s="459"/>
      <c r="X3218" s="459"/>
      <c r="Y3218" s="666"/>
      <c r="Z3218" s="664"/>
      <c r="AA3218" s="665"/>
      <c r="AB3218" s="665"/>
      <c r="AC3218" s="665"/>
      <c r="AD3218" s="665"/>
      <c r="AE3218" s="665"/>
      <c r="AF3218" s="649"/>
      <c r="AG3218" s="650"/>
      <c r="AH3218" s="650"/>
      <c r="AI3218" s="667"/>
    </row>
    <row r="3219" spans="12:35" ht="45" customHeight="1" thickBot="1" x14ac:dyDescent="0.25">
      <c r="L3219" s="645"/>
      <c r="M3219" s="616"/>
      <c r="N3219" s="616"/>
      <c r="O3219" s="616"/>
      <c r="P3219" s="615"/>
      <c r="Q3219" s="616"/>
      <c r="R3219" s="663"/>
      <c r="S3219" s="459"/>
      <c r="T3219" s="459"/>
      <c r="U3219" s="459"/>
      <c r="V3219" s="459"/>
      <c r="W3219" s="459"/>
      <c r="X3219" s="459"/>
      <c r="Y3219" s="666"/>
      <c r="Z3219" s="664"/>
      <c r="AA3219" s="665"/>
      <c r="AB3219" s="665"/>
      <c r="AC3219" s="665"/>
      <c r="AD3219" s="665"/>
      <c r="AE3219" s="665"/>
      <c r="AF3219" s="649"/>
      <c r="AG3219" s="650"/>
      <c r="AH3219" s="650"/>
      <c r="AI3219" s="667"/>
    </row>
    <row r="3220" spans="12:35" ht="45" customHeight="1" thickBot="1" x14ac:dyDescent="0.25">
      <c r="L3220" s="645"/>
      <c r="M3220" s="616"/>
      <c r="N3220" s="616"/>
      <c r="O3220" s="616"/>
      <c r="P3220" s="615"/>
      <c r="Q3220" s="616"/>
      <c r="R3220" s="663"/>
      <c r="S3220" s="459"/>
      <c r="T3220" s="459"/>
      <c r="U3220" s="459"/>
      <c r="V3220" s="459"/>
      <c r="W3220" s="459"/>
      <c r="X3220" s="459"/>
      <c r="Y3220" s="666"/>
      <c r="Z3220" s="664"/>
      <c r="AA3220" s="665"/>
      <c r="AB3220" s="665"/>
      <c r="AC3220" s="665"/>
      <c r="AD3220" s="665"/>
      <c r="AE3220" s="665"/>
      <c r="AF3220" s="649"/>
      <c r="AG3220" s="650"/>
      <c r="AH3220" s="650"/>
      <c r="AI3220" s="667"/>
    </row>
    <row r="3221" spans="12:35" ht="45" customHeight="1" thickBot="1" x14ac:dyDescent="0.25">
      <c r="L3221" s="645"/>
      <c r="M3221" s="616"/>
      <c r="N3221" s="616"/>
      <c r="O3221" s="616"/>
      <c r="P3221" s="615"/>
      <c r="Q3221" s="616"/>
      <c r="R3221" s="663"/>
      <c r="S3221" s="459"/>
      <c r="T3221" s="459"/>
      <c r="U3221" s="459"/>
      <c r="V3221" s="459"/>
      <c r="W3221" s="459"/>
      <c r="X3221" s="459"/>
      <c r="Y3221" s="666"/>
      <c r="Z3221" s="664"/>
      <c r="AA3221" s="665"/>
      <c r="AB3221" s="665"/>
      <c r="AC3221" s="665"/>
      <c r="AD3221" s="665"/>
      <c r="AE3221" s="665"/>
      <c r="AF3221" s="649"/>
      <c r="AG3221" s="650"/>
      <c r="AH3221" s="650"/>
      <c r="AI3221" s="667"/>
    </row>
    <row r="3222" spans="12:35" ht="45" customHeight="1" thickBot="1" x14ac:dyDescent="0.25">
      <c r="L3222" s="645"/>
      <c r="M3222" s="616"/>
      <c r="N3222" s="616"/>
      <c r="O3222" s="616"/>
      <c r="P3222" s="615"/>
      <c r="Q3222" s="616"/>
      <c r="R3222" s="663"/>
      <c r="S3222" s="459"/>
      <c r="T3222" s="459"/>
      <c r="U3222" s="459"/>
      <c r="V3222" s="459"/>
      <c r="W3222" s="459"/>
      <c r="X3222" s="459"/>
      <c r="Y3222" s="666"/>
      <c r="Z3222" s="664"/>
      <c r="AA3222" s="665"/>
      <c r="AB3222" s="665"/>
      <c r="AC3222" s="665"/>
      <c r="AD3222" s="665"/>
      <c r="AE3222" s="665"/>
      <c r="AF3222" s="649"/>
      <c r="AG3222" s="650"/>
      <c r="AH3222" s="650"/>
      <c r="AI3222" s="667"/>
    </row>
    <row r="3223" spans="12:35" ht="45" customHeight="1" thickBot="1" x14ac:dyDescent="0.25">
      <c r="L3223" s="645"/>
      <c r="M3223" s="616"/>
      <c r="N3223" s="616"/>
      <c r="O3223" s="616"/>
      <c r="P3223" s="615"/>
      <c r="Q3223" s="616"/>
      <c r="R3223" s="663"/>
      <c r="S3223" s="459"/>
      <c r="T3223" s="459"/>
      <c r="U3223" s="459"/>
      <c r="V3223" s="459"/>
      <c r="W3223" s="459"/>
      <c r="X3223" s="459"/>
      <c r="Y3223" s="666"/>
      <c r="Z3223" s="664"/>
      <c r="AA3223" s="665"/>
      <c r="AB3223" s="665"/>
      <c r="AC3223" s="665"/>
      <c r="AD3223" s="665"/>
      <c r="AE3223" s="665"/>
      <c r="AF3223" s="649"/>
      <c r="AG3223" s="650"/>
      <c r="AH3223" s="650"/>
      <c r="AI3223" s="667"/>
    </row>
    <row r="3224" spans="12:35" ht="45" customHeight="1" thickBot="1" x14ac:dyDescent="0.25">
      <c r="L3224" s="645"/>
      <c r="M3224" s="616"/>
      <c r="N3224" s="616"/>
      <c r="O3224" s="616"/>
      <c r="P3224" s="615"/>
      <c r="Q3224" s="616"/>
      <c r="R3224" s="663"/>
      <c r="S3224" s="459"/>
      <c r="T3224" s="459"/>
      <c r="U3224" s="459"/>
      <c r="V3224" s="459"/>
      <c r="W3224" s="459"/>
      <c r="X3224" s="459"/>
      <c r="Y3224" s="666"/>
      <c r="Z3224" s="664"/>
      <c r="AA3224" s="665"/>
      <c r="AB3224" s="665"/>
      <c r="AC3224" s="665"/>
      <c r="AD3224" s="665"/>
      <c r="AE3224" s="665"/>
      <c r="AF3224" s="649"/>
      <c r="AG3224" s="650"/>
      <c r="AH3224" s="650"/>
      <c r="AI3224" s="667"/>
    </row>
    <row r="3225" spans="12:35" ht="45" customHeight="1" thickBot="1" x14ac:dyDescent="0.25">
      <c r="L3225" s="645"/>
      <c r="M3225" s="616"/>
      <c r="N3225" s="616"/>
      <c r="O3225" s="616"/>
      <c r="P3225" s="615"/>
      <c r="Q3225" s="616"/>
      <c r="R3225" s="663"/>
      <c r="S3225" s="459"/>
      <c r="T3225" s="459"/>
      <c r="U3225" s="459"/>
      <c r="V3225" s="459"/>
      <c r="W3225" s="459"/>
      <c r="X3225" s="459"/>
      <c r="Y3225" s="666"/>
      <c r="Z3225" s="664"/>
      <c r="AA3225" s="665"/>
      <c r="AB3225" s="665"/>
      <c r="AC3225" s="665"/>
      <c r="AD3225" s="665"/>
      <c r="AE3225" s="665"/>
      <c r="AF3225" s="649"/>
      <c r="AG3225" s="650"/>
      <c r="AH3225" s="650"/>
      <c r="AI3225" s="667"/>
    </row>
    <row r="3226" spans="12:35" ht="45" customHeight="1" thickBot="1" x14ac:dyDescent="0.25">
      <c r="L3226" s="645"/>
      <c r="M3226" s="616"/>
      <c r="N3226" s="616"/>
      <c r="O3226" s="616"/>
      <c r="P3226" s="615"/>
      <c r="Q3226" s="616"/>
      <c r="R3226" s="663"/>
      <c r="S3226" s="459"/>
      <c r="T3226" s="459"/>
      <c r="U3226" s="459"/>
      <c r="V3226" s="459"/>
      <c r="W3226" s="459"/>
      <c r="X3226" s="459"/>
      <c r="Y3226" s="666"/>
      <c r="Z3226" s="664"/>
      <c r="AA3226" s="665"/>
      <c r="AB3226" s="665"/>
      <c r="AC3226" s="665"/>
      <c r="AD3226" s="665"/>
      <c r="AE3226" s="665"/>
      <c r="AF3226" s="649"/>
      <c r="AG3226" s="650"/>
      <c r="AH3226" s="650"/>
      <c r="AI3226" s="667"/>
    </row>
    <row r="3227" spans="12:35" ht="45" customHeight="1" thickBot="1" x14ac:dyDescent="0.25">
      <c r="L3227" s="645"/>
      <c r="M3227" s="616"/>
      <c r="N3227" s="616"/>
      <c r="O3227" s="616"/>
      <c r="P3227" s="615"/>
      <c r="Q3227" s="616"/>
      <c r="R3227" s="663"/>
      <c r="S3227" s="459"/>
      <c r="T3227" s="459"/>
      <c r="U3227" s="459"/>
      <c r="V3227" s="459"/>
      <c r="W3227" s="459"/>
      <c r="X3227" s="459"/>
      <c r="Y3227" s="666"/>
      <c r="Z3227" s="664"/>
      <c r="AA3227" s="665"/>
      <c r="AB3227" s="665"/>
      <c r="AC3227" s="665"/>
      <c r="AD3227" s="665"/>
      <c r="AE3227" s="665"/>
      <c r="AF3227" s="649"/>
      <c r="AG3227" s="650"/>
      <c r="AH3227" s="650"/>
      <c r="AI3227" s="667"/>
    </row>
    <row r="3228" spans="12:35" ht="45" customHeight="1" thickBot="1" x14ac:dyDescent="0.25">
      <c r="L3228" s="645"/>
      <c r="M3228" s="616"/>
      <c r="N3228" s="616"/>
      <c r="O3228" s="616"/>
      <c r="P3228" s="615"/>
      <c r="Q3228" s="616"/>
      <c r="R3228" s="663"/>
      <c r="S3228" s="459"/>
      <c r="T3228" s="459"/>
      <c r="U3228" s="459"/>
      <c r="V3228" s="459"/>
      <c r="W3228" s="459"/>
      <c r="X3228" s="459"/>
      <c r="Y3228" s="666"/>
      <c r="Z3228" s="664"/>
      <c r="AA3228" s="665"/>
      <c r="AB3228" s="665"/>
      <c r="AC3228" s="665"/>
      <c r="AD3228" s="665"/>
      <c r="AE3228" s="665"/>
      <c r="AF3228" s="649"/>
      <c r="AG3228" s="650"/>
      <c r="AH3228" s="650"/>
      <c r="AI3228" s="667"/>
    </row>
    <row r="3229" spans="12:35" ht="45" customHeight="1" thickBot="1" x14ac:dyDescent="0.25">
      <c r="L3229" s="645"/>
      <c r="M3229" s="616"/>
      <c r="N3229" s="616"/>
      <c r="O3229" s="616"/>
      <c r="P3229" s="615"/>
      <c r="Q3229" s="616"/>
      <c r="R3229" s="663"/>
      <c r="S3229" s="459"/>
      <c r="T3229" s="459"/>
      <c r="U3229" s="459"/>
      <c r="V3229" s="459"/>
      <c r="W3229" s="459"/>
      <c r="X3229" s="459"/>
      <c r="Y3229" s="666"/>
      <c r="Z3229" s="664"/>
      <c r="AA3229" s="665"/>
      <c r="AB3229" s="665"/>
      <c r="AC3229" s="665"/>
      <c r="AD3229" s="665"/>
      <c r="AE3229" s="665"/>
      <c r="AF3229" s="649"/>
      <c r="AG3229" s="650"/>
      <c r="AH3229" s="650"/>
      <c r="AI3229" s="667"/>
    </row>
    <row r="3230" spans="12:35" ht="45" customHeight="1" thickBot="1" x14ac:dyDescent="0.25">
      <c r="L3230" s="645"/>
      <c r="M3230" s="616"/>
      <c r="N3230" s="616"/>
      <c r="O3230" s="616"/>
      <c r="P3230" s="615"/>
      <c r="Q3230" s="616"/>
      <c r="R3230" s="663"/>
      <c r="S3230" s="459"/>
      <c r="T3230" s="459"/>
      <c r="U3230" s="459"/>
      <c r="V3230" s="459"/>
      <c r="W3230" s="459"/>
      <c r="X3230" s="459"/>
      <c r="Y3230" s="666"/>
      <c r="Z3230" s="664"/>
      <c r="AA3230" s="665"/>
      <c r="AB3230" s="665"/>
      <c r="AC3230" s="665"/>
      <c r="AD3230" s="665"/>
      <c r="AE3230" s="665"/>
      <c r="AF3230" s="649"/>
      <c r="AG3230" s="650"/>
      <c r="AH3230" s="650"/>
      <c r="AI3230" s="667"/>
    </row>
    <row r="3231" spans="12:35" ht="45" customHeight="1" thickBot="1" x14ac:dyDescent="0.25">
      <c r="L3231" s="645"/>
      <c r="M3231" s="616"/>
      <c r="N3231" s="616"/>
      <c r="O3231" s="616"/>
      <c r="P3231" s="615"/>
      <c r="Q3231" s="616"/>
      <c r="R3231" s="663"/>
      <c r="S3231" s="459"/>
      <c r="T3231" s="459"/>
      <c r="U3231" s="459"/>
      <c r="V3231" s="459"/>
      <c r="W3231" s="459"/>
      <c r="X3231" s="459"/>
      <c r="Y3231" s="666"/>
      <c r="Z3231" s="664"/>
      <c r="AA3231" s="665"/>
      <c r="AB3231" s="665"/>
      <c r="AC3231" s="665"/>
      <c r="AD3231" s="665"/>
      <c r="AE3231" s="665"/>
      <c r="AF3231" s="649"/>
      <c r="AG3231" s="650"/>
      <c r="AH3231" s="650"/>
      <c r="AI3231" s="667"/>
    </row>
    <row r="3232" spans="12:35" ht="45" customHeight="1" thickBot="1" x14ac:dyDescent="0.25">
      <c r="L3232" s="645"/>
      <c r="M3232" s="616"/>
      <c r="N3232" s="616"/>
      <c r="O3232" s="616"/>
      <c r="P3232" s="615"/>
      <c r="Q3232" s="616"/>
      <c r="R3232" s="663"/>
      <c r="S3232" s="459"/>
      <c r="T3232" s="459"/>
      <c r="U3232" s="459"/>
      <c r="V3232" s="459"/>
      <c r="W3232" s="459"/>
      <c r="X3232" s="459"/>
      <c r="Y3232" s="666"/>
      <c r="Z3232" s="664"/>
      <c r="AA3232" s="665"/>
      <c r="AB3232" s="665"/>
      <c r="AC3232" s="665"/>
      <c r="AD3232" s="665"/>
      <c r="AE3232" s="665"/>
      <c r="AF3232" s="649"/>
      <c r="AG3232" s="650"/>
      <c r="AH3232" s="650"/>
      <c r="AI3232" s="667"/>
    </row>
    <row r="3233" spans="12:35" ht="45" customHeight="1" thickBot="1" x14ac:dyDescent="0.25">
      <c r="L3233" s="645"/>
      <c r="M3233" s="616"/>
      <c r="N3233" s="616"/>
      <c r="O3233" s="616"/>
      <c r="P3233" s="615"/>
      <c r="Q3233" s="616"/>
      <c r="R3233" s="663"/>
      <c r="S3233" s="459"/>
      <c r="T3233" s="459"/>
      <c r="U3233" s="459"/>
      <c r="V3233" s="459"/>
      <c r="W3233" s="459"/>
      <c r="X3233" s="459"/>
      <c r="Y3233" s="666"/>
      <c r="Z3233" s="664"/>
      <c r="AA3233" s="665"/>
      <c r="AB3233" s="665"/>
      <c r="AC3233" s="665"/>
      <c r="AD3233" s="665"/>
      <c r="AE3233" s="665"/>
      <c r="AF3233" s="649"/>
      <c r="AG3233" s="650"/>
      <c r="AH3233" s="650"/>
      <c r="AI3233" s="667"/>
    </row>
    <row r="3234" spans="12:35" ht="45" customHeight="1" thickBot="1" x14ac:dyDescent="0.25">
      <c r="L3234" s="645"/>
      <c r="M3234" s="616"/>
      <c r="N3234" s="616"/>
      <c r="O3234" s="616"/>
      <c r="P3234" s="615"/>
      <c r="Q3234" s="616"/>
      <c r="R3234" s="663"/>
      <c r="S3234" s="459"/>
      <c r="T3234" s="459"/>
      <c r="U3234" s="459"/>
      <c r="V3234" s="459"/>
      <c r="W3234" s="459"/>
      <c r="X3234" s="459"/>
      <c r="Y3234" s="666"/>
      <c r="Z3234" s="664"/>
      <c r="AA3234" s="665"/>
      <c r="AB3234" s="665"/>
      <c r="AC3234" s="665"/>
      <c r="AD3234" s="665"/>
      <c r="AE3234" s="665"/>
      <c r="AF3234" s="649"/>
      <c r="AG3234" s="650"/>
      <c r="AH3234" s="650"/>
      <c r="AI3234" s="667"/>
    </row>
    <row r="3235" spans="12:35" ht="45" customHeight="1" thickBot="1" x14ac:dyDescent="0.25">
      <c r="L3235" s="645"/>
      <c r="M3235" s="616"/>
      <c r="N3235" s="616"/>
      <c r="O3235" s="616"/>
      <c r="P3235" s="615"/>
      <c r="Q3235" s="616"/>
      <c r="R3235" s="663"/>
      <c r="S3235" s="459"/>
      <c r="T3235" s="459"/>
      <c r="U3235" s="459"/>
      <c r="V3235" s="459"/>
      <c r="W3235" s="459"/>
      <c r="X3235" s="459"/>
      <c r="Y3235" s="666"/>
      <c r="Z3235" s="664"/>
      <c r="AA3235" s="665"/>
      <c r="AB3235" s="665"/>
      <c r="AC3235" s="665"/>
      <c r="AD3235" s="665"/>
      <c r="AE3235" s="665"/>
      <c r="AF3235" s="649"/>
      <c r="AG3235" s="650"/>
      <c r="AH3235" s="650"/>
      <c r="AI3235" s="667"/>
    </row>
    <row r="3236" spans="12:35" ht="45" customHeight="1" thickBot="1" x14ac:dyDescent="0.25">
      <c r="L3236" s="645"/>
      <c r="M3236" s="616"/>
      <c r="N3236" s="616"/>
      <c r="O3236" s="616"/>
      <c r="P3236" s="615"/>
      <c r="Q3236" s="616"/>
      <c r="R3236" s="663"/>
      <c r="S3236" s="459"/>
      <c r="T3236" s="459"/>
      <c r="U3236" s="459"/>
      <c r="V3236" s="459"/>
      <c r="W3236" s="459"/>
      <c r="X3236" s="459"/>
      <c r="Y3236" s="666"/>
      <c r="Z3236" s="664"/>
      <c r="AA3236" s="665"/>
      <c r="AB3236" s="665"/>
      <c r="AC3236" s="665"/>
      <c r="AD3236" s="665"/>
      <c r="AE3236" s="665"/>
      <c r="AF3236" s="649"/>
      <c r="AG3236" s="650"/>
      <c r="AH3236" s="650"/>
      <c r="AI3236" s="667"/>
    </row>
    <row r="3237" spans="12:35" ht="45" customHeight="1" thickBot="1" x14ac:dyDescent="0.25">
      <c r="L3237" s="645"/>
      <c r="M3237" s="616"/>
      <c r="N3237" s="616"/>
      <c r="O3237" s="616"/>
      <c r="P3237" s="615"/>
      <c r="Q3237" s="616"/>
      <c r="R3237" s="663"/>
      <c r="S3237" s="459"/>
      <c r="T3237" s="459"/>
      <c r="U3237" s="459"/>
      <c r="V3237" s="459"/>
      <c r="W3237" s="459"/>
      <c r="X3237" s="459"/>
      <c r="Y3237" s="666"/>
      <c r="Z3237" s="664"/>
      <c r="AA3237" s="665"/>
      <c r="AB3237" s="665"/>
      <c r="AC3237" s="665"/>
      <c r="AD3237" s="665"/>
      <c r="AE3237" s="665"/>
      <c r="AF3237" s="649"/>
      <c r="AG3237" s="650"/>
      <c r="AH3237" s="650"/>
      <c r="AI3237" s="667"/>
    </row>
    <row r="3238" spans="12:35" ht="45" customHeight="1" thickBot="1" x14ac:dyDescent="0.25">
      <c r="L3238" s="645"/>
      <c r="M3238" s="616"/>
      <c r="N3238" s="616"/>
      <c r="O3238" s="616"/>
      <c r="P3238" s="615"/>
      <c r="Q3238" s="616"/>
      <c r="R3238" s="663"/>
      <c r="S3238" s="459"/>
      <c r="T3238" s="459"/>
      <c r="U3238" s="459"/>
      <c r="V3238" s="459"/>
      <c r="W3238" s="459"/>
      <c r="X3238" s="459"/>
      <c r="Y3238" s="666"/>
      <c r="Z3238" s="664"/>
      <c r="AA3238" s="665"/>
      <c r="AB3238" s="665"/>
      <c r="AC3238" s="665"/>
      <c r="AD3238" s="665"/>
      <c r="AE3238" s="665"/>
      <c r="AF3238" s="649"/>
      <c r="AG3238" s="650"/>
      <c r="AH3238" s="650"/>
      <c r="AI3238" s="667"/>
    </row>
    <row r="3239" spans="12:35" ht="45" customHeight="1" thickBot="1" x14ac:dyDescent="0.25">
      <c r="L3239" s="645"/>
      <c r="M3239" s="616"/>
      <c r="N3239" s="616"/>
      <c r="O3239" s="616"/>
      <c r="P3239" s="615"/>
      <c r="Q3239" s="616"/>
      <c r="R3239" s="663"/>
      <c r="S3239" s="459"/>
      <c r="T3239" s="459"/>
      <c r="U3239" s="459"/>
      <c r="V3239" s="459"/>
      <c r="W3239" s="459"/>
      <c r="X3239" s="459"/>
      <c r="Y3239" s="666"/>
      <c r="Z3239" s="664"/>
      <c r="AA3239" s="665"/>
      <c r="AB3239" s="665"/>
      <c r="AC3239" s="665"/>
      <c r="AD3239" s="665"/>
      <c r="AE3239" s="665"/>
      <c r="AF3239" s="649"/>
      <c r="AG3239" s="650"/>
      <c r="AH3239" s="650"/>
      <c r="AI3239" s="667"/>
    </row>
    <row r="3240" spans="12:35" ht="45" customHeight="1" thickBot="1" x14ac:dyDescent="0.25">
      <c r="L3240" s="645"/>
      <c r="M3240" s="616"/>
      <c r="N3240" s="616"/>
      <c r="O3240" s="616"/>
      <c r="P3240" s="615"/>
      <c r="Q3240" s="616"/>
      <c r="R3240" s="663"/>
      <c r="S3240" s="459"/>
      <c r="T3240" s="459"/>
      <c r="U3240" s="459"/>
      <c r="V3240" s="459"/>
      <c r="W3240" s="459"/>
      <c r="X3240" s="459"/>
      <c r="Y3240" s="666"/>
      <c r="Z3240" s="664"/>
      <c r="AA3240" s="665"/>
      <c r="AB3240" s="665"/>
      <c r="AC3240" s="665"/>
      <c r="AD3240" s="665"/>
      <c r="AE3240" s="665"/>
      <c r="AF3240" s="649"/>
      <c r="AG3240" s="650"/>
      <c r="AH3240" s="650"/>
      <c r="AI3240" s="667"/>
    </row>
    <row r="3241" spans="12:35" ht="45" customHeight="1" thickBot="1" x14ac:dyDescent="0.25">
      <c r="L3241" s="645"/>
      <c r="M3241" s="616"/>
      <c r="N3241" s="616"/>
      <c r="O3241" s="616"/>
      <c r="P3241" s="615"/>
      <c r="Q3241" s="616"/>
      <c r="R3241" s="663"/>
      <c r="S3241" s="459"/>
      <c r="T3241" s="459"/>
      <c r="U3241" s="459"/>
      <c r="V3241" s="459"/>
      <c r="W3241" s="459"/>
      <c r="X3241" s="459"/>
      <c r="Y3241" s="666"/>
      <c r="Z3241" s="664"/>
      <c r="AA3241" s="665"/>
      <c r="AB3241" s="665"/>
      <c r="AC3241" s="665"/>
      <c r="AD3241" s="665"/>
      <c r="AE3241" s="665"/>
      <c r="AF3241" s="649"/>
      <c r="AG3241" s="650"/>
      <c r="AH3241" s="650"/>
      <c r="AI3241" s="667"/>
    </row>
    <row r="3242" spans="12:35" ht="45" customHeight="1" thickBot="1" x14ac:dyDescent="0.25">
      <c r="L3242" s="645"/>
      <c r="M3242" s="616"/>
      <c r="N3242" s="616"/>
      <c r="O3242" s="616"/>
      <c r="P3242" s="615"/>
      <c r="Q3242" s="616"/>
      <c r="R3242" s="663"/>
      <c r="S3242" s="459"/>
      <c r="T3242" s="459"/>
      <c r="U3242" s="459"/>
      <c r="V3242" s="459"/>
      <c r="W3242" s="459"/>
      <c r="X3242" s="459"/>
      <c r="Y3242" s="666"/>
      <c r="Z3242" s="664"/>
      <c r="AA3242" s="665"/>
      <c r="AB3242" s="665"/>
      <c r="AC3242" s="665"/>
      <c r="AD3242" s="665"/>
      <c r="AE3242" s="665"/>
      <c r="AF3242" s="649"/>
      <c r="AG3242" s="650"/>
      <c r="AH3242" s="650"/>
      <c r="AI3242" s="667"/>
    </row>
    <row r="3243" spans="12:35" ht="45" customHeight="1" thickBot="1" x14ac:dyDescent="0.25">
      <c r="L3243" s="645"/>
      <c r="M3243" s="616"/>
      <c r="N3243" s="616"/>
      <c r="O3243" s="616"/>
      <c r="P3243" s="615"/>
      <c r="Q3243" s="616"/>
      <c r="R3243" s="663"/>
      <c r="S3243" s="459"/>
      <c r="T3243" s="459"/>
      <c r="U3243" s="459"/>
      <c r="V3243" s="459"/>
      <c r="W3243" s="459"/>
      <c r="X3243" s="459"/>
      <c r="Y3243" s="666"/>
      <c r="Z3243" s="664"/>
      <c r="AA3243" s="665"/>
      <c r="AB3243" s="665"/>
      <c r="AC3243" s="665"/>
      <c r="AD3243" s="665"/>
      <c r="AE3243" s="665"/>
      <c r="AF3243" s="649"/>
      <c r="AG3243" s="650"/>
      <c r="AH3243" s="650"/>
      <c r="AI3243" s="667"/>
    </row>
    <row r="3244" spans="12:35" ht="45" customHeight="1" thickBot="1" x14ac:dyDescent="0.25">
      <c r="L3244" s="645"/>
      <c r="M3244" s="616"/>
      <c r="N3244" s="616"/>
      <c r="O3244" s="616"/>
      <c r="P3244" s="615"/>
      <c r="Q3244" s="616"/>
      <c r="R3244" s="663"/>
      <c r="S3244" s="459"/>
      <c r="T3244" s="459"/>
      <c r="U3244" s="459"/>
      <c r="V3244" s="459"/>
      <c r="W3244" s="459"/>
      <c r="X3244" s="459"/>
      <c r="Y3244" s="666"/>
      <c r="Z3244" s="664"/>
      <c r="AA3244" s="665"/>
      <c r="AB3244" s="665"/>
      <c r="AC3244" s="665"/>
      <c r="AD3244" s="665"/>
      <c r="AE3244" s="665"/>
      <c r="AF3244" s="649"/>
      <c r="AG3244" s="650"/>
      <c r="AH3244" s="650"/>
      <c r="AI3244" s="667"/>
    </row>
    <row r="3245" spans="12:35" ht="45" customHeight="1" thickBot="1" x14ac:dyDescent="0.25">
      <c r="L3245" s="645"/>
      <c r="M3245" s="616"/>
      <c r="N3245" s="616"/>
      <c r="O3245" s="616"/>
      <c r="P3245" s="615"/>
      <c r="Q3245" s="616"/>
      <c r="R3245" s="663"/>
      <c r="S3245" s="459"/>
      <c r="T3245" s="459"/>
      <c r="U3245" s="459"/>
      <c r="V3245" s="459"/>
      <c r="W3245" s="459"/>
      <c r="X3245" s="459"/>
      <c r="Y3245" s="666"/>
      <c r="Z3245" s="664"/>
      <c r="AA3245" s="665"/>
      <c r="AB3245" s="665"/>
      <c r="AC3245" s="665"/>
      <c r="AD3245" s="665"/>
      <c r="AE3245" s="665"/>
      <c r="AF3245" s="649"/>
      <c r="AG3245" s="650"/>
      <c r="AH3245" s="650"/>
      <c r="AI3245" s="667"/>
    </row>
    <row r="3246" spans="12:35" ht="45" customHeight="1" thickBot="1" x14ac:dyDescent="0.25">
      <c r="L3246" s="645"/>
      <c r="M3246" s="616"/>
      <c r="N3246" s="616"/>
      <c r="O3246" s="616"/>
      <c r="P3246" s="615"/>
      <c r="Q3246" s="616"/>
      <c r="R3246" s="663"/>
      <c r="S3246" s="459"/>
      <c r="T3246" s="459"/>
      <c r="U3246" s="459"/>
      <c r="V3246" s="459"/>
      <c r="W3246" s="459"/>
      <c r="X3246" s="459"/>
      <c r="Y3246" s="666"/>
      <c r="Z3246" s="664"/>
      <c r="AA3246" s="665"/>
      <c r="AB3246" s="665"/>
      <c r="AC3246" s="665"/>
      <c r="AD3246" s="665"/>
      <c r="AE3246" s="665"/>
      <c r="AF3246" s="649"/>
      <c r="AG3246" s="650"/>
      <c r="AH3246" s="650"/>
      <c r="AI3246" s="667"/>
    </row>
    <row r="3247" spans="12:35" ht="45" customHeight="1" thickBot="1" x14ac:dyDescent="0.25">
      <c r="L3247" s="645"/>
      <c r="M3247" s="616"/>
      <c r="N3247" s="616"/>
      <c r="O3247" s="616"/>
      <c r="P3247" s="615"/>
      <c r="Q3247" s="616"/>
      <c r="R3247" s="663"/>
      <c r="S3247" s="459"/>
      <c r="T3247" s="459"/>
      <c r="U3247" s="459"/>
      <c r="V3247" s="459"/>
      <c r="W3247" s="459"/>
      <c r="X3247" s="459"/>
      <c r="Y3247" s="666"/>
      <c r="Z3247" s="664"/>
      <c r="AA3247" s="665"/>
      <c r="AB3247" s="665"/>
      <c r="AC3247" s="665"/>
      <c r="AD3247" s="665"/>
      <c r="AE3247" s="665"/>
      <c r="AF3247" s="649"/>
      <c r="AG3247" s="650"/>
      <c r="AH3247" s="650"/>
      <c r="AI3247" s="667"/>
    </row>
    <row r="3248" spans="12:35" ht="45" customHeight="1" thickBot="1" x14ac:dyDescent="0.25">
      <c r="L3248" s="645"/>
      <c r="M3248" s="616"/>
      <c r="N3248" s="616"/>
      <c r="O3248" s="616"/>
      <c r="P3248" s="615"/>
      <c r="Q3248" s="616"/>
      <c r="R3248" s="663"/>
      <c r="S3248" s="459"/>
      <c r="T3248" s="459"/>
      <c r="U3248" s="459"/>
      <c r="V3248" s="459"/>
      <c r="W3248" s="459"/>
      <c r="X3248" s="459"/>
      <c r="Y3248" s="666"/>
      <c r="Z3248" s="664"/>
      <c r="AA3248" s="665"/>
      <c r="AB3248" s="665"/>
      <c r="AC3248" s="665"/>
      <c r="AD3248" s="665"/>
      <c r="AE3248" s="665"/>
      <c r="AF3248" s="649"/>
      <c r="AG3248" s="650"/>
      <c r="AH3248" s="650"/>
      <c r="AI3248" s="667"/>
    </row>
    <row r="3249" spans="12:35" ht="45" customHeight="1" thickBot="1" x14ac:dyDescent="0.25">
      <c r="L3249" s="645"/>
      <c r="M3249" s="616"/>
      <c r="N3249" s="616"/>
      <c r="O3249" s="616"/>
      <c r="P3249" s="615"/>
      <c r="Q3249" s="616"/>
      <c r="R3249" s="663"/>
      <c r="S3249" s="459"/>
      <c r="T3249" s="459"/>
      <c r="U3249" s="459"/>
      <c r="V3249" s="459"/>
      <c r="W3249" s="459"/>
      <c r="X3249" s="459"/>
      <c r="Y3249" s="666"/>
      <c r="Z3249" s="664"/>
      <c r="AA3249" s="665"/>
      <c r="AB3249" s="665"/>
      <c r="AC3249" s="665"/>
      <c r="AD3249" s="665"/>
      <c r="AE3249" s="665"/>
      <c r="AF3249" s="649"/>
      <c r="AG3249" s="650"/>
      <c r="AH3249" s="650"/>
      <c r="AI3249" s="667"/>
    </row>
    <row r="3250" spans="12:35" ht="45" customHeight="1" thickBot="1" x14ac:dyDescent="0.25">
      <c r="L3250" s="645"/>
      <c r="M3250" s="616"/>
      <c r="N3250" s="616"/>
      <c r="O3250" s="616"/>
      <c r="P3250" s="615"/>
      <c r="Q3250" s="616"/>
      <c r="R3250" s="663"/>
      <c r="S3250" s="459"/>
      <c r="T3250" s="459"/>
      <c r="U3250" s="459"/>
      <c r="V3250" s="459"/>
      <c r="W3250" s="459"/>
      <c r="X3250" s="459"/>
      <c r="Y3250" s="666"/>
      <c r="Z3250" s="664"/>
      <c r="AA3250" s="665"/>
      <c r="AB3250" s="665"/>
      <c r="AC3250" s="665"/>
      <c r="AD3250" s="665"/>
      <c r="AE3250" s="665"/>
      <c r="AF3250" s="649"/>
      <c r="AG3250" s="650"/>
      <c r="AH3250" s="650"/>
      <c r="AI3250" s="667"/>
    </row>
    <row r="3251" spans="12:35" ht="45" customHeight="1" thickBot="1" x14ac:dyDescent="0.25">
      <c r="L3251" s="645"/>
      <c r="M3251" s="616"/>
      <c r="N3251" s="616"/>
      <c r="O3251" s="616"/>
      <c r="P3251" s="615"/>
      <c r="Q3251" s="616"/>
      <c r="R3251" s="663"/>
      <c r="S3251" s="459"/>
      <c r="T3251" s="459"/>
      <c r="U3251" s="459"/>
      <c r="V3251" s="459"/>
      <c r="W3251" s="459"/>
      <c r="X3251" s="459"/>
      <c r="Y3251" s="666"/>
      <c r="Z3251" s="664"/>
      <c r="AA3251" s="665"/>
      <c r="AB3251" s="665"/>
      <c r="AC3251" s="665"/>
      <c r="AD3251" s="665"/>
      <c r="AE3251" s="665"/>
      <c r="AF3251" s="649"/>
      <c r="AG3251" s="650"/>
      <c r="AH3251" s="650"/>
      <c r="AI3251" s="667"/>
    </row>
    <row r="3252" spans="12:35" ht="45" customHeight="1" thickBot="1" x14ac:dyDescent="0.25">
      <c r="L3252" s="645"/>
      <c r="M3252" s="616"/>
      <c r="N3252" s="616"/>
      <c r="O3252" s="616"/>
      <c r="P3252" s="615"/>
      <c r="Q3252" s="616"/>
      <c r="R3252" s="663"/>
      <c r="S3252" s="459"/>
      <c r="T3252" s="459"/>
      <c r="U3252" s="459"/>
      <c r="V3252" s="459"/>
      <c r="W3252" s="459"/>
      <c r="X3252" s="459"/>
      <c r="Y3252" s="666"/>
      <c r="Z3252" s="664"/>
      <c r="AA3252" s="665"/>
      <c r="AB3252" s="665"/>
      <c r="AC3252" s="665"/>
      <c r="AD3252" s="665"/>
      <c r="AE3252" s="665"/>
      <c r="AF3252" s="649"/>
      <c r="AG3252" s="650"/>
      <c r="AH3252" s="650"/>
      <c r="AI3252" s="667"/>
    </row>
    <row r="3253" spans="12:35" ht="45" customHeight="1" thickBot="1" x14ac:dyDescent="0.25">
      <c r="L3253" s="645"/>
      <c r="M3253" s="616"/>
      <c r="N3253" s="616"/>
      <c r="O3253" s="616"/>
      <c r="P3253" s="615"/>
      <c r="Q3253" s="616"/>
      <c r="R3253" s="663"/>
      <c r="S3253" s="459"/>
      <c r="T3253" s="459"/>
      <c r="U3253" s="459"/>
      <c r="V3253" s="459"/>
      <c r="W3253" s="459"/>
      <c r="X3253" s="459"/>
      <c r="Y3253" s="666"/>
      <c r="Z3253" s="664"/>
      <c r="AA3253" s="665"/>
      <c r="AB3253" s="665"/>
      <c r="AC3253" s="665"/>
      <c r="AD3253" s="665"/>
      <c r="AE3253" s="665"/>
      <c r="AF3253" s="649"/>
      <c r="AG3253" s="650"/>
      <c r="AH3253" s="650"/>
      <c r="AI3253" s="667"/>
    </row>
    <row r="3254" spans="12:35" ht="45" customHeight="1" thickBot="1" x14ac:dyDescent="0.25">
      <c r="L3254" s="645"/>
      <c r="M3254" s="616"/>
      <c r="N3254" s="616"/>
      <c r="O3254" s="616"/>
      <c r="P3254" s="615"/>
      <c r="Q3254" s="616"/>
      <c r="R3254" s="663"/>
      <c r="S3254" s="459"/>
      <c r="T3254" s="459"/>
      <c r="U3254" s="459"/>
      <c r="V3254" s="459"/>
      <c r="W3254" s="459"/>
      <c r="X3254" s="459"/>
      <c r="Y3254" s="666"/>
      <c r="Z3254" s="664"/>
      <c r="AA3254" s="665"/>
      <c r="AB3254" s="665"/>
      <c r="AC3254" s="665"/>
      <c r="AD3254" s="665"/>
      <c r="AE3254" s="665"/>
      <c r="AF3254" s="649"/>
      <c r="AG3254" s="650"/>
      <c r="AH3254" s="650"/>
      <c r="AI3254" s="667"/>
    </row>
    <row r="3255" spans="12:35" ht="45" customHeight="1" thickBot="1" x14ac:dyDescent="0.25">
      <c r="L3255" s="645"/>
      <c r="M3255" s="616"/>
      <c r="N3255" s="616"/>
      <c r="O3255" s="616"/>
      <c r="P3255" s="615"/>
      <c r="Q3255" s="616"/>
      <c r="R3255" s="663"/>
      <c r="S3255" s="459"/>
      <c r="T3255" s="459"/>
      <c r="U3255" s="459"/>
      <c r="V3255" s="459"/>
      <c r="W3255" s="459"/>
      <c r="X3255" s="459"/>
      <c r="Y3255" s="666"/>
      <c r="Z3255" s="664"/>
      <c r="AA3255" s="665"/>
      <c r="AB3255" s="665"/>
      <c r="AC3255" s="665"/>
      <c r="AD3255" s="665"/>
      <c r="AE3255" s="665"/>
      <c r="AF3255" s="649"/>
      <c r="AG3255" s="650"/>
      <c r="AH3255" s="650"/>
      <c r="AI3255" s="667"/>
    </row>
    <row r="3256" spans="12:35" ht="45" customHeight="1" thickBot="1" x14ac:dyDescent="0.25">
      <c r="L3256" s="645"/>
      <c r="M3256" s="616"/>
      <c r="N3256" s="616"/>
      <c r="O3256" s="616"/>
      <c r="P3256" s="615"/>
      <c r="Q3256" s="616"/>
      <c r="R3256" s="663"/>
      <c r="S3256" s="459"/>
      <c r="T3256" s="459"/>
      <c r="U3256" s="459"/>
      <c r="V3256" s="459"/>
      <c r="W3256" s="459"/>
      <c r="X3256" s="459"/>
      <c r="Y3256" s="666"/>
      <c r="Z3256" s="664"/>
      <c r="AA3256" s="665"/>
      <c r="AB3256" s="665"/>
      <c r="AC3256" s="665"/>
      <c r="AD3256" s="665"/>
      <c r="AE3256" s="665"/>
      <c r="AF3256" s="649"/>
      <c r="AG3256" s="650"/>
      <c r="AH3256" s="650"/>
      <c r="AI3256" s="667"/>
    </row>
    <row r="3257" spans="12:35" ht="45" customHeight="1" thickBot="1" x14ac:dyDescent="0.25">
      <c r="L3257" s="645"/>
      <c r="M3257" s="616"/>
      <c r="N3257" s="616"/>
      <c r="O3257" s="616"/>
      <c r="P3257" s="615"/>
      <c r="Q3257" s="616"/>
      <c r="R3257" s="663"/>
      <c r="S3257" s="459"/>
      <c r="T3257" s="459"/>
      <c r="U3257" s="459"/>
      <c r="V3257" s="459"/>
      <c r="W3257" s="459"/>
      <c r="X3257" s="459"/>
      <c r="Y3257" s="666"/>
      <c r="Z3257" s="664"/>
      <c r="AA3257" s="665"/>
      <c r="AB3257" s="665"/>
      <c r="AC3257" s="665"/>
      <c r="AD3257" s="665"/>
      <c r="AE3257" s="665"/>
      <c r="AF3257" s="649"/>
      <c r="AG3257" s="650"/>
      <c r="AH3257" s="650"/>
      <c r="AI3257" s="667"/>
    </row>
    <row r="3258" spans="12:35" ht="45" customHeight="1" thickBot="1" x14ac:dyDescent="0.25">
      <c r="L3258" s="645"/>
      <c r="M3258" s="616"/>
      <c r="N3258" s="616"/>
      <c r="O3258" s="616"/>
      <c r="P3258" s="615"/>
      <c r="Q3258" s="616"/>
      <c r="R3258" s="663"/>
      <c r="S3258" s="459"/>
      <c r="T3258" s="459"/>
      <c r="U3258" s="459"/>
      <c r="V3258" s="459"/>
      <c r="W3258" s="459"/>
      <c r="X3258" s="459"/>
      <c r="Y3258" s="666"/>
      <c r="Z3258" s="664"/>
      <c r="AA3258" s="665"/>
      <c r="AB3258" s="665"/>
      <c r="AC3258" s="665"/>
      <c r="AD3258" s="665"/>
      <c r="AE3258" s="665"/>
      <c r="AF3258" s="649"/>
      <c r="AG3258" s="650"/>
      <c r="AH3258" s="650"/>
      <c r="AI3258" s="667"/>
    </row>
    <row r="3259" spans="12:35" ht="45" customHeight="1" thickBot="1" x14ac:dyDescent="0.25">
      <c r="L3259" s="645"/>
      <c r="M3259" s="616"/>
      <c r="N3259" s="616"/>
      <c r="O3259" s="616"/>
      <c r="P3259" s="615"/>
      <c r="Q3259" s="616"/>
      <c r="R3259" s="663"/>
      <c r="S3259" s="459"/>
      <c r="T3259" s="459"/>
      <c r="U3259" s="459"/>
      <c r="V3259" s="459"/>
      <c r="W3259" s="459"/>
      <c r="X3259" s="459"/>
      <c r="Y3259" s="666"/>
      <c r="Z3259" s="664"/>
      <c r="AA3259" s="665"/>
      <c r="AB3259" s="665"/>
      <c r="AC3259" s="665"/>
      <c r="AD3259" s="665"/>
      <c r="AE3259" s="665"/>
      <c r="AF3259" s="649"/>
      <c r="AG3259" s="650"/>
      <c r="AH3259" s="650"/>
      <c r="AI3259" s="667"/>
    </row>
    <row r="3260" spans="12:35" ht="45" customHeight="1" thickBot="1" x14ac:dyDescent="0.25">
      <c r="L3260" s="645"/>
      <c r="M3260" s="616"/>
      <c r="N3260" s="616"/>
      <c r="O3260" s="616"/>
      <c r="P3260" s="615"/>
      <c r="Q3260" s="616"/>
      <c r="R3260" s="663"/>
      <c r="S3260" s="459"/>
      <c r="T3260" s="459"/>
      <c r="U3260" s="459"/>
      <c r="V3260" s="459"/>
      <c r="W3260" s="459"/>
      <c r="X3260" s="459"/>
      <c r="Y3260" s="666"/>
      <c r="Z3260" s="664"/>
      <c r="AA3260" s="665"/>
      <c r="AB3260" s="665"/>
      <c r="AC3260" s="665"/>
      <c r="AD3260" s="665"/>
      <c r="AE3260" s="665"/>
      <c r="AF3260" s="649"/>
      <c r="AG3260" s="650"/>
      <c r="AH3260" s="650"/>
      <c r="AI3260" s="667"/>
    </row>
    <row r="3261" spans="12:35" ht="45" customHeight="1" thickBot="1" x14ac:dyDescent="0.25">
      <c r="L3261" s="645"/>
      <c r="M3261" s="616"/>
      <c r="N3261" s="616"/>
      <c r="O3261" s="616"/>
      <c r="P3261" s="615"/>
      <c r="Q3261" s="616"/>
      <c r="R3261" s="663"/>
      <c r="S3261" s="459"/>
      <c r="T3261" s="459"/>
      <c r="U3261" s="459"/>
      <c r="V3261" s="459"/>
      <c r="W3261" s="459"/>
      <c r="X3261" s="459"/>
      <c r="Y3261" s="666"/>
      <c r="Z3261" s="664"/>
      <c r="AA3261" s="665"/>
      <c r="AB3261" s="665"/>
      <c r="AC3261" s="665"/>
      <c r="AD3261" s="665"/>
      <c r="AE3261" s="665"/>
      <c r="AF3261" s="649"/>
      <c r="AG3261" s="650"/>
      <c r="AH3261" s="650"/>
      <c r="AI3261" s="667"/>
    </row>
    <row r="3262" spans="12:35" ht="45" customHeight="1" thickBot="1" x14ac:dyDescent="0.25">
      <c r="L3262" s="645"/>
      <c r="M3262" s="616"/>
      <c r="N3262" s="616"/>
      <c r="O3262" s="616"/>
      <c r="P3262" s="615"/>
      <c r="Q3262" s="616"/>
      <c r="R3262" s="663"/>
      <c r="S3262" s="459"/>
      <c r="T3262" s="459"/>
      <c r="U3262" s="459"/>
      <c r="V3262" s="459"/>
      <c r="W3262" s="459"/>
      <c r="X3262" s="459"/>
      <c r="Y3262" s="666"/>
      <c r="Z3262" s="664"/>
      <c r="AA3262" s="665"/>
      <c r="AB3262" s="665"/>
      <c r="AC3262" s="665"/>
      <c r="AD3262" s="665"/>
      <c r="AE3262" s="665"/>
      <c r="AF3262" s="649"/>
      <c r="AG3262" s="650"/>
      <c r="AH3262" s="650"/>
      <c r="AI3262" s="667"/>
    </row>
    <row r="3263" spans="12:35" ht="45" customHeight="1" thickBot="1" x14ac:dyDescent="0.25">
      <c r="L3263" s="645"/>
      <c r="M3263" s="616"/>
      <c r="N3263" s="616"/>
      <c r="O3263" s="616"/>
      <c r="P3263" s="615"/>
      <c r="Q3263" s="616"/>
      <c r="R3263" s="663"/>
      <c r="S3263" s="459"/>
      <c r="T3263" s="459"/>
      <c r="U3263" s="459"/>
      <c r="V3263" s="459"/>
      <c r="W3263" s="459"/>
      <c r="X3263" s="459"/>
      <c r="Y3263" s="666"/>
      <c r="Z3263" s="664"/>
      <c r="AA3263" s="665"/>
      <c r="AB3263" s="665"/>
      <c r="AC3263" s="665"/>
      <c r="AD3263" s="665"/>
      <c r="AE3263" s="665"/>
      <c r="AF3263" s="649"/>
      <c r="AG3263" s="650"/>
      <c r="AH3263" s="650"/>
      <c r="AI3263" s="667"/>
    </row>
    <row r="3264" spans="12:35" ht="45" customHeight="1" thickBot="1" x14ac:dyDescent="0.25">
      <c r="L3264" s="645"/>
      <c r="M3264" s="616"/>
      <c r="N3264" s="616"/>
      <c r="O3264" s="616"/>
      <c r="P3264" s="615"/>
      <c r="Q3264" s="616"/>
      <c r="R3264" s="663"/>
      <c r="S3264" s="459"/>
      <c r="T3264" s="459"/>
      <c r="U3264" s="459"/>
      <c r="V3264" s="459"/>
      <c r="W3264" s="459"/>
      <c r="X3264" s="459"/>
      <c r="Y3264" s="666"/>
      <c r="Z3264" s="664"/>
      <c r="AA3264" s="665"/>
      <c r="AB3264" s="665"/>
      <c r="AC3264" s="665"/>
      <c r="AD3264" s="665"/>
      <c r="AE3264" s="665"/>
      <c r="AF3264" s="649"/>
      <c r="AG3264" s="650"/>
      <c r="AH3264" s="650"/>
      <c r="AI3264" s="667"/>
    </row>
    <row r="3265" spans="12:35" ht="45" customHeight="1" thickBot="1" x14ac:dyDescent="0.25">
      <c r="L3265" s="645"/>
      <c r="M3265" s="616"/>
      <c r="N3265" s="616"/>
      <c r="O3265" s="616"/>
      <c r="P3265" s="615"/>
      <c r="Q3265" s="616"/>
      <c r="R3265" s="663"/>
      <c r="S3265" s="459"/>
      <c r="T3265" s="459"/>
      <c r="U3265" s="459"/>
      <c r="V3265" s="459"/>
      <c r="W3265" s="459"/>
      <c r="X3265" s="459"/>
      <c r="Y3265" s="666"/>
      <c r="Z3265" s="664"/>
      <c r="AA3265" s="665"/>
      <c r="AB3265" s="665"/>
      <c r="AC3265" s="665"/>
      <c r="AD3265" s="665"/>
      <c r="AE3265" s="665"/>
      <c r="AF3265" s="649"/>
      <c r="AG3265" s="650"/>
      <c r="AH3265" s="650"/>
      <c r="AI3265" s="667"/>
    </row>
    <row r="3266" spans="12:35" ht="45" customHeight="1" thickBot="1" x14ac:dyDescent="0.25">
      <c r="L3266" s="645"/>
      <c r="M3266" s="616"/>
      <c r="N3266" s="616"/>
      <c r="O3266" s="616"/>
      <c r="P3266" s="615"/>
      <c r="Q3266" s="616"/>
      <c r="R3266" s="663"/>
      <c r="S3266" s="459"/>
      <c r="T3266" s="459"/>
      <c r="U3266" s="459"/>
      <c r="V3266" s="459"/>
      <c r="W3266" s="459"/>
      <c r="X3266" s="459"/>
      <c r="Y3266" s="666"/>
      <c r="Z3266" s="664"/>
      <c r="AA3266" s="665"/>
      <c r="AB3266" s="665"/>
      <c r="AC3266" s="665"/>
      <c r="AD3266" s="665"/>
      <c r="AE3266" s="665"/>
      <c r="AF3266" s="649"/>
      <c r="AG3266" s="650"/>
      <c r="AH3266" s="650"/>
      <c r="AI3266" s="667"/>
    </row>
    <row r="3267" spans="12:35" ht="45" customHeight="1" thickBot="1" x14ac:dyDescent="0.25">
      <c r="L3267" s="645"/>
      <c r="M3267" s="616"/>
      <c r="N3267" s="616"/>
      <c r="O3267" s="616"/>
      <c r="P3267" s="615"/>
      <c r="Q3267" s="616"/>
      <c r="R3267" s="663"/>
      <c r="S3267" s="459"/>
      <c r="T3267" s="459"/>
      <c r="U3267" s="459"/>
      <c r="V3267" s="459"/>
      <c r="W3267" s="459"/>
      <c r="X3267" s="459"/>
      <c r="Y3267" s="666"/>
      <c r="Z3267" s="664"/>
      <c r="AA3267" s="665"/>
      <c r="AB3267" s="665"/>
      <c r="AC3267" s="665"/>
      <c r="AD3267" s="665"/>
      <c r="AE3267" s="665"/>
      <c r="AF3267" s="649"/>
      <c r="AG3267" s="650"/>
      <c r="AH3267" s="650"/>
      <c r="AI3267" s="667"/>
    </row>
    <row r="3268" spans="12:35" ht="45" customHeight="1" thickBot="1" x14ac:dyDescent="0.25">
      <c r="L3268" s="645"/>
      <c r="M3268" s="616"/>
      <c r="N3268" s="616"/>
      <c r="O3268" s="616"/>
      <c r="P3268" s="615"/>
      <c r="Q3268" s="616"/>
      <c r="R3268" s="663"/>
      <c r="S3268" s="459"/>
      <c r="T3268" s="459"/>
      <c r="U3268" s="459"/>
      <c r="V3268" s="459"/>
      <c r="W3268" s="459"/>
      <c r="X3268" s="459"/>
      <c r="Y3268" s="666"/>
      <c r="Z3268" s="664"/>
      <c r="AA3268" s="665"/>
      <c r="AB3268" s="665"/>
      <c r="AC3268" s="665"/>
      <c r="AD3268" s="665"/>
      <c r="AE3268" s="665"/>
      <c r="AF3268" s="649"/>
      <c r="AG3268" s="650"/>
      <c r="AH3268" s="650"/>
      <c r="AI3268" s="667"/>
    </row>
    <row r="3269" spans="12:35" ht="45" customHeight="1" thickBot="1" x14ac:dyDescent="0.25">
      <c r="L3269" s="645"/>
      <c r="M3269" s="616"/>
      <c r="N3269" s="616"/>
      <c r="O3269" s="616"/>
      <c r="P3269" s="615"/>
      <c r="Q3269" s="616"/>
      <c r="R3269" s="663"/>
      <c r="S3269" s="459"/>
      <c r="T3269" s="459"/>
      <c r="U3269" s="459"/>
      <c r="V3269" s="459"/>
      <c r="W3269" s="459"/>
      <c r="X3269" s="459"/>
      <c r="Y3269" s="666"/>
      <c r="Z3269" s="664"/>
      <c r="AA3269" s="665"/>
      <c r="AB3269" s="665"/>
      <c r="AC3269" s="665"/>
      <c r="AD3269" s="665"/>
      <c r="AE3269" s="665"/>
      <c r="AF3269" s="649"/>
      <c r="AG3269" s="650"/>
      <c r="AH3269" s="650"/>
      <c r="AI3269" s="667"/>
    </row>
    <row r="3270" spans="12:35" ht="45" customHeight="1" thickBot="1" x14ac:dyDescent="0.25">
      <c r="L3270" s="645"/>
      <c r="M3270" s="616"/>
      <c r="N3270" s="616"/>
      <c r="O3270" s="616"/>
      <c r="P3270" s="615"/>
      <c r="Q3270" s="616"/>
      <c r="R3270" s="663"/>
      <c r="S3270" s="459"/>
      <c r="T3270" s="459"/>
      <c r="U3270" s="459"/>
      <c r="V3270" s="459"/>
      <c r="W3270" s="459"/>
      <c r="X3270" s="459"/>
      <c r="Y3270" s="666"/>
      <c r="Z3270" s="664"/>
      <c r="AA3270" s="665"/>
      <c r="AB3270" s="665"/>
      <c r="AC3270" s="665"/>
      <c r="AD3270" s="665"/>
      <c r="AE3270" s="665"/>
      <c r="AF3270" s="649"/>
      <c r="AG3270" s="650"/>
      <c r="AH3270" s="650"/>
      <c r="AI3270" s="667"/>
    </row>
    <row r="3271" spans="12:35" ht="45" customHeight="1" thickBot="1" x14ac:dyDescent="0.25">
      <c r="L3271" s="645"/>
      <c r="M3271" s="616"/>
      <c r="N3271" s="616"/>
      <c r="O3271" s="616"/>
      <c r="P3271" s="615"/>
      <c r="Q3271" s="616"/>
      <c r="R3271" s="663"/>
      <c r="S3271" s="459"/>
      <c r="T3271" s="459"/>
      <c r="U3271" s="459"/>
      <c r="V3271" s="459"/>
      <c r="W3271" s="459"/>
      <c r="X3271" s="459"/>
      <c r="Y3271" s="666"/>
      <c r="Z3271" s="664"/>
      <c r="AA3271" s="665"/>
      <c r="AB3271" s="665"/>
      <c r="AC3271" s="665"/>
      <c r="AD3271" s="665"/>
      <c r="AE3271" s="665"/>
      <c r="AF3271" s="649"/>
      <c r="AG3271" s="650"/>
      <c r="AH3271" s="650"/>
      <c r="AI3271" s="667"/>
    </row>
    <row r="3272" spans="12:35" ht="45" customHeight="1" thickBot="1" x14ac:dyDescent="0.25">
      <c r="L3272" s="645"/>
      <c r="M3272" s="616"/>
      <c r="N3272" s="616"/>
      <c r="O3272" s="616"/>
      <c r="P3272" s="615"/>
      <c r="Q3272" s="616"/>
      <c r="R3272" s="663"/>
      <c r="S3272" s="459"/>
      <c r="T3272" s="459"/>
      <c r="U3272" s="459"/>
      <c r="V3272" s="459"/>
      <c r="W3272" s="459"/>
      <c r="X3272" s="459"/>
      <c r="Y3272" s="666"/>
      <c r="Z3272" s="664"/>
      <c r="AA3272" s="665"/>
      <c r="AB3272" s="665"/>
      <c r="AC3272" s="665"/>
      <c r="AD3272" s="665"/>
      <c r="AE3272" s="665"/>
      <c r="AF3272" s="649"/>
      <c r="AG3272" s="650"/>
      <c r="AH3272" s="650"/>
      <c r="AI3272" s="667"/>
    </row>
    <row r="3273" spans="12:35" ht="45" customHeight="1" thickBot="1" x14ac:dyDescent="0.25">
      <c r="L3273" s="645"/>
      <c r="M3273" s="616"/>
      <c r="N3273" s="616"/>
      <c r="O3273" s="616"/>
      <c r="P3273" s="615"/>
      <c r="Q3273" s="616"/>
      <c r="R3273" s="663"/>
      <c r="S3273" s="459"/>
      <c r="T3273" s="459"/>
      <c r="U3273" s="459"/>
      <c r="V3273" s="459"/>
      <c r="W3273" s="459"/>
      <c r="X3273" s="459"/>
      <c r="Y3273" s="666"/>
      <c r="Z3273" s="664"/>
      <c r="AA3273" s="665"/>
      <c r="AB3273" s="665"/>
      <c r="AC3273" s="665"/>
      <c r="AD3273" s="665"/>
      <c r="AE3273" s="665"/>
      <c r="AF3273" s="649"/>
      <c r="AG3273" s="650"/>
      <c r="AH3273" s="650"/>
      <c r="AI3273" s="667"/>
    </row>
    <row r="3274" spans="12:35" ht="45" customHeight="1" thickBot="1" x14ac:dyDescent="0.25">
      <c r="L3274" s="645"/>
      <c r="M3274" s="616"/>
      <c r="N3274" s="616"/>
      <c r="O3274" s="616"/>
      <c r="P3274" s="615"/>
      <c r="Q3274" s="616"/>
      <c r="R3274" s="663"/>
      <c r="S3274" s="459"/>
      <c r="T3274" s="459"/>
      <c r="U3274" s="459"/>
      <c r="V3274" s="459"/>
      <c r="W3274" s="459"/>
      <c r="X3274" s="459"/>
      <c r="Y3274" s="666"/>
      <c r="Z3274" s="664"/>
      <c r="AA3274" s="665"/>
      <c r="AB3274" s="665"/>
      <c r="AC3274" s="665"/>
      <c r="AD3274" s="665"/>
      <c r="AE3274" s="665"/>
      <c r="AF3274" s="649"/>
      <c r="AG3274" s="650"/>
      <c r="AH3274" s="650"/>
      <c r="AI3274" s="667"/>
    </row>
    <row r="3275" spans="12:35" ht="45" customHeight="1" thickBot="1" x14ac:dyDescent="0.25">
      <c r="L3275" s="645"/>
      <c r="M3275" s="616"/>
      <c r="N3275" s="616"/>
      <c r="O3275" s="616"/>
      <c r="P3275" s="615"/>
      <c r="Q3275" s="616"/>
      <c r="R3275" s="663"/>
      <c r="S3275" s="459"/>
      <c r="T3275" s="459"/>
      <c r="U3275" s="459"/>
      <c r="V3275" s="459"/>
      <c r="W3275" s="459"/>
      <c r="X3275" s="459"/>
      <c r="Y3275" s="666"/>
      <c r="Z3275" s="664"/>
      <c r="AA3275" s="665"/>
      <c r="AB3275" s="665"/>
      <c r="AC3275" s="665"/>
      <c r="AD3275" s="665"/>
      <c r="AE3275" s="665"/>
      <c r="AF3275" s="649"/>
      <c r="AG3275" s="650"/>
      <c r="AH3275" s="650"/>
      <c r="AI3275" s="667"/>
    </row>
    <row r="3276" spans="12:35" ht="45" customHeight="1" thickBot="1" x14ac:dyDescent="0.25">
      <c r="L3276" s="645"/>
      <c r="M3276" s="616"/>
      <c r="N3276" s="616"/>
      <c r="O3276" s="616"/>
      <c r="P3276" s="615"/>
      <c r="Q3276" s="616"/>
      <c r="R3276" s="663"/>
      <c r="S3276" s="459"/>
      <c r="T3276" s="459"/>
      <c r="U3276" s="459"/>
      <c r="V3276" s="459"/>
      <c r="W3276" s="459"/>
      <c r="X3276" s="459"/>
      <c r="Y3276" s="666"/>
      <c r="Z3276" s="664"/>
      <c r="AA3276" s="665"/>
      <c r="AB3276" s="665"/>
      <c r="AC3276" s="665"/>
      <c r="AD3276" s="665"/>
      <c r="AE3276" s="665"/>
      <c r="AF3276" s="649"/>
      <c r="AG3276" s="650"/>
      <c r="AH3276" s="650"/>
      <c r="AI3276" s="667"/>
    </row>
    <row r="3277" spans="12:35" ht="45" customHeight="1" thickBot="1" x14ac:dyDescent="0.25">
      <c r="L3277" s="645"/>
      <c r="M3277" s="616"/>
      <c r="N3277" s="616"/>
      <c r="O3277" s="616"/>
      <c r="P3277" s="615"/>
      <c r="Q3277" s="616"/>
      <c r="R3277" s="663"/>
      <c r="S3277" s="459"/>
      <c r="T3277" s="459"/>
      <c r="U3277" s="459"/>
      <c r="V3277" s="459"/>
      <c r="W3277" s="459"/>
      <c r="X3277" s="459"/>
      <c r="Y3277" s="666"/>
      <c r="Z3277" s="664"/>
      <c r="AA3277" s="665"/>
      <c r="AB3277" s="665"/>
      <c r="AC3277" s="665"/>
      <c r="AD3277" s="665"/>
      <c r="AE3277" s="665"/>
      <c r="AF3277" s="649"/>
      <c r="AG3277" s="650"/>
      <c r="AH3277" s="650"/>
      <c r="AI3277" s="667"/>
    </row>
    <row r="3278" spans="12:35" ht="45" customHeight="1" thickBot="1" x14ac:dyDescent="0.25">
      <c r="L3278" s="645"/>
      <c r="M3278" s="616"/>
      <c r="N3278" s="616"/>
      <c r="O3278" s="616"/>
      <c r="P3278" s="615"/>
      <c r="Q3278" s="616"/>
      <c r="R3278" s="663"/>
      <c r="S3278" s="459"/>
      <c r="T3278" s="459"/>
      <c r="U3278" s="459"/>
      <c r="V3278" s="459"/>
      <c r="W3278" s="459"/>
      <c r="X3278" s="459"/>
      <c r="Y3278" s="666"/>
      <c r="Z3278" s="664"/>
      <c r="AA3278" s="665"/>
      <c r="AB3278" s="665"/>
      <c r="AC3278" s="665"/>
      <c r="AD3278" s="665"/>
      <c r="AE3278" s="665"/>
      <c r="AF3278" s="649"/>
      <c r="AG3278" s="650"/>
      <c r="AH3278" s="650"/>
      <c r="AI3278" s="667"/>
    </row>
    <row r="3279" spans="12:35" ht="45" customHeight="1" thickBot="1" x14ac:dyDescent="0.25">
      <c r="L3279" s="645"/>
      <c r="M3279" s="616"/>
      <c r="N3279" s="616"/>
      <c r="O3279" s="616"/>
      <c r="P3279" s="615"/>
      <c r="Q3279" s="616"/>
      <c r="R3279" s="663"/>
      <c r="S3279" s="459"/>
      <c r="T3279" s="459"/>
      <c r="U3279" s="459"/>
      <c r="V3279" s="459"/>
      <c r="W3279" s="459"/>
      <c r="X3279" s="459"/>
      <c r="Y3279" s="666"/>
      <c r="Z3279" s="664"/>
      <c r="AA3279" s="665"/>
      <c r="AB3279" s="665"/>
      <c r="AC3279" s="665"/>
      <c r="AD3279" s="665"/>
      <c r="AE3279" s="665"/>
      <c r="AF3279" s="649"/>
      <c r="AG3279" s="650"/>
      <c r="AH3279" s="650"/>
      <c r="AI3279" s="667"/>
    </row>
    <row r="3280" spans="12:35" ht="45" customHeight="1" thickBot="1" x14ac:dyDescent="0.25">
      <c r="L3280" s="645"/>
      <c r="M3280" s="616"/>
      <c r="N3280" s="616"/>
      <c r="O3280" s="616"/>
      <c r="P3280" s="615"/>
      <c r="Q3280" s="616"/>
      <c r="R3280" s="663"/>
      <c r="S3280" s="459"/>
      <c r="T3280" s="459"/>
      <c r="U3280" s="459"/>
      <c r="V3280" s="459"/>
      <c r="W3280" s="459"/>
      <c r="X3280" s="459"/>
      <c r="Y3280" s="666"/>
      <c r="Z3280" s="664"/>
      <c r="AA3280" s="665"/>
      <c r="AB3280" s="665"/>
      <c r="AC3280" s="665"/>
      <c r="AD3280" s="665"/>
      <c r="AE3280" s="665"/>
      <c r="AF3280" s="649"/>
      <c r="AG3280" s="650"/>
      <c r="AH3280" s="650"/>
      <c r="AI3280" s="667"/>
    </row>
    <row r="3281" spans="12:35" ht="45" customHeight="1" thickBot="1" x14ac:dyDescent="0.25">
      <c r="L3281" s="645"/>
      <c r="M3281" s="616"/>
      <c r="N3281" s="616"/>
      <c r="O3281" s="616"/>
      <c r="P3281" s="615"/>
      <c r="Q3281" s="616"/>
      <c r="R3281" s="663"/>
      <c r="S3281" s="459"/>
      <c r="T3281" s="459"/>
      <c r="U3281" s="459"/>
      <c r="V3281" s="459"/>
      <c r="W3281" s="459"/>
      <c r="X3281" s="459"/>
      <c r="Y3281" s="666"/>
      <c r="Z3281" s="664"/>
      <c r="AA3281" s="665"/>
      <c r="AB3281" s="665"/>
      <c r="AC3281" s="665"/>
      <c r="AD3281" s="665"/>
      <c r="AE3281" s="665"/>
      <c r="AF3281" s="649"/>
      <c r="AG3281" s="650"/>
      <c r="AH3281" s="650"/>
      <c r="AI3281" s="667"/>
    </row>
    <row r="3282" spans="12:35" ht="45" customHeight="1" thickBot="1" x14ac:dyDescent="0.25">
      <c r="L3282" s="645"/>
      <c r="M3282" s="616"/>
      <c r="N3282" s="616"/>
      <c r="O3282" s="616"/>
      <c r="P3282" s="615"/>
      <c r="Q3282" s="616"/>
      <c r="R3282" s="663"/>
      <c r="S3282" s="459"/>
      <c r="T3282" s="459"/>
      <c r="U3282" s="459"/>
      <c r="V3282" s="459"/>
      <c r="W3282" s="459"/>
      <c r="X3282" s="459"/>
      <c r="Y3282" s="666"/>
      <c r="Z3282" s="664"/>
      <c r="AA3282" s="665"/>
      <c r="AB3282" s="665"/>
      <c r="AC3282" s="665"/>
      <c r="AD3282" s="665"/>
      <c r="AE3282" s="665"/>
      <c r="AF3282" s="649"/>
      <c r="AG3282" s="650"/>
      <c r="AH3282" s="650"/>
      <c r="AI3282" s="667"/>
    </row>
    <row r="3283" spans="12:35" ht="45" customHeight="1" thickBot="1" x14ac:dyDescent="0.25">
      <c r="L3283" s="645"/>
      <c r="M3283" s="616"/>
      <c r="N3283" s="616"/>
      <c r="O3283" s="616"/>
      <c r="P3283" s="615"/>
      <c r="Q3283" s="616"/>
      <c r="R3283" s="663"/>
      <c r="S3283" s="459"/>
      <c r="T3283" s="459"/>
      <c r="U3283" s="459"/>
      <c r="V3283" s="459"/>
      <c r="W3283" s="459"/>
      <c r="X3283" s="459"/>
      <c r="Y3283" s="666"/>
      <c r="Z3283" s="664"/>
      <c r="AA3283" s="665"/>
      <c r="AB3283" s="665"/>
      <c r="AC3283" s="665"/>
      <c r="AD3283" s="665"/>
      <c r="AE3283" s="665"/>
      <c r="AF3283" s="649"/>
      <c r="AG3283" s="650"/>
      <c r="AH3283" s="650"/>
      <c r="AI3283" s="667"/>
    </row>
    <row r="3284" spans="12:35" ht="45" customHeight="1" thickBot="1" x14ac:dyDescent="0.25">
      <c r="L3284" s="645"/>
      <c r="M3284" s="616"/>
      <c r="N3284" s="616"/>
      <c r="O3284" s="616"/>
      <c r="P3284" s="615"/>
      <c r="Q3284" s="616"/>
      <c r="R3284" s="663"/>
      <c r="S3284" s="459"/>
      <c r="T3284" s="459"/>
      <c r="U3284" s="459"/>
      <c r="V3284" s="459"/>
      <c r="W3284" s="459"/>
      <c r="X3284" s="459"/>
      <c r="Y3284" s="666"/>
      <c r="Z3284" s="664"/>
      <c r="AA3284" s="665"/>
      <c r="AB3284" s="665"/>
      <c r="AC3284" s="665"/>
      <c r="AD3284" s="665"/>
      <c r="AE3284" s="665"/>
      <c r="AF3284" s="649"/>
      <c r="AG3284" s="650"/>
      <c r="AH3284" s="650"/>
      <c r="AI3284" s="667"/>
    </row>
    <row r="3285" spans="12:35" ht="45" customHeight="1" thickBot="1" x14ac:dyDescent="0.25">
      <c r="L3285" s="645"/>
      <c r="M3285" s="616"/>
      <c r="N3285" s="616"/>
      <c r="O3285" s="616"/>
      <c r="P3285" s="615"/>
      <c r="Q3285" s="616"/>
      <c r="R3285" s="663"/>
      <c r="S3285" s="459"/>
      <c r="T3285" s="459"/>
      <c r="U3285" s="459"/>
      <c r="V3285" s="459"/>
      <c r="W3285" s="459"/>
      <c r="X3285" s="459"/>
      <c r="Y3285" s="666"/>
      <c r="Z3285" s="664"/>
      <c r="AA3285" s="665"/>
      <c r="AB3285" s="665"/>
      <c r="AC3285" s="665"/>
      <c r="AD3285" s="665"/>
      <c r="AE3285" s="665"/>
      <c r="AF3285" s="649"/>
      <c r="AG3285" s="650"/>
      <c r="AH3285" s="650"/>
      <c r="AI3285" s="667"/>
    </row>
    <row r="3286" spans="12:35" ht="45" customHeight="1" thickBot="1" x14ac:dyDescent="0.25">
      <c r="L3286" s="645"/>
      <c r="M3286" s="616"/>
      <c r="N3286" s="616"/>
      <c r="O3286" s="616"/>
      <c r="P3286" s="615"/>
      <c r="Q3286" s="616"/>
      <c r="R3286" s="663"/>
      <c r="S3286" s="459"/>
      <c r="T3286" s="459"/>
      <c r="U3286" s="459"/>
      <c r="V3286" s="459"/>
      <c r="W3286" s="459"/>
      <c r="X3286" s="459"/>
      <c r="Y3286" s="666"/>
      <c r="Z3286" s="664"/>
      <c r="AA3286" s="665"/>
      <c r="AB3286" s="665"/>
      <c r="AC3286" s="665"/>
      <c r="AD3286" s="665"/>
      <c r="AE3286" s="665"/>
      <c r="AF3286" s="649"/>
      <c r="AG3286" s="650"/>
      <c r="AH3286" s="650"/>
      <c r="AI3286" s="667"/>
    </row>
    <row r="3287" spans="12:35" ht="45" customHeight="1" thickBot="1" x14ac:dyDescent="0.25">
      <c r="L3287" s="645"/>
      <c r="M3287" s="616"/>
      <c r="N3287" s="616"/>
      <c r="O3287" s="616"/>
      <c r="P3287" s="615"/>
      <c r="Q3287" s="616"/>
      <c r="R3287" s="663"/>
      <c r="S3287" s="459"/>
      <c r="T3287" s="459"/>
      <c r="U3287" s="459"/>
      <c r="V3287" s="459"/>
      <c r="W3287" s="459"/>
      <c r="X3287" s="459"/>
      <c r="Y3287" s="666"/>
      <c r="Z3287" s="664"/>
      <c r="AA3287" s="665"/>
      <c r="AB3287" s="665"/>
      <c r="AC3287" s="665"/>
      <c r="AD3287" s="665"/>
      <c r="AE3287" s="665"/>
      <c r="AF3287" s="649"/>
      <c r="AG3287" s="650"/>
      <c r="AH3287" s="650"/>
      <c r="AI3287" s="667"/>
    </row>
    <row r="3288" spans="12:35" ht="45" customHeight="1" thickBot="1" x14ac:dyDescent="0.25">
      <c r="L3288" s="645"/>
      <c r="M3288" s="616"/>
      <c r="N3288" s="616"/>
      <c r="O3288" s="616"/>
      <c r="P3288" s="615"/>
      <c r="Q3288" s="616"/>
      <c r="R3288" s="663"/>
      <c r="S3288" s="459"/>
      <c r="T3288" s="459"/>
      <c r="U3288" s="459"/>
      <c r="V3288" s="459"/>
      <c r="W3288" s="459"/>
      <c r="X3288" s="459"/>
      <c r="Y3288" s="666"/>
      <c r="Z3288" s="664"/>
      <c r="AA3288" s="665"/>
      <c r="AB3288" s="665"/>
      <c r="AC3288" s="665"/>
      <c r="AD3288" s="665"/>
      <c r="AE3288" s="665"/>
      <c r="AF3288" s="649"/>
      <c r="AG3288" s="650"/>
      <c r="AH3288" s="650"/>
      <c r="AI3288" s="667"/>
    </row>
    <row r="3289" spans="12:35" ht="45" customHeight="1" thickBot="1" x14ac:dyDescent="0.25">
      <c r="L3289" s="645"/>
      <c r="M3289" s="616"/>
      <c r="N3289" s="616"/>
      <c r="O3289" s="616"/>
      <c r="P3289" s="615"/>
      <c r="Q3289" s="616"/>
      <c r="R3289" s="663"/>
      <c r="S3289" s="459"/>
      <c r="T3289" s="459"/>
      <c r="U3289" s="459"/>
      <c r="V3289" s="459"/>
      <c r="W3289" s="459"/>
      <c r="X3289" s="459"/>
      <c r="Y3289" s="666"/>
      <c r="Z3289" s="664"/>
      <c r="AA3289" s="665"/>
      <c r="AB3289" s="665"/>
      <c r="AC3289" s="665"/>
      <c r="AD3289" s="665"/>
      <c r="AE3289" s="665"/>
      <c r="AF3289" s="649"/>
      <c r="AG3289" s="650"/>
      <c r="AH3289" s="650"/>
      <c r="AI3289" s="667"/>
    </row>
    <row r="3290" spans="12:35" ht="45" customHeight="1" thickBot="1" x14ac:dyDescent="0.25">
      <c r="L3290" s="645"/>
      <c r="M3290" s="616"/>
      <c r="N3290" s="616"/>
      <c r="O3290" s="616"/>
      <c r="P3290" s="615"/>
      <c r="Q3290" s="616"/>
      <c r="R3290" s="663"/>
      <c r="S3290" s="459"/>
      <c r="T3290" s="459"/>
      <c r="U3290" s="459"/>
      <c r="V3290" s="459"/>
      <c r="W3290" s="459"/>
      <c r="X3290" s="459"/>
      <c r="Y3290" s="666"/>
      <c r="Z3290" s="664"/>
      <c r="AA3290" s="665"/>
      <c r="AB3290" s="665"/>
      <c r="AC3290" s="665"/>
      <c r="AD3290" s="665"/>
      <c r="AE3290" s="665"/>
      <c r="AF3290" s="649"/>
      <c r="AG3290" s="650"/>
      <c r="AH3290" s="650"/>
      <c r="AI3290" s="667"/>
    </row>
    <row r="3291" spans="12:35" ht="45" customHeight="1" thickBot="1" x14ac:dyDescent="0.25">
      <c r="L3291" s="645"/>
      <c r="M3291" s="616"/>
      <c r="N3291" s="616"/>
      <c r="O3291" s="616"/>
      <c r="P3291" s="615"/>
      <c r="Q3291" s="616"/>
      <c r="R3291" s="663"/>
      <c r="S3291" s="459"/>
      <c r="T3291" s="459"/>
      <c r="U3291" s="459"/>
      <c r="V3291" s="459"/>
      <c r="W3291" s="459"/>
      <c r="X3291" s="459"/>
      <c r="Y3291" s="666"/>
      <c r="Z3291" s="664"/>
      <c r="AA3291" s="665"/>
      <c r="AB3291" s="665"/>
      <c r="AC3291" s="665"/>
      <c r="AD3291" s="665"/>
      <c r="AE3291" s="665"/>
      <c r="AF3291" s="649"/>
      <c r="AG3291" s="650"/>
      <c r="AH3291" s="650"/>
      <c r="AI3291" s="667"/>
    </row>
    <row r="3292" spans="12:35" ht="45" customHeight="1" thickBot="1" x14ac:dyDescent="0.25">
      <c r="L3292" s="645"/>
      <c r="M3292" s="616"/>
      <c r="N3292" s="616"/>
      <c r="O3292" s="616"/>
      <c r="P3292" s="615"/>
      <c r="Q3292" s="616"/>
      <c r="R3292" s="663"/>
      <c r="S3292" s="459"/>
      <c r="T3292" s="459"/>
      <c r="U3292" s="459"/>
      <c r="V3292" s="459"/>
      <c r="W3292" s="459"/>
      <c r="X3292" s="459"/>
      <c r="Y3292" s="666"/>
      <c r="Z3292" s="664"/>
      <c r="AA3292" s="665"/>
      <c r="AB3292" s="665"/>
      <c r="AC3292" s="665"/>
      <c r="AD3292" s="665"/>
      <c r="AE3292" s="665"/>
      <c r="AF3292" s="649"/>
      <c r="AG3292" s="650"/>
      <c r="AH3292" s="650"/>
      <c r="AI3292" s="667"/>
    </row>
    <row r="3293" spans="12:35" ht="45" customHeight="1" thickBot="1" x14ac:dyDescent="0.25">
      <c r="L3293" s="645"/>
      <c r="M3293" s="616"/>
      <c r="N3293" s="616"/>
      <c r="O3293" s="616"/>
      <c r="P3293" s="615"/>
      <c r="Q3293" s="616"/>
      <c r="R3293" s="663"/>
      <c r="S3293" s="459"/>
      <c r="T3293" s="459"/>
      <c r="U3293" s="459"/>
      <c r="V3293" s="459"/>
      <c r="W3293" s="459"/>
      <c r="X3293" s="459"/>
      <c r="Y3293" s="666"/>
      <c r="Z3293" s="664"/>
      <c r="AA3293" s="665"/>
      <c r="AB3293" s="665"/>
      <c r="AC3293" s="665"/>
      <c r="AD3293" s="665"/>
      <c r="AE3293" s="665"/>
      <c r="AF3293" s="649"/>
      <c r="AG3293" s="650"/>
      <c r="AH3293" s="650"/>
      <c r="AI3293" s="667"/>
    </row>
    <row r="3294" spans="12:35" ht="45" customHeight="1" thickBot="1" x14ac:dyDescent="0.25">
      <c r="L3294" s="645"/>
      <c r="M3294" s="616"/>
      <c r="N3294" s="616"/>
      <c r="O3294" s="616"/>
      <c r="P3294" s="615"/>
      <c r="Q3294" s="616"/>
      <c r="R3294" s="663"/>
      <c r="S3294" s="459"/>
      <c r="T3294" s="459"/>
      <c r="U3294" s="459"/>
      <c r="V3294" s="459"/>
      <c r="W3294" s="459"/>
      <c r="X3294" s="459"/>
      <c r="Y3294" s="666"/>
      <c r="Z3294" s="664"/>
      <c r="AA3294" s="665"/>
      <c r="AB3294" s="665"/>
      <c r="AC3294" s="665"/>
      <c r="AD3294" s="665"/>
      <c r="AE3294" s="665"/>
      <c r="AF3294" s="649"/>
      <c r="AG3294" s="650"/>
      <c r="AH3294" s="650"/>
      <c r="AI3294" s="667"/>
    </row>
    <row r="3295" spans="12:35" ht="45" customHeight="1" thickBot="1" x14ac:dyDescent="0.25">
      <c r="L3295" s="645"/>
      <c r="M3295" s="616"/>
      <c r="N3295" s="616"/>
      <c r="O3295" s="616"/>
      <c r="P3295" s="615"/>
      <c r="Q3295" s="616"/>
      <c r="R3295" s="663"/>
      <c r="S3295" s="459"/>
      <c r="T3295" s="459"/>
      <c r="U3295" s="459"/>
      <c r="V3295" s="459"/>
      <c r="W3295" s="459"/>
      <c r="X3295" s="459"/>
      <c r="Y3295" s="666"/>
      <c r="Z3295" s="664"/>
      <c r="AA3295" s="665"/>
      <c r="AB3295" s="665"/>
      <c r="AC3295" s="665"/>
      <c r="AD3295" s="665"/>
      <c r="AE3295" s="665"/>
      <c r="AF3295" s="649"/>
      <c r="AG3295" s="650"/>
      <c r="AH3295" s="650"/>
      <c r="AI3295" s="667"/>
    </row>
    <row r="3296" spans="12:35" ht="45" customHeight="1" thickBot="1" x14ac:dyDescent="0.25">
      <c r="L3296" s="645"/>
      <c r="M3296" s="616"/>
      <c r="N3296" s="616"/>
      <c r="O3296" s="616"/>
      <c r="P3296" s="615"/>
      <c r="Q3296" s="616"/>
      <c r="R3296" s="663"/>
      <c r="S3296" s="459"/>
      <c r="T3296" s="459"/>
      <c r="U3296" s="459"/>
      <c r="V3296" s="459"/>
      <c r="W3296" s="459"/>
      <c r="X3296" s="459"/>
      <c r="Y3296" s="666"/>
      <c r="Z3296" s="664"/>
      <c r="AA3296" s="665"/>
      <c r="AB3296" s="665"/>
      <c r="AC3296" s="665"/>
      <c r="AD3296" s="665"/>
      <c r="AE3296" s="665"/>
      <c r="AF3296" s="649"/>
      <c r="AG3296" s="650"/>
      <c r="AH3296" s="650"/>
      <c r="AI3296" s="667"/>
    </row>
    <row r="3297" spans="12:35" ht="45" customHeight="1" thickBot="1" x14ac:dyDescent="0.25">
      <c r="L3297" s="645"/>
      <c r="M3297" s="616"/>
      <c r="N3297" s="616"/>
      <c r="O3297" s="616"/>
      <c r="P3297" s="615"/>
      <c r="Q3297" s="616"/>
      <c r="R3297" s="663"/>
      <c r="S3297" s="459"/>
      <c r="T3297" s="459"/>
      <c r="U3297" s="459"/>
      <c r="V3297" s="459"/>
      <c r="W3297" s="459"/>
      <c r="X3297" s="459"/>
      <c r="Y3297" s="666"/>
      <c r="Z3297" s="664"/>
      <c r="AA3297" s="665"/>
      <c r="AB3297" s="665"/>
      <c r="AC3297" s="665"/>
      <c r="AD3297" s="665"/>
      <c r="AE3297" s="665"/>
      <c r="AF3297" s="649"/>
      <c r="AG3297" s="650"/>
      <c r="AH3297" s="650"/>
      <c r="AI3297" s="667"/>
    </row>
    <row r="3298" spans="12:35" ht="45" customHeight="1" thickBot="1" x14ac:dyDescent="0.25">
      <c r="L3298" s="645"/>
      <c r="M3298" s="616"/>
      <c r="N3298" s="616"/>
      <c r="O3298" s="616"/>
      <c r="P3298" s="615"/>
      <c r="Q3298" s="616"/>
      <c r="R3298" s="663"/>
      <c r="S3298" s="459"/>
      <c r="T3298" s="459"/>
      <c r="U3298" s="459"/>
      <c r="V3298" s="459"/>
      <c r="W3298" s="459"/>
      <c r="X3298" s="459"/>
      <c r="Y3298" s="666"/>
      <c r="Z3298" s="664"/>
      <c r="AA3298" s="665"/>
      <c r="AB3298" s="665"/>
      <c r="AC3298" s="665"/>
      <c r="AD3298" s="665"/>
      <c r="AE3298" s="665"/>
      <c r="AF3298" s="649"/>
      <c r="AG3298" s="650"/>
      <c r="AH3298" s="650"/>
      <c r="AI3298" s="667"/>
    </row>
    <row r="3299" spans="12:35" ht="45" customHeight="1" thickBot="1" x14ac:dyDescent="0.25">
      <c r="L3299" s="645"/>
      <c r="M3299" s="616"/>
      <c r="N3299" s="616"/>
      <c r="O3299" s="616"/>
      <c r="P3299" s="615"/>
      <c r="Q3299" s="616"/>
      <c r="R3299" s="663"/>
      <c r="S3299" s="459"/>
      <c r="T3299" s="459"/>
      <c r="U3299" s="459"/>
      <c r="V3299" s="459"/>
      <c r="W3299" s="459"/>
      <c r="X3299" s="459"/>
      <c r="Y3299" s="666"/>
      <c r="Z3299" s="664"/>
      <c r="AA3299" s="665"/>
      <c r="AB3299" s="665"/>
      <c r="AC3299" s="665"/>
      <c r="AD3299" s="665"/>
      <c r="AE3299" s="665"/>
      <c r="AF3299" s="649"/>
      <c r="AG3299" s="650"/>
      <c r="AH3299" s="650"/>
      <c r="AI3299" s="667"/>
    </row>
    <row r="3300" spans="12:35" ht="45" customHeight="1" thickBot="1" x14ac:dyDescent="0.25">
      <c r="L3300" s="645"/>
      <c r="M3300" s="616"/>
      <c r="N3300" s="616"/>
      <c r="O3300" s="616"/>
      <c r="P3300" s="615"/>
      <c r="Q3300" s="616"/>
      <c r="R3300" s="663"/>
      <c r="S3300" s="459"/>
      <c r="T3300" s="459"/>
      <c r="U3300" s="459"/>
      <c r="V3300" s="459"/>
      <c r="W3300" s="459"/>
      <c r="X3300" s="459"/>
      <c r="Y3300" s="666"/>
      <c r="Z3300" s="664"/>
      <c r="AA3300" s="665"/>
      <c r="AB3300" s="665"/>
      <c r="AC3300" s="665"/>
      <c r="AD3300" s="665"/>
      <c r="AE3300" s="665"/>
      <c r="AF3300" s="649"/>
      <c r="AG3300" s="650"/>
      <c r="AH3300" s="650"/>
      <c r="AI3300" s="667"/>
    </row>
    <row r="3301" spans="12:35" ht="45" customHeight="1" thickBot="1" x14ac:dyDescent="0.25">
      <c r="L3301" s="645"/>
      <c r="M3301" s="616"/>
      <c r="N3301" s="616"/>
      <c r="O3301" s="616"/>
      <c r="P3301" s="615"/>
      <c r="Q3301" s="616"/>
      <c r="R3301" s="663"/>
      <c r="S3301" s="459"/>
      <c r="T3301" s="459"/>
      <c r="U3301" s="459"/>
      <c r="V3301" s="459"/>
      <c r="W3301" s="459"/>
      <c r="X3301" s="459"/>
      <c r="Y3301" s="666"/>
      <c r="Z3301" s="664"/>
      <c r="AA3301" s="665"/>
      <c r="AB3301" s="665"/>
      <c r="AC3301" s="665"/>
      <c r="AD3301" s="665"/>
      <c r="AE3301" s="665"/>
      <c r="AF3301" s="649"/>
      <c r="AG3301" s="650"/>
      <c r="AH3301" s="650"/>
      <c r="AI3301" s="667"/>
    </row>
    <row r="3302" spans="12:35" ht="45" customHeight="1" thickBot="1" x14ac:dyDescent="0.25">
      <c r="L3302" s="645"/>
      <c r="M3302" s="616"/>
      <c r="N3302" s="616"/>
      <c r="O3302" s="616"/>
      <c r="P3302" s="615"/>
      <c r="Q3302" s="616"/>
      <c r="R3302" s="663"/>
      <c r="S3302" s="459"/>
      <c r="T3302" s="459"/>
      <c r="U3302" s="459"/>
      <c r="V3302" s="459"/>
      <c r="W3302" s="459"/>
      <c r="X3302" s="459"/>
      <c r="Y3302" s="666"/>
      <c r="Z3302" s="664"/>
      <c r="AA3302" s="665"/>
      <c r="AB3302" s="665"/>
      <c r="AC3302" s="665"/>
      <c r="AD3302" s="665"/>
      <c r="AE3302" s="665"/>
      <c r="AF3302" s="649"/>
      <c r="AG3302" s="650"/>
      <c r="AH3302" s="650"/>
      <c r="AI3302" s="667"/>
    </row>
    <row r="3303" spans="12:35" ht="45" customHeight="1" thickBot="1" x14ac:dyDescent="0.25">
      <c r="L3303" s="645"/>
      <c r="M3303" s="616"/>
      <c r="N3303" s="616"/>
      <c r="O3303" s="616"/>
      <c r="P3303" s="615"/>
      <c r="Q3303" s="616"/>
      <c r="R3303" s="663"/>
      <c r="S3303" s="459"/>
      <c r="T3303" s="459"/>
      <c r="U3303" s="459"/>
      <c r="V3303" s="459"/>
      <c r="W3303" s="459"/>
      <c r="X3303" s="459"/>
      <c r="Y3303" s="666"/>
      <c r="Z3303" s="664"/>
      <c r="AA3303" s="665"/>
      <c r="AB3303" s="665"/>
      <c r="AC3303" s="665"/>
      <c r="AD3303" s="665"/>
      <c r="AE3303" s="665"/>
      <c r="AF3303" s="649"/>
      <c r="AG3303" s="650"/>
      <c r="AH3303" s="650"/>
      <c r="AI3303" s="667"/>
    </row>
    <row r="3304" spans="12:35" ht="45" customHeight="1" thickBot="1" x14ac:dyDescent="0.25">
      <c r="L3304" s="645"/>
      <c r="M3304" s="616"/>
      <c r="N3304" s="616"/>
      <c r="O3304" s="616"/>
      <c r="P3304" s="615"/>
      <c r="Q3304" s="616"/>
      <c r="R3304" s="663"/>
      <c r="S3304" s="459"/>
      <c r="T3304" s="459"/>
      <c r="U3304" s="459"/>
      <c r="V3304" s="459"/>
      <c r="W3304" s="459"/>
      <c r="X3304" s="459"/>
      <c r="Y3304" s="666"/>
      <c r="Z3304" s="664"/>
      <c r="AA3304" s="665"/>
      <c r="AB3304" s="665"/>
      <c r="AC3304" s="665"/>
      <c r="AD3304" s="665"/>
      <c r="AE3304" s="665"/>
      <c r="AF3304" s="649"/>
      <c r="AG3304" s="650"/>
      <c r="AH3304" s="650"/>
      <c r="AI3304" s="667"/>
    </row>
    <row r="3305" spans="12:35" ht="45" customHeight="1" thickBot="1" x14ac:dyDescent="0.25">
      <c r="L3305" s="645"/>
      <c r="M3305" s="616"/>
      <c r="N3305" s="616"/>
      <c r="O3305" s="616"/>
      <c r="P3305" s="615"/>
      <c r="Q3305" s="616"/>
      <c r="R3305" s="663"/>
      <c r="S3305" s="459"/>
      <c r="T3305" s="459"/>
      <c r="U3305" s="459"/>
      <c r="V3305" s="459"/>
      <c r="W3305" s="459"/>
      <c r="X3305" s="459"/>
      <c r="Y3305" s="666"/>
      <c r="Z3305" s="664"/>
      <c r="AA3305" s="665"/>
      <c r="AB3305" s="665"/>
      <c r="AC3305" s="665"/>
      <c r="AD3305" s="665"/>
      <c r="AE3305" s="665"/>
      <c r="AF3305" s="649"/>
      <c r="AG3305" s="650"/>
      <c r="AH3305" s="650"/>
      <c r="AI3305" s="667"/>
    </row>
    <row r="3306" spans="12:35" ht="45" customHeight="1" thickBot="1" x14ac:dyDescent="0.25">
      <c r="L3306" s="645"/>
      <c r="M3306" s="616"/>
      <c r="N3306" s="616"/>
      <c r="O3306" s="616"/>
      <c r="P3306" s="615"/>
      <c r="Q3306" s="616"/>
      <c r="R3306" s="663"/>
      <c r="S3306" s="459"/>
      <c r="T3306" s="459"/>
      <c r="U3306" s="459"/>
      <c r="V3306" s="459"/>
      <c r="W3306" s="459"/>
      <c r="X3306" s="459"/>
      <c r="Y3306" s="666"/>
      <c r="Z3306" s="664"/>
      <c r="AA3306" s="665"/>
      <c r="AB3306" s="665"/>
      <c r="AC3306" s="665"/>
      <c r="AD3306" s="665"/>
      <c r="AE3306" s="665"/>
      <c r="AF3306" s="649"/>
      <c r="AG3306" s="650"/>
      <c r="AH3306" s="650"/>
      <c r="AI3306" s="667"/>
    </row>
    <row r="3307" spans="12:35" ht="45" customHeight="1" thickBot="1" x14ac:dyDescent="0.25">
      <c r="L3307" s="645"/>
      <c r="M3307" s="616"/>
      <c r="N3307" s="616"/>
      <c r="O3307" s="616"/>
      <c r="P3307" s="615"/>
      <c r="Q3307" s="616"/>
      <c r="R3307" s="663"/>
      <c r="S3307" s="459"/>
      <c r="T3307" s="459"/>
      <c r="U3307" s="459"/>
      <c r="V3307" s="459"/>
      <c r="W3307" s="459"/>
      <c r="X3307" s="459"/>
      <c r="Y3307" s="666"/>
      <c r="Z3307" s="664"/>
      <c r="AA3307" s="665"/>
      <c r="AB3307" s="665"/>
      <c r="AC3307" s="665"/>
      <c r="AD3307" s="665"/>
      <c r="AE3307" s="665"/>
      <c r="AF3307" s="649"/>
      <c r="AG3307" s="650"/>
      <c r="AH3307" s="650"/>
      <c r="AI3307" s="667"/>
    </row>
    <row r="3308" spans="12:35" ht="45" customHeight="1" thickBot="1" x14ac:dyDescent="0.25">
      <c r="L3308" s="645"/>
      <c r="M3308" s="616"/>
      <c r="N3308" s="616"/>
      <c r="O3308" s="616"/>
      <c r="P3308" s="615"/>
      <c r="Q3308" s="616"/>
      <c r="R3308" s="663"/>
      <c r="S3308" s="459"/>
      <c r="T3308" s="459"/>
      <c r="U3308" s="459"/>
      <c r="V3308" s="459"/>
      <c r="W3308" s="459"/>
      <c r="X3308" s="459"/>
      <c r="Y3308" s="666"/>
      <c r="Z3308" s="664"/>
      <c r="AA3308" s="665"/>
      <c r="AB3308" s="665"/>
      <c r="AC3308" s="665"/>
      <c r="AD3308" s="665"/>
      <c r="AE3308" s="665"/>
      <c r="AF3308" s="649"/>
      <c r="AG3308" s="650"/>
      <c r="AH3308" s="650"/>
      <c r="AI3308" s="667"/>
    </row>
    <row r="3309" spans="12:35" ht="45" customHeight="1" thickBot="1" x14ac:dyDescent="0.25">
      <c r="L3309" s="645"/>
      <c r="M3309" s="616"/>
      <c r="N3309" s="616"/>
      <c r="O3309" s="616"/>
      <c r="P3309" s="615"/>
      <c r="Q3309" s="616"/>
      <c r="R3309" s="663"/>
      <c r="S3309" s="459"/>
      <c r="T3309" s="459"/>
      <c r="U3309" s="459"/>
      <c r="V3309" s="459"/>
      <c r="W3309" s="459"/>
      <c r="X3309" s="459"/>
      <c r="Y3309" s="666"/>
      <c r="Z3309" s="664"/>
      <c r="AA3309" s="665"/>
      <c r="AB3309" s="665"/>
      <c r="AC3309" s="665"/>
      <c r="AD3309" s="665"/>
      <c r="AE3309" s="665"/>
      <c r="AF3309" s="649"/>
      <c r="AG3309" s="650"/>
      <c r="AH3309" s="650"/>
      <c r="AI3309" s="667"/>
    </row>
    <row r="3310" spans="12:35" ht="45" customHeight="1" thickBot="1" x14ac:dyDescent="0.25">
      <c r="L3310" s="645"/>
      <c r="M3310" s="616"/>
      <c r="N3310" s="616"/>
      <c r="O3310" s="616"/>
      <c r="P3310" s="615"/>
      <c r="Q3310" s="616"/>
      <c r="R3310" s="663"/>
      <c r="S3310" s="459"/>
      <c r="T3310" s="459"/>
      <c r="U3310" s="459"/>
      <c r="V3310" s="459"/>
      <c r="W3310" s="459"/>
      <c r="X3310" s="459"/>
      <c r="Y3310" s="666"/>
      <c r="Z3310" s="664"/>
      <c r="AA3310" s="665"/>
      <c r="AB3310" s="665"/>
      <c r="AC3310" s="665"/>
      <c r="AD3310" s="665"/>
      <c r="AE3310" s="665"/>
      <c r="AF3310" s="649"/>
      <c r="AG3310" s="650"/>
      <c r="AH3310" s="650"/>
      <c r="AI3310" s="667"/>
    </row>
    <row r="3311" spans="12:35" ht="45" customHeight="1" thickBot="1" x14ac:dyDescent="0.25">
      <c r="L3311" s="645"/>
      <c r="M3311" s="616"/>
      <c r="N3311" s="616"/>
      <c r="O3311" s="616"/>
      <c r="P3311" s="615"/>
      <c r="Q3311" s="616"/>
      <c r="R3311" s="663"/>
      <c r="S3311" s="459"/>
      <c r="T3311" s="459"/>
      <c r="U3311" s="459"/>
      <c r="V3311" s="459"/>
      <c r="W3311" s="459"/>
      <c r="X3311" s="459"/>
      <c r="Y3311" s="666"/>
      <c r="Z3311" s="664"/>
      <c r="AA3311" s="665"/>
      <c r="AB3311" s="665"/>
      <c r="AC3311" s="665"/>
      <c r="AD3311" s="665"/>
      <c r="AE3311" s="665"/>
      <c r="AF3311" s="649"/>
      <c r="AG3311" s="650"/>
      <c r="AH3311" s="650"/>
      <c r="AI3311" s="667"/>
    </row>
    <row r="3312" spans="12:35" ht="45" customHeight="1" thickBot="1" x14ac:dyDescent="0.25">
      <c r="L3312" s="645"/>
      <c r="M3312" s="616"/>
      <c r="N3312" s="616"/>
      <c r="O3312" s="616"/>
      <c r="P3312" s="615"/>
      <c r="Q3312" s="616"/>
      <c r="R3312" s="663"/>
      <c r="S3312" s="459"/>
      <c r="T3312" s="459"/>
      <c r="U3312" s="459"/>
      <c r="V3312" s="459"/>
      <c r="W3312" s="459"/>
      <c r="X3312" s="459"/>
      <c r="Y3312" s="666"/>
      <c r="Z3312" s="664"/>
      <c r="AA3312" s="665"/>
      <c r="AB3312" s="665"/>
      <c r="AC3312" s="665"/>
      <c r="AD3312" s="665"/>
      <c r="AE3312" s="665"/>
      <c r="AF3312" s="649"/>
      <c r="AG3312" s="650"/>
      <c r="AH3312" s="650"/>
      <c r="AI3312" s="667"/>
    </row>
    <row r="3313" spans="12:35" ht="45" customHeight="1" thickBot="1" x14ac:dyDescent="0.25">
      <c r="L3313" s="645"/>
      <c r="M3313" s="616"/>
      <c r="N3313" s="616"/>
      <c r="O3313" s="616"/>
      <c r="P3313" s="615"/>
      <c r="Q3313" s="616"/>
      <c r="R3313" s="663"/>
      <c r="S3313" s="459"/>
      <c r="T3313" s="459"/>
      <c r="U3313" s="459"/>
      <c r="V3313" s="459"/>
      <c r="W3313" s="459"/>
      <c r="X3313" s="459"/>
      <c r="Y3313" s="666"/>
      <c r="Z3313" s="664"/>
      <c r="AA3313" s="665"/>
      <c r="AB3313" s="665"/>
      <c r="AC3313" s="665"/>
      <c r="AD3313" s="665"/>
      <c r="AE3313" s="665"/>
      <c r="AF3313" s="649"/>
      <c r="AG3313" s="650"/>
      <c r="AH3313" s="650"/>
      <c r="AI3313" s="667"/>
    </row>
    <row r="3314" spans="12:35" ht="45" customHeight="1" thickBot="1" x14ac:dyDescent="0.25">
      <c r="L3314" s="645"/>
      <c r="M3314" s="616"/>
      <c r="N3314" s="616"/>
      <c r="O3314" s="616"/>
      <c r="P3314" s="615"/>
      <c r="Q3314" s="616"/>
      <c r="R3314" s="663"/>
      <c r="S3314" s="459"/>
      <c r="T3314" s="459"/>
      <c r="U3314" s="459"/>
      <c r="V3314" s="459"/>
      <c r="W3314" s="459"/>
      <c r="X3314" s="459"/>
      <c r="Y3314" s="666"/>
      <c r="Z3314" s="664"/>
      <c r="AA3314" s="665"/>
      <c r="AB3314" s="665"/>
      <c r="AC3314" s="665"/>
      <c r="AD3314" s="665"/>
      <c r="AE3314" s="665"/>
      <c r="AF3314" s="649"/>
      <c r="AG3314" s="650"/>
      <c r="AH3314" s="650"/>
      <c r="AI3314" s="667"/>
    </row>
    <row r="3315" spans="12:35" ht="45" customHeight="1" thickBot="1" x14ac:dyDescent="0.25">
      <c r="L3315" s="645"/>
      <c r="M3315" s="616"/>
      <c r="N3315" s="616"/>
      <c r="O3315" s="616"/>
      <c r="P3315" s="615"/>
      <c r="Q3315" s="616"/>
      <c r="R3315" s="663"/>
      <c r="S3315" s="459"/>
      <c r="T3315" s="459"/>
      <c r="U3315" s="459"/>
      <c r="V3315" s="459"/>
      <c r="W3315" s="459"/>
      <c r="X3315" s="459"/>
      <c r="Y3315" s="666"/>
      <c r="Z3315" s="664"/>
      <c r="AA3315" s="665"/>
      <c r="AB3315" s="665"/>
      <c r="AC3315" s="665"/>
      <c r="AD3315" s="665"/>
      <c r="AE3315" s="665"/>
      <c r="AF3315" s="649"/>
      <c r="AG3315" s="650"/>
      <c r="AH3315" s="650"/>
      <c r="AI3315" s="667"/>
    </row>
    <row r="3316" spans="12:35" ht="45" customHeight="1" thickBot="1" x14ac:dyDescent="0.25">
      <c r="L3316" s="645"/>
      <c r="M3316" s="616"/>
      <c r="N3316" s="616"/>
      <c r="O3316" s="616"/>
      <c r="P3316" s="615"/>
      <c r="Q3316" s="616"/>
      <c r="R3316" s="663"/>
      <c r="S3316" s="459"/>
      <c r="T3316" s="459"/>
      <c r="U3316" s="459"/>
      <c r="V3316" s="459"/>
      <c r="W3316" s="459"/>
      <c r="X3316" s="459"/>
      <c r="Y3316" s="666"/>
      <c r="Z3316" s="664"/>
      <c r="AA3316" s="665"/>
      <c r="AB3316" s="665"/>
      <c r="AC3316" s="665"/>
      <c r="AD3316" s="665"/>
      <c r="AE3316" s="665"/>
      <c r="AF3316" s="649"/>
      <c r="AG3316" s="650"/>
      <c r="AH3316" s="650"/>
      <c r="AI3316" s="667"/>
    </row>
    <row r="3317" spans="12:35" ht="45" customHeight="1" thickBot="1" x14ac:dyDescent="0.25">
      <c r="L3317" s="645"/>
      <c r="M3317" s="616"/>
      <c r="N3317" s="616"/>
      <c r="O3317" s="616"/>
      <c r="P3317" s="615"/>
      <c r="Q3317" s="616"/>
      <c r="R3317" s="663"/>
      <c r="S3317" s="459"/>
      <c r="T3317" s="459"/>
      <c r="U3317" s="459"/>
      <c r="V3317" s="459"/>
      <c r="W3317" s="459"/>
      <c r="X3317" s="459"/>
      <c r="Y3317" s="666"/>
      <c r="Z3317" s="664"/>
      <c r="AA3317" s="665"/>
      <c r="AB3317" s="665"/>
      <c r="AC3317" s="665"/>
      <c r="AD3317" s="665"/>
      <c r="AE3317" s="665"/>
      <c r="AF3317" s="649"/>
      <c r="AG3317" s="650"/>
      <c r="AH3317" s="650"/>
      <c r="AI3317" s="667"/>
    </row>
    <row r="3318" spans="12:35" ht="45" customHeight="1" thickBot="1" x14ac:dyDescent="0.25">
      <c r="L3318" s="645"/>
      <c r="M3318" s="616"/>
      <c r="N3318" s="616"/>
      <c r="O3318" s="616"/>
      <c r="P3318" s="615"/>
      <c r="Q3318" s="616"/>
      <c r="R3318" s="663"/>
      <c r="S3318" s="459"/>
      <c r="T3318" s="459"/>
      <c r="U3318" s="459"/>
      <c r="V3318" s="459"/>
      <c r="W3318" s="459"/>
      <c r="X3318" s="459"/>
      <c r="Y3318" s="666"/>
      <c r="Z3318" s="664"/>
      <c r="AA3318" s="665"/>
      <c r="AB3318" s="665"/>
      <c r="AC3318" s="665"/>
      <c r="AD3318" s="665"/>
      <c r="AE3318" s="665"/>
      <c r="AF3318" s="649"/>
      <c r="AG3318" s="650"/>
      <c r="AH3318" s="650"/>
      <c r="AI3318" s="667"/>
    </row>
    <row r="3319" spans="12:35" ht="45" customHeight="1" thickBot="1" x14ac:dyDescent="0.25">
      <c r="L3319" s="645"/>
      <c r="M3319" s="616"/>
      <c r="N3319" s="616"/>
      <c r="O3319" s="616"/>
      <c r="P3319" s="615"/>
      <c r="Q3319" s="616"/>
      <c r="R3319" s="663"/>
      <c r="S3319" s="459"/>
      <c r="T3319" s="459"/>
      <c r="U3319" s="459"/>
      <c r="V3319" s="459"/>
      <c r="W3319" s="459"/>
      <c r="X3319" s="459"/>
      <c r="Y3319" s="666"/>
      <c r="Z3319" s="664"/>
      <c r="AA3319" s="665"/>
      <c r="AB3319" s="665"/>
      <c r="AC3319" s="665"/>
      <c r="AD3319" s="665"/>
      <c r="AE3319" s="665"/>
      <c r="AF3319" s="649"/>
      <c r="AG3319" s="650"/>
      <c r="AH3319" s="650"/>
      <c r="AI3319" s="667"/>
    </row>
    <row r="3320" spans="12:35" ht="45" customHeight="1" thickBot="1" x14ac:dyDescent="0.25">
      <c r="L3320" s="645"/>
      <c r="M3320" s="616"/>
      <c r="N3320" s="616"/>
      <c r="O3320" s="616"/>
      <c r="P3320" s="615"/>
      <c r="Q3320" s="616"/>
      <c r="R3320" s="663"/>
      <c r="S3320" s="459"/>
      <c r="T3320" s="459"/>
      <c r="U3320" s="459"/>
      <c r="V3320" s="459"/>
      <c r="W3320" s="459"/>
      <c r="X3320" s="459"/>
      <c r="Y3320" s="666"/>
      <c r="Z3320" s="664"/>
      <c r="AA3320" s="665"/>
      <c r="AB3320" s="665"/>
      <c r="AC3320" s="665"/>
      <c r="AD3320" s="665"/>
      <c r="AE3320" s="665"/>
      <c r="AF3320" s="649"/>
      <c r="AG3320" s="650"/>
      <c r="AH3320" s="650"/>
      <c r="AI3320" s="667"/>
    </row>
    <row r="3321" spans="12:35" ht="45" customHeight="1" thickBot="1" x14ac:dyDescent="0.25">
      <c r="L3321" s="645"/>
      <c r="M3321" s="616"/>
      <c r="N3321" s="616"/>
      <c r="O3321" s="616"/>
      <c r="P3321" s="615"/>
      <c r="Q3321" s="616"/>
      <c r="R3321" s="663"/>
      <c r="S3321" s="459"/>
      <c r="T3321" s="459"/>
      <c r="U3321" s="459"/>
      <c r="V3321" s="459"/>
      <c r="W3321" s="459"/>
      <c r="X3321" s="459"/>
      <c r="Y3321" s="666"/>
      <c r="Z3321" s="664"/>
      <c r="AA3321" s="665"/>
      <c r="AB3321" s="665"/>
      <c r="AC3321" s="665"/>
      <c r="AD3321" s="665"/>
      <c r="AE3321" s="665"/>
      <c r="AF3321" s="649"/>
      <c r="AG3321" s="650"/>
      <c r="AH3321" s="650"/>
      <c r="AI3321" s="667"/>
    </row>
    <row r="3322" spans="12:35" ht="45" customHeight="1" thickBot="1" x14ac:dyDescent="0.25">
      <c r="L3322" s="645"/>
      <c r="M3322" s="616"/>
      <c r="N3322" s="616"/>
      <c r="O3322" s="616"/>
      <c r="P3322" s="615"/>
      <c r="Q3322" s="616"/>
      <c r="R3322" s="663"/>
      <c r="S3322" s="459"/>
      <c r="T3322" s="459"/>
      <c r="U3322" s="459"/>
      <c r="V3322" s="459"/>
      <c r="W3322" s="459"/>
      <c r="X3322" s="459"/>
      <c r="Y3322" s="666"/>
      <c r="Z3322" s="664"/>
      <c r="AA3322" s="665"/>
      <c r="AB3322" s="665"/>
      <c r="AC3322" s="665"/>
      <c r="AD3322" s="665"/>
      <c r="AE3322" s="665"/>
      <c r="AF3322" s="649"/>
      <c r="AG3322" s="650"/>
      <c r="AH3322" s="650"/>
      <c r="AI3322" s="667"/>
    </row>
    <row r="3323" spans="12:35" ht="45" customHeight="1" thickBot="1" x14ac:dyDescent="0.25">
      <c r="L3323" s="645"/>
      <c r="M3323" s="616"/>
      <c r="N3323" s="616"/>
      <c r="O3323" s="616"/>
      <c r="P3323" s="615"/>
      <c r="Q3323" s="616"/>
      <c r="R3323" s="663"/>
      <c r="S3323" s="459"/>
      <c r="T3323" s="459"/>
      <c r="U3323" s="459"/>
      <c r="V3323" s="459"/>
      <c r="W3323" s="459"/>
      <c r="X3323" s="459"/>
      <c r="Y3323" s="666"/>
      <c r="Z3323" s="664"/>
      <c r="AA3323" s="665"/>
      <c r="AB3323" s="665"/>
      <c r="AC3323" s="665"/>
      <c r="AD3323" s="665"/>
      <c r="AE3323" s="665"/>
      <c r="AF3323" s="649"/>
      <c r="AG3323" s="650"/>
      <c r="AH3323" s="650"/>
      <c r="AI3323" s="667"/>
    </row>
    <row r="3324" spans="12:35" ht="45" customHeight="1" thickBot="1" x14ac:dyDescent="0.25">
      <c r="L3324" s="645"/>
      <c r="M3324" s="616"/>
      <c r="N3324" s="616"/>
      <c r="O3324" s="616"/>
      <c r="P3324" s="615"/>
      <c r="Q3324" s="616"/>
      <c r="R3324" s="663"/>
      <c r="S3324" s="459"/>
      <c r="T3324" s="459"/>
      <c r="U3324" s="459"/>
      <c r="V3324" s="459"/>
      <c r="W3324" s="459"/>
      <c r="X3324" s="459"/>
      <c r="Y3324" s="666"/>
      <c r="Z3324" s="664"/>
      <c r="AA3324" s="665"/>
      <c r="AB3324" s="665"/>
      <c r="AC3324" s="665"/>
      <c r="AD3324" s="665"/>
      <c r="AE3324" s="665"/>
      <c r="AF3324" s="649"/>
      <c r="AG3324" s="650"/>
      <c r="AH3324" s="650"/>
      <c r="AI3324" s="667"/>
    </row>
    <row r="3325" spans="12:35" ht="45" customHeight="1" thickBot="1" x14ac:dyDescent="0.25">
      <c r="L3325" s="645"/>
      <c r="M3325" s="616"/>
      <c r="N3325" s="616"/>
      <c r="O3325" s="616"/>
      <c r="P3325" s="615"/>
      <c r="Q3325" s="616"/>
      <c r="R3325" s="663"/>
      <c r="S3325" s="459"/>
      <c r="T3325" s="459"/>
      <c r="U3325" s="459"/>
      <c r="V3325" s="459"/>
      <c r="W3325" s="459"/>
      <c r="X3325" s="459"/>
      <c r="Y3325" s="666"/>
      <c r="Z3325" s="664"/>
      <c r="AA3325" s="665"/>
      <c r="AB3325" s="665"/>
      <c r="AC3325" s="665"/>
      <c r="AD3325" s="665"/>
      <c r="AE3325" s="665"/>
      <c r="AF3325" s="649"/>
      <c r="AG3325" s="650"/>
      <c r="AH3325" s="650"/>
      <c r="AI3325" s="667"/>
    </row>
    <row r="3326" spans="12:35" ht="45" customHeight="1" thickBot="1" x14ac:dyDescent="0.25">
      <c r="L3326" s="645"/>
      <c r="M3326" s="616"/>
      <c r="N3326" s="616"/>
      <c r="O3326" s="616"/>
      <c r="P3326" s="615"/>
      <c r="Q3326" s="616"/>
      <c r="R3326" s="663"/>
      <c r="S3326" s="459"/>
      <c r="T3326" s="459"/>
      <c r="U3326" s="459"/>
      <c r="V3326" s="459"/>
      <c r="W3326" s="459"/>
      <c r="X3326" s="459"/>
      <c r="Y3326" s="666"/>
      <c r="Z3326" s="664"/>
      <c r="AA3326" s="665"/>
      <c r="AB3326" s="665"/>
      <c r="AC3326" s="665"/>
      <c r="AD3326" s="665"/>
      <c r="AE3326" s="665"/>
      <c r="AF3326" s="649"/>
      <c r="AG3326" s="650"/>
      <c r="AH3326" s="650"/>
      <c r="AI3326" s="667"/>
    </row>
    <row r="3327" spans="12:35" ht="45" customHeight="1" thickBot="1" x14ac:dyDescent="0.25">
      <c r="L3327" s="645"/>
      <c r="M3327" s="616"/>
      <c r="N3327" s="616"/>
      <c r="O3327" s="616"/>
      <c r="P3327" s="615"/>
      <c r="Q3327" s="616"/>
      <c r="R3327" s="663"/>
      <c r="S3327" s="459"/>
      <c r="T3327" s="459"/>
      <c r="U3327" s="459"/>
      <c r="V3327" s="459"/>
      <c r="W3327" s="459"/>
      <c r="X3327" s="459"/>
      <c r="Y3327" s="666"/>
      <c r="Z3327" s="664"/>
      <c r="AA3327" s="665"/>
      <c r="AB3327" s="665"/>
      <c r="AC3327" s="665"/>
      <c r="AD3327" s="665"/>
      <c r="AE3327" s="665"/>
      <c r="AF3327" s="649"/>
      <c r="AG3327" s="650"/>
      <c r="AH3327" s="650"/>
      <c r="AI3327" s="667"/>
    </row>
    <row r="3328" spans="12:35" ht="45" customHeight="1" thickBot="1" x14ac:dyDescent="0.25">
      <c r="L3328" s="645"/>
      <c r="M3328" s="616"/>
      <c r="N3328" s="616"/>
      <c r="O3328" s="616"/>
      <c r="P3328" s="615"/>
      <c r="Q3328" s="616"/>
      <c r="R3328" s="663"/>
      <c r="S3328" s="459"/>
      <c r="T3328" s="459"/>
      <c r="U3328" s="459"/>
      <c r="V3328" s="459"/>
      <c r="W3328" s="459"/>
      <c r="X3328" s="459"/>
      <c r="Y3328" s="666"/>
      <c r="Z3328" s="664"/>
      <c r="AA3328" s="665"/>
      <c r="AB3328" s="665"/>
      <c r="AC3328" s="665"/>
      <c r="AD3328" s="665"/>
      <c r="AE3328" s="665"/>
      <c r="AF3328" s="649"/>
      <c r="AG3328" s="650"/>
      <c r="AH3328" s="650"/>
      <c r="AI3328" s="667"/>
    </row>
    <row r="3329" spans="12:35" ht="45" customHeight="1" thickBot="1" x14ac:dyDescent="0.25">
      <c r="L3329" s="645"/>
      <c r="M3329" s="616"/>
      <c r="N3329" s="616"/>
      <c r="O3329" s="616"/>
      <c r="P3329" s="615"/>
      <c r="Q3329" s="616"/>
      <c r="R3329" s="663"/>
      <c r="S3329" s="459"/>
      <c r="T3329" s="459"/>
      <c r="U3329" s="459"/>
      <c r="V3329" s="459"/>
      <c r="W3329" s="459"/>
      <c r="X3329" s="459"/>
      <c r="Y3329" s="666"/>
      <c r="Z3329" s="664"/>
      <c r="AA3329" s="665"/>
      <c r="AB3329" s="665"/>
      <c r="AC3329" s="665"/>
      <c r="AD3329" s="665"/>
      <c r="AE3329" s="665"/>
      <c r="AF3329" s="649"/>
      <c r="AG3329" s="650"/>
      <c r="AH3329" s="650"/>
      <c r="AI3329" s="667"/>
    </row>
    <row r="3330" spans="12:35" ht="45" customHeight="1" thickBot="1" x14ac:dyDescent="0.25">
      <c r="L3330" s="645"/>
      <c r="M3330" s="616"/>
      <c r="N3330" s="616"/>
      <c r="O3330" s="616"/>
      <c r="P3330" s="615"/>
      <c r="Q3330" s="616"/>
      <c r="R3330" s="663"/>
      <c r="S3330" s="459"/>
      <c r="T3330" s="459"/>
      <c r="U3330" s="459"/>
      <c r="V3330" s="459"/>
      <c r="W3330" s="459"/>
      <c r="X3330" s="459"/>
      <c r="Y3330" s="666"/>
      <c r="Z3330" s="664"/>
      <c r="AA3330" s="665"/>
      <c r="AB3330" s="665"/>
      <c r="AC3330" s="665"/>
      <c r="AD3330" s="665"/>
      <c r="AE3330" s="665"/>
      <c r="AF3330" s="649"/>
      <c r="AG3330" s="650"/>
      <c r="AH3330" s="650"/>
      <c r="AI3330" s="667"/>
    </row>
    <row r="3331" spans="12:35" ht="45" customHeight="1" thickBot="1" x14ac:dyDescent="0.25">
      <c r="L3331" s="645"/>
      <c r="M3331" s="616"/>
      <c r="N3331" s="616"/>
      <c r="O3331" s="616"/>
      <c r="P3331" s="615"/>
      <c r="Q3331" s="616"/>
      <c r="R3331" s="663"/>
      <c r="S3331" s="459"/>
      <c r="T3331" s="459"/>
      <c r="U3331" s="459"/>
      <c r="V3331" s="459"/>
      <c r="W3331" s="459"/>
      <c r="X3331" s="459"/>
      <c r="Y3331" s="666"/>
      <c r="Z3331" s="664"/>
      <c r="AA3331" s="665"/>
      <c r="AB3331" s="665"/>
      <c r="AC3331" s="665"/>
      <c r="AD3331" s="665"/>
      <c r="AE3331" s="665"/>
      <c r="AF3331" s="649"/>
      <c r="AG3331" s="650"/>
      <c r="AH3331" s="650"/>
      <c r="AI3331" s="667"/>
    </row>
    <row r="3332" spans="12:35" ht="45" customHeight="1" thickBot="1" x14ac:dyDescent="0.25">
      <c r="L3332" s="645"/>
      <c r="M3332" s="616"/>
      <c r="N3332" s="616"/>
      <c r="O3332" s="616"/>
      <c r="P3332" s="615"/>
      <c r="Q3332" s="616"/>
      <c r="R3332" s="663"/>
      <c r="S3332" s="459"/>
      <c r="T3332" s="459"/>
      <c r="U3332" s="459"/>
      <c r="V3332" s="459"/>
      <c r="W3332" s="459"/>
      <c r="X3332" s="459"/>
      <c r="Y3332" s="666"/>
      <c r="Z3332" s="664"/>
      <c r="AA3332" s="665"/>
      <c r="AB3332" s="665"/>
      <c r="AC3332" s="665"/>
      <c r="AD3332" s="665"/>
      <c r="AE3332" s="665"/>
      <c r="AF3332" s="649"/>
      <c r="AG3332" s="650"/>
      <c r="AH3332" s="650"/>
      <c r="AI3332" s="667"/>
    </row>
    <row r="3333" spans="12:35" ht="45" customHeight="1" thickBot="1" x14ac:dyDescent="0.25">
      <c r="L3333" s="645"/>
      <c r="M3333" s="616"/>
      <c r="N3333" s="616"/>
      <c r="O3333" s="616"/>
      <c r="P3333" s="615"/>
      <c r="Q3333" s="616"/>
      <c r="R3333" s="663"/>
      <c r="S3333" s="459"/>
      <c r="T3333" s="459"/>
      <c r="U3333" s="459"/>
      <c r="V3333" s="459"/>
      <c r="W3333" s="459"/>
      <c r="X3333" s="459"/>
      <c r="Y3333" s="666"/>
      <c r="Z3333" s="664"/>
      <c r="AA3333" s="665"/>
      <c r="AB3333" s="665"/>
      <c r="AC3333" s="665"/>
      <c r="AD3333" s="665"/>
      <c r="AE3333" s="665"/>
      <c r="AF3333" s="649"/>
      <c r="AG3333" s="650"/>
      <c r="AH3333" s="650"/>
      <c r="AI3333" s="667"/>
    </row>
    <row r="3334" spans="12:35" ht="45" customHeight="1" thickBot="1" x14ac:dyDescent="0.25">
      <c r="L3334" s="645"/>
      <c r="M3334" s="616"/>
      <c r="N3334" s="616"/>
      <c r="O3334" s="616"/>
      <c r="P3334" s="615"/>
      <c r="Q3334" s="616"/>
      <c r="R3334" s="663"/>
      <c r="S3334" s="459"/>
      <c r="T3334" s="459"/>
      <c r="U3334" s="459"/>
      <c r="V3334" s="459"/>
      <c r="W3334" s="459"/>
      <c r="X3334" s="459"/>
      <c r="Y3334" s="666"/>
      <c r="Z3334" s="664"/>
      <c r="AA3334" s="665"/>
      <c r="AB3334" s="665"/>
      <c r="AC3334" s="665"/>
      <c r="AD3334" s="665"/>
      <c r="AE3334" s="665"/>
      <c r="AF3334" s="649"/>
      <c r="AG3334" s="650"/>
      <c r="AH3334" s="650"/>
      <c r="AI3334" s="667"/>
    </row>
    <row r="3335" spans="12:35" ht="45" customHeight="1" thickBot="1" x14ac:dyDescent="0.25">
      <c r="L3335" s="645"/>
      <c r="M3335" s="616"/>
      <c r="N3335" s="616"/>
      <c r="O3335" s="616"/>
      <c r="P3335" s="615"/>
      <c r="Q3335" s="616"/>
      <c r="R3335" s="663"/>
      <c r="S3335" s="459"/>
      <c r="T3335" s="459"/>
      <c r="U3335" s="459"/>
      <c r="V3335" s="459"/>
      <c r="W3335" s="459"/>
      <c r="X3335" s="459"/>
      <c r="Y3335" s="666"/>
      <c r="Z3335" s="664"/>
      <c r="AA3335" s="665"/>
      <c r="AB3335" s="665"/>
      <c r="AC3335" s="665"/>
      <c r="AD3335" s="665"/>
      <c r="AE3335" s="665"/>
      <c r="AF3335" s="649"/>
      <c r="AG3335" s="650"/>
      <c r="AH3335" s="650"/>
      <c r="AI3335" s="667"/>
    </row>
    <row r="3336" spans="12:35" ht="45" customHeight="1" thickBot="1" x14ac:dyDescent="0.25">
      <c r="L3336" s="645"/>
      <c r="M3336" s="616"/>
      <c r="N3336" s="616"/>
      <c r="O3336" s="616"/>
      <c r="P3336" s="615"/>
      <c r="Q3336" s="616"/>
      <c r="R3336" s="663"/>
      <c r="S3336" s="459"/>
      <c r="T3336" s="459"/>
      <c r="U3336" s="459"/>
      <c r="V3336" s="459"/>
      <c r="W3336" s="459"/>
      <c r="X3336" s="459"/>
      <c r="Y3336" s="666"/>
      <c r="Z3336" s="664"/>
      <c r="AA3336" s="665"/>
      <c r="AB3336" s="665"/>
      <c r="AC3336" s="665"/>
      <c r="AD3336" s="665"/>
      <c r="AE3336" s="665"/>
      <c r="AF3336" s="649"/>
      <c r="AG3336" s="650"/>
      <c r="AH3336" s="650"/>
      <c r="AI3336" s="667"/>
    </row>
    <row r="3337" spans="12:35" ht="45" customHeight="1" thickBot="1" x14ac:dyDescent="0.25">
      <c r="L3337" s="645"/>
      <c r="M3337" s="616"/>
      <c r="N3337" s="616"/>
      <c r="O3337" s="616"/>
      <c r="P3337" s="615"/>
      <c r="Q3337" s="616"/>
      <c r="R3337" s="663"/>
      <c r="S3337" s="459"/>
      <c r="T3337" s="459"/>
      <c r="U3337" s="459"/>
      <c r="V3337" s="459"/>
      <c r="W3337" s="459"/>
      <c r="X3337" s="459"/>
      <c r="Y3337" s="666"/>
      <c r="Z3337" s="664"/>
      <c r="AA3337" s="665"/>
      <c r="AB3337" s="665"/>
      <c r="AC3337" s="665"/>
      <c r="AD3337" s="665"/>
      <c r="AE3337" s="665"/>
      <c r="AF3337" s="649"/>
      <c r="AG3337" s="650"/>
      <c r="AH3337" s="650"/>
      <c r="AI3337" s="667"/>
    </row>
    <row r="3338" spans="12:35" ht="45" customHeight="1" thickBot="1" x14ac:dyDescent="0.25">
      <c r="L3338" s="645"/>
      <c r="M3338" s="616"/>
      <c r="N3338" s="616"/>
      <c r="O3338" s="616"/>
      <c r="P3338" s="615"/>
      <c r="Q3338" s="616"/>
      <c r="R3338" s="663"/>
      <c r="S3338" s="459"/>
      <c r="T3338" s="459"/>
      <c r="U3338" s="459"/>
      <c r="V3338" s="459"/>
      <c r="W3338" s="459"/>
      <c r="X3338" s="459"/>
      <c r="Y3338" s="666"/>
      <c r="Z3338" s="664"/>
      <c r="AA3338" s="665"/>
      <c r="AB3338" s="665"/>
      <c r="AC3338" s="665"/>
      <c r="AD3338" s="665"/>
      <c r="AE3338" s="665"/>
      <c r="AF3338" s="649"/>
      <c r="AG3338" s="650"/>
      <c r="AH3338" s="650"/>
      <c r="AI3338" s="667"/>
    </row>
    <row r="3339" spans="12:35" ht="45" customHeight="1" thickBot="1" x14ac:dyDescent="0.25">
      <c r="L3339" s="645"/>
      <c r="M3339" s="616"/>
      <c r="N3339" s="616"/>
      <c r="O3339" s="616"/>
      <c r="P3339" s="615"/>
      <c r="Q3339" s="616"/>
      <c r="R3339" s="663"/>
      <c r="S3339" s="459"/>
      <c r="T3339" s="459"/>
      <c r="U3339" s="459"/>
      <c r="V3339" s="459"/>
      <c r="W3339" s="459"/>
      <c r="X3339" s="459"/>
      <c r="Y3339" s="666"/>
      <c r="Z3339" s="664"/>
      <c r="AA3339" s="665"/>
      <c r="AB3339" s="665"/>
      <c r="AC3339" s="665"/>
      <c r="AD3339" s="665"/>
      <c r="AE3339" s="665"/>
      <c r="AF3339" s="649"/>
      <c r="AG3339" s="650"/>
      <c r="AH3339" s="650"/>
      <c r="AI3339" s="667"/>
    </row>
    <row r="3340" spans="12:35" ht="45" customHeight="1" thickBot="1" x14ac:dyDescent="0.25">
      <c r="L3340" s="645"/>
      <c r="M3340" s="616"/>
      <c r="N3340" s="616"/>
      <c r="O3340" s="616"/>
      <c r="P3340" s="615"/>
      <c r="Q3340" s="616"/>
      <c r="R3340" s="663"/>
      <c r="S3340" s="459"/>
      <c r="T3340" s="459"/>
      <c r="U3340" s="459"/>
      <c r="V3340" s="459"/>
      <c r="W3340" s="459"/>
      <c r="X3340" s="459"/>
      <c r="Y3340" s="666"/>
      <c r="Z3340" s="664"/>
      <c r="AA3340" s="665"/>
      <c r="AB3340" s="665"/>
      <c r="AC3340" s="665"/>
      <c r="AD3340" s="665"/>
      <c r="AE3340" s="665"/>
      <c r="AF3340" s="649"/>
      <c r="AG3340" s="650"/>
      <c r="AH3340" s="650"/>
      <c r="AI3340" s="667"/>
    </row>
    <row r="3341" spans="12:35" ht="45" customHeight="1" thickBot="1" x14ac:dyDescent="0.25">
      <c r="L3341" s="645"/>
      <c r="M3341" s="616"/>
      <c r="N3341" s="616"/>
      <c r="O3341" s="616"/>
      <c r="P3341" s="615"/>
      <c r="Q3341" s="616"/>
      <c r="R3341" s="663"/>
      <c r="S3341" s="459"/>
      <c r="T3341" s="459"/>
      <c r="U3341" s="459"/>
      <c r="V3341" s="459"/>
      <c r="W3341" s="459"/>
      <c r="X3341" s="459"/>
      <c r="Y3341" s="666"/>
      <c r="Z3341" s="664"/>
      <c r="AA3341" s="665"/>
      <c r="AB3341" s="665"/>
      <c r="AC3341" s="665"/>
      <c r="AD3341" s="665"/>
      <c r="AE3341" s="665"/>
      <c r="AF3341" s="649"/>
      <c r="AG3341" s="650"/>
      <c r="AH3341" s="650"/>
      <c r="AI3341" s="667"/>
    </row>
    <row r="3342" spans="12:35" ht="45" customHeight="1" thickBot="1" x14ac:dyDescent="0.25">
      <c r="L3342" s="645"/>
      <c r="M3342" s="616"/>
      <c r="N3342" s="616"/>
      <c r="O3342" s="616"/>
      <c r="P3342" s="615"/>
      <c r="Q3342" s="616"/>
      <c r="R3342" s="663"/>
      <c r="S3342" s="459"/>
      <c r="T3342" s="459"/>
      <c r="U3342" s="459"/>
      <c r="V3342" s="459"/>
      <c r="W3342" s="459"/>
      <c r="X3342" s="459"/>
      <c r="Y3342" s="666"/>
      <c r="Z3342" s="664"/>
      <c r="AA3342" s="665"/>
      <c r="AB3342" s="665"/>
      <c r="AC3342" s="665"/>
      <c r="AD3342" s="665"/>
      <c r="AE3342" s="665"/>
      <c r="AF3342" s="649"/>
      <c r="AG3342" s="650"/>
      <c r="AH3342" s="650"/>
      <c r="AI3342" s="667"/>
    </row>
    <row r="3343" spans="12:35" ht="45" customHeight="1" thickBot="1" x14ac:dyDescent="0.25">
      <c r="L3343" s="645"/>
      <c r="M3343" s="616"/>
      <c r="N3343" s="616"/>
      <c r="O3343" s="616"/>
      <c r="P3343" s="615"/>
      <c r="Q3343" s="616"/>
      <c r="R3343" s="663"/>
      <c r="S3343" s="459"/>
      <c r="T3343" s="459"/>
      <c r="U3343" s="459"/>
      <c r="V3343" s="459"/>
      <c r="W3343" s="459"/>
      <c r="X3343" s="459"/>
      <c r="Y3343" s="666"/>
      <c r="Z3343" s="664"/>
      <c r="AA3343" s="665"/>
      <c r="AB3343" s="665"/>
      <c r="AC3343" s="665"/>
      <c r="AD3343" s="665"/>
      <c r="AE3343" s="665"/>
      <c r="AF3343" s="649"/>
      <c r="AG3343" s="650"/>
      <c r="AH3343" s="650"/>
      <c r="AI3343" s="667"/>
    </row>
    <row r="3344" spans="12:35" ht="45" customHeight="1" thickBot="1" x14ac:dyDescent="0.25">
      <c r="L3344" s="645"/>
      <c r="M3344" s="616"/>
      <c r="N3344" s="616"/>
      <c r="O3344" s="616"/>
      <c r="P3344" s="615"/>
      <c r="Q3344" s="616"/>
      <c r="R3344" s="663"/>
      <c r="S3344" s="459"/>
      <c r="T3344" s="459"/>
      <c r="U3344" s="459"/>
      <c r="V3344" s="459"/>
      <c r="W3344" s="459"/>
      <c r="X3344" s="459"/>
      <c r="Y3344" s="666"/>
      <c r="Z3344" s="664"/>
      <c r="AA3344" s="665"/>
      <c r="AB3344" s="665"/>
      <c r="AC3344" s="665"/>
      <c r="AD3344" s="665"/>
      <c r="AE3344" s="665"/>
      <c r="AF3344" s="649"/>
      <c r="AG3344" s="650"/>
      <c r="AH3344" s="650"/>
      <c r="AI3344" s="667"/>
    </row>
    <row r="3345" spans="12:35" ht="45" customHeight="1" thickBot="1" x14ac:dyDescent="0.25">
      <c r="L3345" s="645"/>
      <c r="M3345" s="616"/>
      <c r="N3345" s="616"/>
      <c r="O3345" s="616"/>
      <c r="P3345" s="615"/>
      <c r="Q3345" s="616"/>
      <c r="R3345" s="663"/>
      <c r="S3345" s="459"/>
      <c r="T3345" s="459"/>
      <c r="U3345" s="459"/>
      <c r="V3345" s="459"/>
      <c r="W3345" s="459"/>
      <c r="X3345" s="459"/>
      <c r="Y3345" s="666"/>
      <c r="Z3345" s="664"/>
      <c r="AA3345" s="665"/>
      <c r="AB3345" s="665"/>
      <c r="AC3345" s="665"/>
      <c r="AD3345" s="665"/>
      <c r="AE3345" s="665"/>
      <c r="AF3345" s="649"/>
      <c r="AG3345" s="650"/>
      <c r="AH3345" s="650"/>
      <c r="AI3345" s="667"/>
    </row>
    <row r="3346" spans="12:35" ht="45" customHeight="1" thickBot="1" x14ac:dyDescent="0.25">
      <c r="L3346" s="645"/>
      <c r="M3346" s="616"/>
      <c r="N3346" s="616"/>
      <c r="O3346" s="616"/>
      <c r="P3346" s="615"/>
      <c r="Q3346" s="616"/>
      <c r="R3346" s="663"/>
      <c r="S3346" s="459"/>
      <c r="T3346" s="459"/>
      <c r="U3346" s="459"/>
      <c r="V3346" s="459"/>
      <c r="W3346" s="459"/>
      <c r="X3346" s="459"/>
      <c r="Y3346" s="666"/>
      <c r="Z3346" s="664"/>
      <c r="AA3346" s="665"/>
      <c r="AB3346" s="665"/>
      <c r="AC3346" s="665"/>
      <c r="AD3346" s="665"/>
      <c r="AE3346" s="665"/>
      <c r="AF3346" s="649"/>
      <c r="AG3346" s="650"/>
      <c r="AH3346" s="650"/>
      <c r="AI3346" s="667"/>
    </row>
    <row r="3347" spans="12:35" ht="45" customHeight="1" thickBot="1" x14ac:dyDescent="0.25">
      <c r="L3347" s="645"/>
      <c r="M3347" s="616"/>
      <c r="N3347" s="616"/>
      <c r="O3347" s="616"/>
      <c r="P3347" s="615"/>
      <c r="Q3347" s="616"/>
      <c r="R3347" s="663"/>
      <c r="S3347" s="459"/>
      <c r="T3347" s="459"/>
      <c r="U3347" s="459"/>
      <c r="V3347" s="459"/>
      <c r="W3347" s="459"/>
      <c r="X3347" s="459"/>
      <c r="Y3347" s="666"/>
      <c r="Z3347" s="664"/>
      <c r="AA3347" s="665"/>
      <c r="AB3347" s="665"/>
      <c r="AC3347" s="665"/>
      <c r="AD3347" s="665"/>
      <c r="AE3347" s="665"/>
      <c r="AF3347" s="649"/>
      <c r="AG3347" s="650"/>
      <c r="AH3347" s="650"/>
      <c r="AI3347" s="667"/>
    </row>
    <row r="3348" spans="12:35" ht="45" customHeight="1" thickBot="1" x14ac:dyDescent="0.25">
      <c r="L3348" s="645"/>
      <c r="M3348" s="616"/>
      <c r="N3348" s="616"/>
      <c r="O3348" s="616"/>
      <c r="P3348" s="615"/>
      <c r="Q3348" s="616"/>
      <c r="R3348" s="663"/>
      <c r="S3348" s="459"/>
      <c r="T3348" s="459"/>
      <c r="U3348" s="459"/>
      <c r="V3348" s="459"/>
      <c r="W3348" s="459"/>
      <c r="X3348" s="459"/>
      <c r="Y3348" s="666"/>
      <c r="Z3348" s="664"/>
      <c r="AA3348" s="665"/>
      <c r="AB3348" s="665"/>
      <c r="AC3348" s="665"/>
      <c r="AD3348" s="665"/>
      <c r="AE3348" s="665"/>
      <c r="AF3348" s="649"/>
      <c r="AG3348" s="650"/>
      <c r="AH3348" s="650"/>
      <c r="AI3348" s="667"/>
    </row>
    <row r="3349" spans="12:35" ht="45" customHeight="1" thickBot="1" x14ac:dyDescent="0.25">
      <c r="L3349" s="645"/>
      <c r="M3349" s="616"/>
      <c r="N3349" s="616"/>
      <c r="O3349" s="616"/>
      <c r="P3349" s="615"/>
      <c r="Q3349" s="616"/>
      <c r="R3349" s="663"/>
      <c r="S3349" s="459"/>
      <c r="T3349" s="459"/>
      <c r="U3349" s="459"/>
      <c r="V3349" s="459"/>
      <c r="W3349" s="459"/>
      <c r="X3349" s="459"/>
      <c r="Y3349" s="666"/>
      <c r="Z3349" s="664"/>
      <c r="AA3349" s="665"/>
      <c r="AB3349" s="665"/>
      <c r="AC3349" s="665"/>
      <c r="AD3349" s="665"/>
      <c r="AE3349" s="665"/>
      <c r="AF3349" s="649"/>
      <c r="AG3349" s="650"/>
      <c r="AH3349" s="650"/>
      <c r="AI3349" s="667"/>
    </row>
    <row r="3350" spans="12:35" ht="45" customHeight="1" thickBot="1" x14ac:dyDescent="0.25">
      <c r="L3350" s="645"/>
      <c r="M3350" s="616"/>
      <c r="N3350" s="616"/>
      <c r="O3350" s="616"/>
      <c r="P3350" s="615"/>
      <c r="Q3350" s="616"/>
      <c r="R3350" s="663"/>
      <c r="S3350" s="459"/>
      <c r="T3350" s="459"/>
      <c r="U3350" s="459"/>
      <c r="V3350" s="459"/>
      <c r="W3350" s="459"/>
      <c r="X3350" s="459"/>
      <c r="Y3350" s="666"/>
      <c r="Z3350" s="664"/>
      <c r="AA3350" s="665"/>
      <c r="AB3350" s="665"/>
      <c r="AC3350" s="665"/>
      <c r="AD3350" s="665"/>
      <c r="AE3350" s="665"/>
      <c r="AF3350" s="649"/>
      <c r="AG3350" s="650"/>
      <c r="AH3350" s="650"/>
      <c r="AI3350" s="667"/>
    </row>
    <row r="3351" spans="12:35" ht="45" customHeight="1" thickBot="1" x14ac:dyDescent="0.25">
      <c r="L3351" s="645"/>
      <c r="M3351" s="616"/>
      <c r="N3351" s="616"/>
      <c r="O3351" s="616"/>
      <c r="P3351" s="615"/>
      <c r="Q3351" s="616"/>
      <c r="R3351" s="663"/>
      <c r="S3351" s="459"/>
      <c r="T3351" s="459"/>
      <c r="U3351" s="459"/>
      <c r="V3351" s="459"/>
      <c r="W3351" s="459"/>
      <c r="X3351" s="459"/>
      <c r="Y3351" s="666"/>
      <c r="Z3351" s="664"/>
      <c r="AA3351" s="665"/>
      <c r="AB3351" s="665"/>
      <c r="AC3351" s="665"/>
      <c r="AD3351" s="665"/>
      <c r="AE3351" s="665"/>
      <c r="AF3351" s="649"/>
      <c r="AG3351" s="650"/>
      <c r="AH3351" s="650"/>
      <c r="AI3351" s="667"/>
    </row>
    <row r="3352" spans="12:35" ht="45" customHeight="1" thickBot="1" x14ac:dyDescent="0.25">
      <c r="L3352" s="645"/>
      <c r="M3352" s="616"/>
      <c r="N3352" s="616"/>
      <c r="O3352" s="616"/>
      <c r="P3352" s="615"/>
      <c r="Q3352" s="616"/>
      <c r="R3352" s="663"/>
      <c r="S3352" s="459"/>
      <c r="T3352" s="459"/>
      <c r="U3352" s="459"/>
      <c r="V3352" s="459"/>
      <c r="W3352" s="459"/>
      <c r="X3352" s="459"/>
      <c r="Y3352" s="666"/>
      <c r="Z3352" s="664"/>
      <c r="AA3352" s="665"/>
      <c r="AB3352" s="665"/>
      <c r="AC3352" s="665"/>
      <c r="AD3352" s="665"/>
      <c r="AE3352" s="665"/>
      <c r="AF3352" s="649"/>
      <c r="AG3352" s="650"/>
      <c r="AH3352" s="650"/>
      <c r="AI3352" s="667"/>
    </row>
    <row r="3353" spans="12:35" ht="45" customHeight="1" thickBot="1" x14ac:dyDescent="0.25">
      <c r="L3353" s="645"/>
      <c r="M3353" s="616"/>
      <c r="N3353" s="616"/>
      <c r="O3353" s="616"/>
      <c r="P3353" s="615"/>
      <c r="Q3353" s="616"/>
      <c r="R3353" s="663"/>
      <c r="S3353" s="459"/>
      <c r="T3353" s="459"/>
      <c r="U3353" s="459"/>
      <c r="V3353" s="459"/>
      <c r="W3353" s="459"/>
      <c r="X3353" s="459"/>
      <c r="Y3353" s="666"/>
      <c r="Z3353" s="664"/>
      <c r="AA3353" s="665"/>
      <c r="AB3353" s="665"/>
      <c r="AC3353" s="665"/>
      <c r="AD3353" s="665"/>
      <c r="AE3353" s="665"/>
      <c r="AF3353" s="649"/>
      <c r="AG3353" s="650"/>
      <c r="AH3353" s="650"/>
      <c r="AI3353" s="667"/>
    </row>
    <row r="3354" spans="12:35" ht="45" customHeight="1" thickBot="1" x14ac:dyDescent="0.25">
      <c r="L3354" s="645"/>
      <c r="M3354" s="616"/>
      <c r="N3354" s="616"/>
      <c r="O3354" s="616"/>
      <c r="P3354" s="615"/>
      <c r="Q3354" s="616"/>
      <c r="R3354" s="663"/>
      <c r="S3354" s="459"/>
      <c r="T3354" s="459"/>
      <c r="U3354" s="459"/>
      <c r="V3354" s="459"/>
      <c r="W3354" s="459"/>
      <c r="X3354" s="459"/>
      <c r="Y3354" s="666"/>
      <c r="Z3354" s="664"/>
      <c r="AA3354" s="665"/>
      <c r="AB3354" s="665"/>
      <c r="AC3354" s="665"/>
      <c r="AD3354" s="665"/>
      <c r="AE3354" s="665"/>
      <c r="AF3354" s="649"/>
      <c r="AG3354" s="650"/>
      <c r="AH3354" s="650"/>
      <c r="AI3354" s="667"/>
    </row>
    <row r="3355" spans="12:35" ht="45" customHeight="1" thickBot="1" x14ac:dyDescent="0.25">
      <c r="L3355" s="645"/>
      <c r="M3355" s="616"/>
      <c r="N3355" s="616"/>
      <c r="O3355" s="616"/>
      <c r="P3355" s="615"/>
      <c r="Q3355" s="616"/>
      <c r="R3355" s="663"/>
      <c r="S3355" s="459"/>
      <c r="T3355" s="459"/>
      <c r="U3355" s="459"/>
      <c r="V3355" s="459"/>
      <c r="W3355" s="459"/>
      <c r="X3355" s="459"/>
      <c r="Y3355" s="666"/>
      <c r="Z3355" s="664"/>
      <c r="AA3355" s="665"/>
      <c r="AB3355" s="665"/>
      <c r="AC3355" s="665"/>
      <c r="AD3355" s="665"/>
      <c r="AE3355" s="665"/>
      <c r="AF3355" s="649"/>
      <c r="AG3355" s="650"/>
      <c r="AH3355" s="650"/>
      <c r="AI3355" s="667"/>
    </row>
    <row r="3356" spans="12:35" ht="45" customHeight="1" thickBot="1" x14ac:dyDescent="0.25">
      <c r="L3356" s="645"/>
      <c r="M3356" s="616"/>
      <c r="N3356" s="616"/>
      <c r="O3356" s="616"/>
      <c r="P3356" s="615"/>
      <c r="Q3356" s="616"/>
      <c r="R3356" s="663"/>
      <c r="S3356" s="459"/>
      <c r="T3356" s="459"/>
      <c r="U3356" s="459"/>
      <c r="V3356" s="459"/>
      <c r="W3356" s="459"/>
      <c r="X3356" s="459"/>
      <c r="Y3356" s="666"/>
      <c r="Z3356" s="664"/>
      <c r="AA3356" s="665"/>
      <c r="AB3356" s="665"/>
      <c r="AC3356" s="665"/>
      <c r="AD3356" s="665"/>
      <c r="AE3356" s="665"/>
      <c r="AF3356" s="649"/>
      <c r="AG3356" s="650"/>
      <c r="AH3356" s="650"/>
      <c r="AI3356" s="667"/>
    </row>
    <row r="3357" spans="12:35" ht="45" customHeight="1" thickBot="1" x14ac:dyDescent="0.25">
      <c r="L3357" s="645"/>
      <c r="M3357" s="616"/>
      <c r="N3357" s="616"/>
      <c r="O3357" s="616"/>
      <c r="P3357" s="615"/>
      <c r="Q3357" s="616"/>
      <c r="R3357" s="663"/>
      <c r="S3357" s="459"/>
      <c r="T3357" s="459"/>
      <c r="U3357" s="459"/>
      <c r="V3357" s="459"/>
      <c r="W3357" s="459"/>
      <c r="X3357" s="459"/>
      <c r="Y3357" s="666"/>
      <c r="Z3357" s="664"/>
      <c r="AA3357" s="665"/>
      <c r="AB3357" s="665"/>
      <c r="AC3357" s="665"/>
      <c r="AD3357" s="665"/>
      <c r="AE3357" s="665"/>
      <c r="AF3357" s="649"/>
      <c r="AG3357" s="650"/>
      <c r="AH3357" s="650"/>
      <c r="AI3357" s="667"/>
    </row>
    <row r="3358" spans="12:35" ht="45" customHeight="1" thickBot="1" x14ac:dyDescent="0.25">
      <c r="L3358" s="645"/>
      <c r="M3358" s="616"/>
      <c r="N3358" s="616"/>
      <c r="O3358" s="616"/>
      <c r="P3358" s="615"/>
      <c r="Q3358" s="616"/>
      <c r="R3358" s="663"/>
      <c r="S3358" s="459"/>
      <c r="T3358" s="459"/>
      <c r="U3358" s="459"/>
      <c r="V3358" s="459"/>
      <c r="W3358" s="459"/>
      <c r="X3358" s="459"/>
      <c r="Y3358" s="666"/>
      <c r="Z3358" s="664"/>
      <c r="AA3358" s="665"/>
      <c r="AB3358" s="665"/>
      <c r="AC3358" s="665"/>
      <c r="AD3358" s="665"/>
      <c r="AE3358" s="665"/>
      <c r="AF3358" s="649"/>
      <c r="AG3358" s="650"/>
      <c r="AH3358" s="650"/>
      <c r="AI3358" s="667"/>
    </row>
    <row r="3359" spans="12:35" ht="45" customHeight="1" thickBot="1" x14ac:dyDescent="0.25">
      <c r="L3359" s="645"/>
      <c r="M3359" s="616"/>
      <c r="N3359" s="616"/>
      <c r="O3359" s="616"/>
      <c r="P3359" s="615"/>
      <c r="Q3359" s="616"/>
      <c r="R3359" s="663"/>
      <c r="S3359" s="459"/>
      <c r="T3359" s="459"/>
      <c r="U3359" s="459"/>
      <c r="V3359" s="459"/>
      <c r="W3359" s="459"/>
      <c r="X3359" s="459"/>
      <c r="Y3359" s="666"/>
      <c r="Z3359" s="664"/>
      <c r="AA3359" s="665"/>
      <c r="AB3359" s="665"/>
      <c r="AC3359" s="665"/>
      <c r="AD3359" s="665"/>
      <c r="AE3359" s="665"/>
      <c r="AF3359" s="649"/>
      <c r="AG3359" s="650"/>
      <c r="AH3359" s="650"/>
      <c r="AI3359" s="667"/>
    </row>
    <row r="3360" spans="12:35" ht="45" customHeight="1" thickBot="1" x14ac:dyDescent="0.25">
      <c r="L3360" s="645"/>
      <c r="M3360" s="616"/>
      <c r="N3360" s="616"/>
      <c r="O3360" s="616"/>
      <c r="P3360" s="615"/>
      <c r="Q3360" s="616"/>
      <c r="R3360" s="663"/>
      <c r="S3360" s="459"/>
      <c r="T3360" s="459"/>
      <c r="U3360" s="459"/>
      <c r="V3360" s="459"/>
      <c r="W3360" s="459"/>
      <c r="X3360" s="459"/>
      <c r="Y3360" s="666"/>
      <c r="Z3360" s="664"/>
      <c r="AA3360" s="665"/>
      <c r="AB3360" s="665"/>
      <c r="AC3360" s="665"/>
      <c r="AD3360" s="665"/>
      <c r="AE3360" s="665"/>
      <c r="AF3360" s="649"/>
      <c r="AG3360" s="650"/>
      <c r="AH3360" s="650"/>
      <c r="AI3360" s="667"/>
    </row>
    <row r="3361" spans="12:35" ht="45" customHeight="1" thickBot="1" x14ac:dyDescent="0.25">
      <c r="L3361" s="645"/>
      <c r="M3361" s="616"/>
      <c r="N3361" s="616"/>
      <c r="O3361" s="616"/>
      <c r="P3361" s="615"/>
      <c r="Q3361" s="616"/>
      <c r="R3361" s="663"/>
      <c r="S3361" s="459"/>
      <c r="T3361" s="459"/>
      <c r="U3361" s="459"/>
      <c r="V3361" s="459"/>
      <c r="W3361" s="459"/>
      <c r="X3361" s="459"/>
      <c r="Y3361" s="666"/>
      <c r="Z3361" s="664"/>
      <c r="AA3361" s="665"/>
      <c r="AB3361" s="665"/>
      <c r="AC3361" s="665"/>
      <c r="AD3361" s="665"/>
      <c r="AE3361" s="665"/>
      <c r="AF3361" s="649"/>
      <c r="AG3361" s="650"/>
      <c r="AH3361" s="650"/>
      <c r="AI3361" s="667"/>
    </row>
    <row r="3362" spans="12:35" ht="45" customHeight="1" thickBot="1" x14ac:dyDescent="0.25">
      <c r="L3362" s="645"/>
      <c r="M3362" s="616"/>
      <c r="N3362" s="616"/>
      <c r="O3362" s="616"/>
      <c r="P3362" s="615"/>
      <c r="Q3362" s="616"/>
      <c r="R3362" s="663"/>
      <c r="S3362" s="459"/>
      <c r="T3362" s="459"/>
      <c r="U3362" s="459"/>
      <c r="V3362" s="459"/>
      <c r="W3362" s="459"/>
      <c r="X3362" s="459"/>
      <c r="Y3362" s="666"/>
      <c r="Z3362" s="664"/>
      <c r="AA3362" s="665"/>
      <c r="AB3362" s="665"/>
      <c r="AC3362" s="665"/>
      <c r="AD3362" s="665"/>
      <c r="AE3362" s="665"/>
      <c r="AF3362" s="649"/>
      <c r="AG3362" s="650"/>
      <c r="AH3362" s="650"/>
      <c r="AI3362" s="667"/>
    </row>
    <row r="3363" spans="12:35" ht="45" customHeight="1" thickBot="1" x14ac:dyDescent="0.25">
      <c r="L3363" s="645"/>
      <c r="M3363" s="616"/>
      <c r="N3363" s="616"/>
      <c r="O3363" s="616"/>
      <c r="P3363" s="615"/>
      <c r="Q3363" s="616"/>
      <c r="R3363" s="663"/>
      <c r="S3363" s="459"/>
      <c r="T3363" s="459"/>
      <c r="U3363" s="459"/>
      <c r="V3363" s="459"/>
      <c r="W3363" s="459"/>
      <c r="X3363" s="459"/>
      <c r="Y3363" s="666"/>
      <c r="Z3363" s="664"/>
      <c r="AA3363" s="665"/>
      <c r="AB3363" s="665"/>
      <c r="AC3363" s="665"/>
      <c r="AD3363" s="665"/>
      <c r="AE3363" s="665"/>
      <c r="AF3363" s="649"/>
      <c r="AG3363" s="650"/>
      <c r="AH3363" s="650"/>
      <c r="AI3363" s="667"/>
    </row>
    <row r="3364" spans="12:35" ht="45" customHeight="1" thickBot="1" x14ac:dyDescent="0.25">
      <c r="L3364" s="645"/>
      <c r="M3364" s="616"/>
      <c r="N3364" s="616"/>
      <c r="O3364" s="616"/>
      <c r="P3364" s="615"/>
      <c r="Q3364" s="616"/>
      <c r="R3364" s="663"/>
      <c r="S3364" s="459"/>
      <c r="T3364" s="459"/>
      <c r="U3364" s="459"/>
      <c r="V3364" s="459"/>
      <c r="W3364" s="459"/>
      <c r="X3364" s="459"/>
      <c r="Y3364" s="666"/>
      <c r="Z3364" s="664"/>
      <c r="AA3364" s="665"/>
      <c r="AB3364" s="665"/>
      <c r="AC3364" s="665"/>
      <c r="AD3364" s="665"/>
      <c r="AE3364" s="665"/>
      <c r="AF3364" s="649"/>
      <c r="AG3364" s="650"/>
      <c r="AH3364" s="650"/>
      <c r="AI3364" s="667"/>
    </row>
    <row r="3365" spans="12:35" ht="45" customHeight="1" thickBot="1" x14ac:dyDescent="0.25">
      <c r="L3365" s="645"/>
      <c r="M3365" s="616"/>
      <c r="N3365" s="616"/>
      <c r="O3365" s="616"/>
      <c r="P3365" s="615"/>
      <c r="Q3365" s="616"/>
      <c r="R3365" s="663"/>
      <c r="S3365" s="459"/>
      <c r="T3365" s="459"/>
      <c r="U3365" s="459"/>
      <c r="V3365" s="459"/>
      <c r="W3365" s="459"/>
      <c r="X3365" s="459"/>
      <c r="Y3365" s="666"/>
      <c r="Z3365" s="664"/>
      <c r="AA3365" s="665"/>
      <c r="AB3365" s="665"/>
      <c r="AC3365" s="665"/>
      <c r="AD3365" s="665"/>
      <c r="AE3365" s="665"/>
      <c r="AF3365" s="649"/>
      <c r="AG3365" s="650"/>
      <c r="AH3365" s="650"/>
      <c r="AI3365" s="667"/>
    </row>
    <row r="3366" spans="12:35" ht="45" customHeight="1" thickBot="1" x14ac:dyDescent="0.25">
      <c r="L3366" s="645"/>
      <c r="M3366" s="616"/>
      <c r="N3366" s="616"/>
      <c r="O3366" s="616"/>
      <c r="P3366" s="615"/>
      <c r="Q3366" s="616"/>
      <c r="R3366" s="663"/>
      <c r="S3366" s="459"/>
      <c r="T3366" s="459"/>
      <c r="U3366" s="459"/>
      <c r="V3366" s="459"/>
      <c r="W3366" s="459"/>
      <c r="X3366" s="459"/>
      <c r="Y3366" s="666"/>
      <c r="Z3366" s="664"/>
      <c r="AA3366" s="665"/>
      <c r="AB3366" s="665"/>
      <c r="AC3366" s="665"/>
      <c r="AD3366" s="665"/>
      <c r="AE3366" s="665"/>
      <c r="AF3366" s="649"/>
      <c r="AG3366" s="650"/>
      <c r="AH3366" s="650"/>
      <c r="AI3366" s="667"/>
    </row>
    <row r="3367" spans="12:35" ht="45" customHeight="1" thickBot="1" x14ac:dyDescent="0.25">
      <c r="L3367" s="645"/>
      <c r="M3367" s="616"/>
      <c r="N3367" s="616"/>
      <c r="O3367" s="616"/>
      <c r="P3367" s="615"/>
      <c r="Q3367" s="616"/>
      <c r="R3367" s="663"/>
      <c r="S3367" s="459"/>
      <c r="T3367" s="459"/>
      <c r="U3367" s="459"/>
      <c r="V3367" s="459"/>
      <c r="W3367" s="459"/>
      <c r="X3367" s="459"/>
      <c r="Y3367" s="666"/>
      <c r="Z3367" s="664"/>
      <c r="AA3367" s="665"/>
      <c r="AB3367" s="665"/>
      <c r="AC3367" s="665"/>
      <c r="AD3367" s="665"/>
      <c r="AE3367" s="665"/>
      <c r="AF3367" s="649"/>
      <c r="AG3367" s="650"/>
      <c r="AH3367" s="650"/>
      <c r="AI3367" s="667"/>
    </row>
    <row r="3368" spans="12:35" ht="45" customHeight="1" thickBot="1" x14ac:dyDescent="0.25">
      <c r="L3368" s="645"/>
      <c r="M3368" s="616"/>
      <c r="N3368" s="616"/>
      <c r="O3368" s="616"/>
      <c r="P3368" s="615"/>
      <c r="Q3368" s="616"/>
      <c r="R3368" s="663"/>
      <c r="S3368" s="459"/>
      <c r="T3368" s="459"/>
      <c r="U3368" s="459"/>
      <c r="V3368" s="459"/>
      <c r="W3368" s="459"/>
      <c r="X3368" s="459"/>
      <c r="Y3368" s="666"/>
      <c r="Z3368" s="664"/>
      <c r="AA3368" s="665"/>
      <c r="AB3368" s="665"/>
      <c r="AC3368" s="665"/>
      <c r="AD3368" s="665"/>
      <c r="AE3368" s="665"/>
      <c r="AF3368" s="649"/>
      <c r="AG3368" s="650"/>
      <c r="AH3368" s="650"/>
      <c r="AI3368" s="667"/>
    </row>
    <row r="3369" spans="12:35" ht="45" customHeight="1" thickBot="1" x14ac:dyDescent="0.25">
      <c r="L3369" s="645"/>
      <c r="M3369" s="616"/>
      <c r="N3369" s="616"/>
      <c r="O3369" s="616"/>
      <c r="P3369" s="615"/>
      <c r="Q3369" s="616"/>
      <c r="R3369" s="663"/>
      <c r="S3369" s="459"/>
      <c r="T3369" s="459"/>
      <c r="U3369" s="459"/>
      <c r="V3369" s="459"/>
      <c r="W3369" s="459"/>
      <c r="X3369" s="459"/>
      <c r="Y3369" s="666"/>
      <c r="Z3369" s="664"/>
      <c r="AA3369" s="665"/>
      <c r="AB3369" s="665"/>
      <c r="AC3369" s="665"/>
      <c r="AD3369" s="665"/>
      <c r="AE3369" s="665"/>
      <c r="AF3369" s="649"/>
      <c r="AG3369" s="650"/>
      <c r="AH3369" s="650"/>
      <c r="AI3369" s="667"/>
    </row>
    <row r="3370" spans="12:35" ht="45" customHeight="1" thickBot="1" x14ac:dyDescent="0.25">
      <c r="L3370" s="645"/>
      <c r="M3370" s="616"/>
      <c r="N3370" s="616"/>
      <c r="O3370" s="616"/>
      <c r="P3370" s="615"/>
      <c r="Q3370" s="616"/>
      <c r="R3370" s="663"/>
      <c r="S3370" s="459"/>
      <c r="T3370" s="459"/>
      <c r="U3370" s="459"/>
      <c r="V3370" s="459"/>
      <c r="W3370" s="459"/>
      <c r="X3370" s="459"/>
      <c r="Y3370" s="666"/>
      <c r="Z3370" s="664"/>
      <c r="AA3370" s="665"/>
      <c r="AB3370" s="665"/>
      <c r="AC3370" s="665"/>
      <c r="AD3370" s="665"/>
      <c r="AE3370" s="665"/>
      <c r="AF3370" s="649"/>
      <c r="AG3370" s="650"/>
      <c r="AH3370" s="650"/>
      <c r="AI3370" s="667"/>
    </row>
    <row r="3371" spans="12:35" ht="45" customHeight="1" thickBot="1" x14ac:dyDescent="0.25">
      <c r="L3371" s="645"/>
      <c r="M3371" s="616"/>
      <c r="N3371" s="616"/>
      <c r="O3371" s="616"/>
      <c r="P3371" s="615"/>
      <c r="Q3371" s="616"/>
      <c r="R3371" s="663"/>
      <c r="S3371" s="459"/>
      <c r="T3371" s="459"/>
      <c r="U3371" s="459"/>
      <c r="V3371" s="459"/>
      <c r="W3371" s="459"/>
      <c r="X3371" s="459"/>
      <c r="Y3371" s="666"/>
      <c r="Z3371" s="664"/>
      <c r="AA3371" s="665"/>
      <c r="AB3371" s="665"/>
      <c r="AC3371" s="665"/>
      <c r="AD3371" s="665"/>
      <c r="AE3371" s="665"/>
      <c r="AF3371" s="649"/>
      <c r="AG3371" s="650"/>
      <c r="AH3371" s="650"/>
      <c r="AI3371" s="667"/>
    </row>
    <row r="3372" spans="12:35" ht="45" customHeight="1" thickBot="1" x14ac:dyDescent="0.25">
      <c r="L3372" s="645"/>
      <c r="M3372" s="616"/>
      <c r="N3372" s="616"/>
      <c r="O3372" s="616"/>
      <c r="P3372" s="615"/>
      <c r="Q3372" s="616"/>
      <c r="R3372" s="663"/>
      <c r="S3372" s="459"/>
      <c r="T3372" s="459"/>
      <c r="U3372" s="459"/>
      <c r="V3372" s="459"/>
      <c r="W3372" s="459"/>
      <c r="X3372" s="459"/>
      <c r="Y3372" s="666"/>
      <c r="Z3372" s="664"/>
      <c r="AA3372" s="665"/>
      <c r="AB3372" s="665"/>
      <c r="AC3372" s="665"/>
      <c r="AD3372" s="665"/>
      <c r="AE3372" s="665"/>
      <c r="AF3372" s="649"/>
      <c r="AG3372" s="650"/>
      <c r="AH3372" s="650"/>
      <c r="AI3372" s="667"/>
    </row>
    <row r="3373" spans="12:35" ht="45" customHeight="1" thickBot="1" x14ac:dyDescent="0.25">
      <c r="L3373" s="645"/>
      <c r="M3373" s="616"/>
      <c r="N3373" s="616"/>
      <c r="O3373" s="616"/>
      <c r="P3373" s="615"/>
      <c r="Q3373" s="616"/>
      <c r="R3373" s="663"/>
      <c r="S3373" s="459"/>
      <c r="T3373" s="459"/>
      <c r="U3373" s="459"/>
      <c r="V3373" s="459"/>
      <c r="W3373" s="459"/>
      <c r="X3373" s="459"/>
      <c r="Y3373" s="666"/>
      <c r="Z3373" s="664"/>
      <c r="AA3373" s="665"/>
      <c r="AB3373" s="665"/>
      <c r="AC3373" s="665"/>
      <c r="AD3373" s="665"/>
      <c r="AE3373" s="665"/>
      <c r="AF3373" s="649"/>
      <c r="AG3373" s="650"/>
      <c r="AH3373" s="650"/>
      <c r="AI3373" s="667"/>
    </row>
    <row r="3374" spans="12:35" ht="45" customHeight="1" thickBot="1" x14ac:dyDescent="0.25">
      <c r="L3374" s="645"/>
      <c r="M3374" s="616"/>
      <c r="N3374" s="616"/>
      <c r="O3374" s="616"/>
      <c r="P3374" s="615"/>
      <c r="Q3374" s="616"/>
      <c r="R3374" s="663"/>
      <c r="S3374" s="459"/>
      <c r="T3374" s="459"/>
      <c r="U3374" s="459"/>
      <c r="V3374" s="459"/>
      <c r="W3374" s="459"/>
      <c r="X3374" s="459"/>
      <c r="Y3374" s="666"/>
      <c r="Z3374" s="664"/>
      <c r="AA3374" s="665"/>
      <c r="AB3374" s="665"/>
      <c r="AC3374" s="665"/>
      <c r="AD3374" s="665"/>
      <c r="AE3374" s="665"/>
      <c r="AF3374" s="649"/>
      <c r="AG3374" s="650"/>
      <c r="AH3374" s="650"/>
      <c r="AI3374" s="667"/>
    </row>
    <row r="3375" spans="12:35" ht="45" customHeight="1" thickBot="1" x14ac:dyDescent="0.25">
      <c r="L3375" s="645"/>
      <c r="M3375" s="616"/>
      <c r="N3375" s="616"/>
      <c r="O3375" s="616"/>
      <c r="P3375" s="615"/>
      <c r="Q3375" s="616"/>
      <c r="R3375" s="663"/>
      <c r="S3375" s="459"/>
      <c r="T3375" s="459"/>
      <c r="U3375" s="459"/>
      <c r="V3375" s="459"/>
      <c r="W3375" s="459"/>
      <c r="X3375" s="459"/>
      <c r="Y3375" s="666"/>
      <c r="Z3375" s="664"/>
      <c r="AA3375" s="665"/>
      <c r="AB3375" s="665"/>
      <c r="AC3375" s="665"/>
      <c r="AD3375" s="665"/>
      <c r="AE3375" s="665"/>
      <c r="AF3375" s="649"/>
      <c r="AG3375" s="650"/>
      <c r="AH3375" s="650"/>
      <c r="AI3375" s="667"/>
    </row>
    <row r="3376" spans="12:35" ht="45" customHeight="1" thickBot="1" x14ac:dyDescent="0.25">
      <c r="L3376" s="645"/>
      <c r="M3376" s="616"/>
      <c r="N3376" s="616"/>
      <c r="O3376" s="616"/>
      <c r="P3376" s="615"/>
      <c r="Q3376" s="616"/>
      <c r="R3376" s="663"/>
      <c r="S3376" s="459"/>
      <c r="T3376" s="459"/>
      <c r="U3376" s="459"/>
      <c r="V3376" s="459"/>
      <c r="W3376" s="459"/>
      <c r="X3376" s="459"/>
      <c r="Y3376" s="666"/>
      <c r="Z3376" s="664"/>
      <c r="AA3376" s="665"/>
      <c r="AB3376" s="665"/>
      <c r="AC3376" s="665"/>
      <c r="AD3376" s="665"/>
      <c r="AE3376" s="665"/>
      <c r="AF3376" s="649"/>
      <c r="AG3376" s="650"/>
      <c r="AH3376" s="650"/>
      <c r="AI3376" s="667"/>
    </row>
    <row r="3377" spans="12:35" ht="45" customHeight="1" thickBot="1" x14ac:dyDescent="0.25">
      <c r="L3377" s="645"/>
      <c r="M3377" s="616"/>
      <c r="N3377" s="616"/>
      <c r="O3377" s="616"/>
      <c r="P3377" s="615"/>
      <c r="Q3377" s="616"/>
      <c r="R3377" s="663"/>
      <c r="S3377" s="459"/>
      <c r="T3377" s="459"/>
      <c r="U3377" s="459"/>
      <c r="V3377" s="459"/>
      <c r="W3377" s="459"/>
      <c r="X3377" s="459"/>
      <c r="Y3377" s="666"/>
      <c r="Z3377" s="664"/>
      <c r="AA3377" s="665"/>
      <c r="AB3377" s="665"/>
      <c r="AC3377" s="665"/>
      <c r="AD3377" s="665"/>
      <c r="AE3377" s="665"/>
      <c r="AF3377" s="649"/>
      <c r="AG3377" s="650"/>
      <c r="AH3377" s="650"/>
      <c r="AI3377" s="667"/>
    </row>
    <row r="3378" spans="12:35" ht="45" customHeight="1" thickBot="1" x14ac:dyDescent="0.25">
      <c r="L3378" s="645"/>
      <c r="M3378" s="616"/>
      <c r="N3378" s="616"/>
      <c r="O3378" s="616"/>
      <c r="P3378" s="615"/>
      <c r="Q3378" s="616"/>
      <c r="R3378" s="663"/>
      <c r="S3378" s="459"/>
      <c r="T3378" s="459"/>
      <c r="U3378" s="459"/>
      <c r="V3378" s="459"/>
      <c r="W3378" s="459"/>
      <c r="X3378" s="459"/>
      <c r="Y3378" s="666"/>
      <c r="Z3378" s="664"/>
      <c r="AA3378" s="665"/>
      <c r="AB3378" s="665"/>
      <c r="AC3378" s="665"/>
      <c r="AD3378" s="665"/>
      <c r="AE3378" s="665"/>
      <c r="AF3378" s="649"/>
      <c r="AG3378" s="650"/>
      <c r="AH3378" s="650"/>
      <c r="AI3378" s="667"/>
    </row>
    <row r="3379" spans="12:35" ht="45" customHeight="1" thickBot="1" x14ac:dyDescent="0.25">
      <c r="L3379" s="645"/>
      <c r="M3379" s="616"/>
      <c r="N3379" s="616"/>
      <c r="O3379" s="616"/>
      <c r="P3379" s="615"/>
      <c r="Q3379" s="616"/>
      <c r="R3379" s="663"/>
      <c r="S3379" s="459"/>
      <c r="T3379" s="459"/>
      <c r="U3379" s="459"/>
      <c r="V3379" s="459"/>
      <c r="W3379" s="459"/>
      <c r="X3379" s="459"/>
      <c r="Y3379" s="666"/>
      <c r="Z3379" s="664"/>
      <c r="AA3379" s="665"/>
      <c r="AB3379" s="665"/>
      <c r="AC3379" s="665"/>
      <c r="AD3379" s="665"/>
      <c r="AE3379" s="665"/>
      <c r="AF3379" s="649"/>
      <c r="AG3379" s="650"/>
      <c r="AH3379" s="650"/>
      <c r="AI3379" s="667"/>
    </row>
    <row r="3380" spans="12:35" ht="45" customHeight="1" thickBot="1" x14ac:dyDescent="0.25">
      <c r="L3380" s="645"/>
      <c r="M3380" s="616"/>
      <c r="N3380" s="616"/>
      <c r="O3380" s="616"/>
      <c r="P3380" s="615"/>
      <c r="Q3380" s="616"/>
      <c r="R3380" s="663"/>
      <c r="S3380" s="459"/>
      <c r="T3380" s="459"/>
      <c r="U3380" s="459"/>
      <c r="V3380" s="459"/>
      <c r="W3380" s="459"/>
      <c r="X3380" s="459"/>
      <c r="Y3380" s="666"/>
      <c r="Z3380" s="664"/>
      <c r="AA3380" s="665"/>
      <c r="AB3380" s="665"/>
      <c r="AC3380" s="665"/>
      <c r="AD3380" s="665"/>
      <c r="AE3380" s="665"/>
      <c r="AF3380" s="649"/>
      <c r="AG3380" s="650"/>
      <c r="AH3380" s="650"/>
      <c r="AI3380" s="667"/>
    </row>
    <row r="3381" spans="12:35" ht="45" customHeight="1" thickBot="1" x14ac:dyDescent="0.25">
      <c r="L3381" s="645"/>
      <c r="M3381" s="616"/>
      <c r="N3381" s="616"/>
      <c r="O3381" s="616"/>
      <c r="P3381" s="615"/>
      <c r="Q3381" s="616"/>
      <c r="R3381" s="663"/>
      <c r="S3381" s="459"/>
      <c r="T3381" s="459"/>
      <c r="U3381" s="459"/>
      <c r="V3381" s="459"/>
      <c r="W3381" s="459"/>
      <c r="X3381" s="459"/>
      <c r="Y3381" s="666"/>
      <c r="Z3381" s="664"/>
      <c r="AA3381" s="665"/>
      <c r="AB3381" s="665"/>
      <c r="AC3381" s="665"/>
      <c r="AD3381" s="665"/>
      <c r="AE3381" s="665"/>
      <c r="AF3381" s="649"/>
      <c r="AG3381" s="650"/>
      <c r="AH3381" s="650"/>
      <c r="AI3381" s="667"/>
    </row>
    <row r="3382" spans="12:35" ht="45" customHeight="1" thickBot="1" x14ac:dyDescent="0.25">
      <c r="L3382" s="645"/>
      <c r="M3382" s="616"/>
      <c r="N3382" s="616"/>
      <c r="O3382" s="616"/>
      <c r="P3382" s="615"/>
      <c r="Q3382" s="616"/>
      <c r="R3382" s="663"/>
      <c r="S3382" s="459"/>
      <c r="T3382" s="459"/>
      <c r="U3382" s="459"/>
      <c r="V3382" s="459"/>
      <c r="W3382" s="459"/>
      <c r="X3382" s="459"/>
      <c r="Y3382" s="666"/>
      <c r="Z3382" s="664"/>
      <c r="AA3382" s="665"/>
      <c r="AB3382" s="665"/>
      <c r="AC3382" s="665"/>
      <c r="AD3382" s="665"/>
      <c r="AE3382" s="665"/>
      <c r="AF3382" s="649"/>
      <c r="AG3382" s="650"/>
      <c r="AH3382" s="650"/>
      <c r="AI3382" s="667"/>
    </row>
    <row r="3383" spans="12:35" ht="45" customHeight="1" thickBot="1" x14ac:dyDescent="0.25">
      <c r="L3383" s="645"/>
      <c r="M3383" s="616"/>
      <c r="N3383" s="616"/>
      <c r="O3383" s="616"/>
      <c r="P3383" s="615"/>
      <c r="Q3383" s="616"/>
      <c r="R3383" s="663"/>
      <c r="S3383" s="459"/>
      <c r="T3383" s="459"/>
      <c r="U3383" s="459"/>
      <c r="V3383" s="459"/>
      <c r="W3383" s="459"/>
      <c r="X3383" s="459"/>
      <c r="Y3383" s="666"/>
      <c r="Z3383" s="664"/>
      <c r="AA3383" s="665"/>
      <c r="AB3383" s="665"/>
      <c r="AC3383" s="665"/>
      <c r="AD3383" s="665"/>
      <c r="AE3383" s="665"/>
      <c r="AF3383" s="649"/>
      <c r="AG3383" s="650"/>
      <c r="AH3383" s="650"/>
      <c r="AI3383" s="667"/>
    </row>
    <row r="3384" spans="12:35" ht="45" customHeight="1" thickBot="1" x14ac:dyDescent="0.25">
      <c r="L3384" s="645"/>
      <c r="M3384" s="616"/>
      <c r="N3384" s="616"/>
      <c r="O3384" s="616"/>
      <c r="P3384" s="615"/>
      <c r="Q3384" s="616"/>
      <c r="R3384" s="663"/>
      <c r="S3384" s="459"/>
      <c r="T3384" s="459"/>
      <c r="U3384" s="459"/>
      <c r="V3384" s="459"/>
      <c r="W3384" s="459"/>
      <c r="X3384" s="459"/>
      <c r="Y3384" s="666"/>
      <c r="Z3384" s="664"/>
      <c r="AA3384" s="665"/>
      <c r="AB3384" s="665"/>
      <c r="AC3384" s="665"/>
      <c r="AD3384" s="665"/>
      <c r="AE3384" s="665"/>
      <c r="AF3384" s="649"/>
      <c r="AG3384" s="650"/>
      <c r="AH3384" s="650"/>
      <c r="AI3384" s="667"/>
    </row>
    <row r="3385" spans="12:35" ht="45" customHeight="1" thickBot="1" x14ac:dyDescent="0.25">
      <c r="L3385" s="645"/>
      <c r="M3385" s="616"/>
      <c r="N3385" s="616"/>
      <c r="O3385" s="616"/>
      <c r="P3385" s="615"/>
      <c r="Q3385" s="616"/>
      <c r="R3385" s="663"/>
      <c r="S3385" s="459"/>
      <c r="T3385" s="459"/>
      <c r="U3385" s="459"/>
      <c r="V3385" s="459"/>
      <c r="W3385" s="459"/>
      <c r="X3385" s="459"/>
      <c r="Y3385" s="666"/>
      <c r="Z3385" s="664"/>
      <c r="AA3385" s="665"/>
      <c r="AB3385" s="665"/>
      <c r="AC3385" s="665"/>
      <c r="AD3385" s="665"/>
      <c r="AE3385" s="665"/>
      <c r="AF3385" s="649"/>
      <c r="AG3385" s="650"/>
      <c r="AH3385" s="650"/>
      <c r="AI3385" s="667"/>
    </row>
    <row r="3386" spans="12:35" ht="45" customHeight="1" thickBot="1" x14ac:dyDescent="0.25">
      <c r="L3386" s="645"/>
      <c r="M3386" s="616"/>
      <c r="N3386" s="616"/>
      <c r="O3386" s="616"/>
      <c r="P3386" s="615"/>
      <c r="Q3386" s="616"/>
      <c r="R3386" s="663"/>
      <c r="S3386" s="459"/>
      <c r="T3386" s="459"/>
      <c r="U3386" s="459"/>
      <c r="V3386" s="459"/>
      <c r="W3386" s="459"/>
      <c r="X3386" s="459"/>
      <c r="Y3386" s="666"/>
      <c r="Z3386" s="664"/>
      <c r="AA3386" s="665"/>
      <c r="AB3386" s="665"/>
      <c r="AC3386" s="665"/>
      <c r="AD3386" s="665"/>
      <c r="AE3386" s="665"/>
      <c r="AF3386" s="649"/>
      <c r="AG3386" s="650"/>
      <c r="AH3386" s="650"/>
      <c r="AI3386" s="667"/>
    </row>
    <row r="3387" spans="12:35" ht="45" customHeight="1" thickBot="1" x14ac:dyDescent="0.25">
      <c r="L3387" s="645"/>
      <c r="M3387" s="616"/>
      <c r="N3387" s="616"/>
      <c r="O3387" s="616"/>
      <c r="P3387" s="615"/>
      <c r="Q3387" s="616"/>
      <c r="R3387" s="663"/>
      <c r="S3387" s="459"/>
      <c r="T3387" s="459"/>
      <c r="U3387" s="459"/>
      <c r="V3387" s="459"/>
      <c r="W3387" s="459"/>
      <c r="X3387" s="459"/>
      <c r="Y3387" s="666"/>
      <c r="Z3387" s="664"/>
      <c r="AA3387" s="665"/>
      <c r="AB3387" s="665"/>
      <c r="AC3387" s="665"/>
      <c r="AD3387" s="665"/>
      <c r="AE3387" s="665"/>
      <c r="AF3387" s="649"/>
      <c r="AG3387" s="650"/>
      <c r="AH3387" s="650"/>
      <c r="AI3387" s="667"/>
    </row>
    <row r="3388" spans="12:35" ht="45" customHeight="1" thickBot="1" x14ac:dyDescent="0.25">
      <c r="L3388" s="645"/>
      <c r="M3388" s="616"/>
      <c r="N3388" s="616"/>
      <c r="O3388" s="616"/>
      <c r="P3388" s="615"/>
      <c r="Q3388" s="616"/>
      <c r="R3388" s="663"/>
      <c r="S3388" s="459"/>
      <c r="T3388" s="459"/>
      <c r="U3388" s="459"/>
      <c r="V3388" s="459"/>
      <c r="W3388" s="459"/>
      <c r="X3388" s="459"/>
      <c r="Y3388" s="666"/>
      <c r="Z3388" s="664"/>
      <c r="AA3388" s="665"/>
      <c r="AB3388" s="665"/>
      <c r="AC3388" s="665"/>
      <c r="AD3388" s="665"/>
      <c r="AE3388" s="665"/>
      <c r="AF3388" s="649"/>
      <c r="AG3388" s="650"/>
      <c r="AH3388" s="650"/>
      <c r="AI3388" s="667"/>
    </row>
    <row r="3389" spans="12:35" ht="45" customHeight="1" thickBot="1" x14ac:dyDescent="0.25">
      <c r="L3389" s="645"/>
      <c r="M3389" s="616"/>
      <c r="N3389" s="616"/>
      <c r="O3389" s="616"/>
      <c r="P3389" s="615"/>
      <c r="Q3389" s="616"/>
      <c r="R3389" s="663"/>
      <c r="S3389" s="459"/>
      <c r="T3389" s="459"/>
      <c r="U3389" s="459"/>
      <c r="V3389" s="459"/>
      <c r="W3389" s="459"/>
      <c r="X3389" s="459"/>
      <c r="Y3389" s="666"/>
      <c r="Z3389" s="664"/>
      <c r="AA3389" s="665"/>
      <c r="AB3389" s="665"/>
      <c r="AC3389" s="665"/>
      <c r="AD3389" s="665"/>
      <c r="AE3389" s="665"/>
      <c r="AF3389" s="649"/>
      <c r="AG3389" s="650"/>
      <c r="AH3389" s="650"/>
      <c r="AI3389" s="667"/>
    </row>
    <row r="3390" spans="12:35" ht="45" customHeight="1" thickBot="1" x14ac:dyDescent="0.25">
      <c r="L3390" s="645"/>
      <c r="M3390" s="616"/>
      <c r="N3390" s="616"/>
      <c r="O3390" s="616"/>
      <c r="P3390" s="615"/>
      <c r="Q3390" s="616"/>
      <c r="R3390" s="663"/>
      <c r="S3390" s="459"/>
      <c r="T3390" s="459"/>
      <c r="U3390" s="459"/>
      <c r="V3390" s="459"/>
      <c r="W3390" s="459"/>
      <c r="X3390" s="459"/>
      <c r="Y3390" s="666"/>
      <c r="Z3390" s="664"/>
      <c r="AA3390" s="665"/>
      <c r="AB3390" s="665"/>
      <c r="AC3390" s="665"/>
      <c r="AD3390" s="665"/>
      <c r="AE3390" s="665"/>
      <c r="AF3390" s="649"/>
      <c r="AG3390" s="650"/>
      <c r="AH3390" s="650"/>
      <c r="AI3390" s="667"/>
    </row>
    <row r="3391" spans="12:35" ht="45" customHeight="1" thickBot="1" x14ac:dyDescent="0.25">
      <c r="L3391" s="645"/>
      <c r="M3391" s="616"/>
      <c r="N3391" s="616"/>
      <c r="O3391" s="616"/>
      <c r="P3391" s="615"/>
      <c r="Q3391" s="616"/>
      <c r="R3391" s="663"/>
      <c r="S3391" s="459"/>
      <c r="T3391" s="459"/>
      <c r="U3391" s="459"/>
      <c r="V3391" s="459"/>
      <c r="W3391" s="459"/>
      <c r="X3391" s="459"/>
      <c r="Y3391" s="666"/>
      <c r="Z3391" s="664"/>
      <c r="AA3391" s="665"/>
      <c r="AB3391" s="665"/>
      <c r="AC3391" s="665"/>
      <c r="AD3391" s="665"/>
      <c r="AE3391" s="665"/>
      <c r="AF3391" s="649"/>
      <c r="AG3391" s="650"/>
      <c r="AH3391" s="650"/>
      <c r="AI3391" s="667"/>
    </row>
    <row r="3392" spans="12:35" ht="45" customHeight="1" thickBot="1" x14ac:dyDescent="0.25">
      <c r="L3392" s="645"/>
      <c r="M3392" s="616"/>
      <c r="N3392" s="616"/>
      <c r="O3392" s="616"/>
      <c r="P3392" s="615"/>
      <c r="Q3392" s="616"/>
      <c r="R3392" s="663"/>
      <c r="S3392" s="459"/>
      <c r="T3392" s="459"/>
      <c r="U3392" s="459"/>
      <c r="V3392" s="459"/>
      <c r="W3392" s="459"/>
      <c r="X3392" s="459"/>
      <c r="Y3392" s="666"/>
      <c r="Z3392" s="664"/>
      <c r="AA3392" s="665"/>
      <c r="AB3392" s="665"/>
      <c r="AC3392" s="665"/>
      <c r="AD3392" s="665"/>
      <c r="AE3392" s="665"/>
      <c r="AF3392" s="649"/>
      <c r="AG3392" s="650"/>
      <c r="AH3392" s="650"/>
      <c r="AI3392" s="667"/>
    </row>
    <row r="3393" spans="12:35" ht="45" customHeight="1" thickBot="1" x14ac:dyDescent="0.25">
      <c r="L3393" s="645"/>
      <c r="M3393" s="616"/>
      <c r="N3393" s="616"/>
      <c r="O3393" s="616"/>
      <c r="P3393" s="615"/>
      <c r="Q3393" s="616"/>
      <c r="R3393" s="663"/>
      <c r="S3393" s="459"/>
      <c r="T3393" s="459"/>
      <c r="U3393" s="459"/>
      <c r="V3393" s="459"/>
      <c r="W3393" s="459"/>
      <c r="X3393" s="459"/>
      <c r="Y3393" s="666"/>
      <c r="Z3393" s="664"/>
      <c r="AA3393" s="665"/>
      <c r="AB3393" s="665"/>
      <c r="AC3393" s="665"/>
      <c r="AD3393" s="665"/>
      <c r="AE3393" s="665"/>
      <c r="AF3393" s="649"/>
      <c r="AG3393" s="650"/>
      <c r="AH3393" s="650"/>
      <c r="AI3393" s="667"/>
    </row>
    <row r="3394" spans="12:35" ht="45" customHeight="1" thickBot="1" x14ac:dyDescent="0.25">
      <c r="L3394" s="645"/>
      <c r="M3394" s="616"/>
      <c r="N3394" s="616"/>
      <c r="O3394" s="616"/>
      <c r="P3394" s="615"/>
      <c r="Q3394" s="616"/>
      <c r="R3394" s="663"/>
      <c r="S3394" s="459"/>
      <c r="T3394" s="459"/>
      <c r="U3394" s="459"/>
      <c r="V3394" s="459"/>
      <c r="W3394" s="459"/>
      <c r="X3394" s="459"/>
      <c r="Y3394" s="666"/>
      <c r="Z3394" s="664"/>
      <c r="AA3394" s="665"/>
      <c r="AB3394" s="665"/>
      <c r="AC3394" s="665"/>
      <c r="AD3394" s="665"/>
      <c r="AE3394" s="665"/>
      <c r="AF3394" s="649"/>
      <c r="AG3394" s="650"/>
      <c r="AH3394" s="650"/>
      <c r="AI3394" s="667"/>
    </row>
    <row r="3395" spans="12:35" ht="45" customHeight="1" thickBot="1" x14ac:dyDescent="0.25">
      <c r="L3395" s="645"/>
      <c r="M3395" s="616"/>
      <c r="N3395" s="616"/>
      <c r="O3395" s="616"/>
      <c r="P3395" s="615"/>
      <c r="Q3395" s="616"/>
      <c r="R3395" s="663"/>
      <c r="S3395" s="459"/>
      <c r="T3395" s="459"/>
      <c r="U3395" s="459"/>
      <c r="V3395" s="459"/>
      <c r="W3395" s="459"/>
      <c r="X3395" s="459"/>
      <c r="Y3395" s="666"/>
      <c r="Z3395" s="664"/>
      <c r="AA3395" s="665"/>
      <c r="AB3395" s="665"/>
      <c r="AC3395" s="665"/>
      <c r="AD3395" s="665"/>
      <c r="AE3395" s="665"/>
      <c r="AF3395" s="649"/>
      <c r="AG3395" s="650"/>
      <c r="AH3395" s="650"/>
      <c r="AI3395" s="667"/>
    </row>
    <row r="3396" spans="12:35" ht="45" customHeight="1" thickBot="1" x14ac:dyDescent="0.25">
      <c r="L3396" s="645"/>
      <c r="M3396" s="616"/>
      <c r="N3396" s="616"/>
      <c r="O3396" s="616"/>
      <c r="P3396" s="615"/>
      <c r="Q3396" s="616"/>
      <c r="R3396" s="663"/>
      <c r="S3396" s="459"/>
      <c r="T3396" s="459"/>
      <c r="U3396" s="459"/>
      <c r="V3396" s="459"/>
      <c r="W3396" s="459"/>
      <c r="X3396" s="459"/>
      <c r="Y3396" s="666"/>
      <c r="Z3396" s="664"/>
      <c r="AA3396" s="665"/>
      <c r="AB3396" s="665"/>
      <c r="AC3396" s="665"/>
      <c r="AD3396" s="665"/>
      <c r="AE3396" s="665"/>
      <c r="AF3396" s="649"/>
      <c r="AG3396" s="650"/>
      <c r="AH3396" s="650"/>
      <c r="AI3396" s="667"/>
    </row>
    <row r="3397" spans="12:35" ht="45" customHeight="1" thickBot="1" x14ac:dyDescent="0.25">
      <c r="L3397" s="645"/>
      <c r="M3397" s="616"/>
      <c r="N3397" s="616"/>
      <c r="O3397" s="616"/>
      <c r="P3397" s="615"/>
      <c r="Q3397" s="616"/>
      <c r="R3397" s="663"/>
      <c r="S3397" s="459"/>
      <c r="T3397" s="459"/>
      <c r="U3397" s="459"/>
      <c r="V3397" s="459"/>
      <c r="W3397" s="459"/>
      <c r="X3397" s="459"/>
      <c r="Y3397" s="666"/>
      <c r="Z3397" s="664"/>
      <c r="AA3397" s="665"/>
      <c r="AB3397" s="665"/>
      <c r="AC3397" s="665"/>
      <c r="AD3397" s="665"/>
      <c r="AE3397" s="665"/>
      <c r="AF3397" s="649"/>
      <c r="AG3397" s="650"/>
      <c r="AH3397" s="650"/>
      <c r="AI3397" s="667"/>
    </row>
    <row r="3398" spans="12:35" ht="45" customHeight="1" thickBot="1" x14ac:dyDescent="0.25">
      <c r="L3398" s="645"/>
      <c r="M3398" s="616"/>
      <c r="N3398" s="616"/>
      <c r="O3398" s="616"/>
      <c r="P3398" s="615"/>
      <c r="Q3398" s="616"/>
      <c r="R3398" s="663"/>
      <c r="S3398" s="459"/>
      <c r="T3398" s="459"/>
      <c r="U3398" s="459"/>
      <c r="V3398" s="459"/>
      <c r="W3398" s="459"/>
      <c r="X3398" s="459"/>
      <c r="Y3398" s="666"/>
      <c r="Z3398" s="664"/>
      <c r="AA3398" s="665"/>
      <c r="AB3398" s="665"/>
      <c r="AC3398" s="665"/>
      <c r="AD3398" s="665"/>
      <c r="AE3398" s="665"/>
      <c r="AF3398" s="649"/>
      <c r="AG3398" s="650"/>
      <c r="AH3398" s="650"/>
      <c r="AI3398" s="667"/>
    </row>
    <row r="3399" spans="12:35" ht="45" customHeight="1" thickBot="1" x14ac:dyDescent="0.25">
      <c r="L3399" s="645"/>
      <c r="M3399" s="616"/>
      <c r="N3399" s="616"/>
      <c r="O3399" s="616"/>
      <c r="P3399" s="615"/>
      <c r="Q3399" s="616"/>
      <c r="R3399" s="663"/>
      <c r="S3399" s="459"/>
      <c r="T3399" s="459"/>
      <c r="U3399" s="459"/>
      <c r="V3399" s="459"/>
      <c r="W3399" s="459"/>
      <c r="X3399" s="459"/>
      <c r="Y3399" s="666"/>
      <c r="Z3399" s="664"/>
      <c r="AA3399" s="665"/>
      <c r="AB3399" s="665"/>
      <c r="AC3399" s="665"/>
      <c r="AD3399" s="665"/>
      <c r="AE3399" s="665"/>
      <c r="AF3399" s="649"/>
      <c r="AG3399" s="650"/>
      <c r="AH3399" s="650"/>
      <c r="AI3399" s="667"/>
    </row>
    <row r="3400" spans="12:35" ht="45" customHeight="1" thickBot="1" x14ac:dyDescent="0.25">
      <c r="L3400" s="645"/>
      <c r="M3400" s="616"/>
      <c r="N3400" s="616"/>
      <c r="O3400" s="616"/>
      <c r="P3400" s="615"/>
      <c r="Q3400" s="616"/>
      <c r="R3400" s="663"/>
      <c r="S3400" s="459"/>
      <c r="T3400" s="459"/>
      <c r="U3400" s="459"/>
      <c r="V3400" s="459"/>
      <c r="W3400" s="459"/>
      <c r="X3400" s="459"/>
      <c r="Y3400" s="666"/>
      <c r="Z3400" s="664"/>
      <c r="AA3400" s="665"/>
      <c r="AB3400" s="665"/>
      <c r="AC3400" s="665"/>
      <c r="AD3400" s="665"/>
      <c r="AE3400" s="665"/>
      <c r="AF3400" s="649"/>
      <c r="AG3400" s="650"/>
      <c r="AH3400" s="650"/>
      <c r="AI3400" s="667"/>
    </row>
    <row r="3401" spans="12:35" ht="45" customHeight="1" thickBot="1" x14ac:dyDescent="0.25">
      <c r="L3401" s="645"/>
      <c r="M3401" s="616"/>
      <c r="N3401" s="616"/>
      <c r="O3401" s="616"/>
      <c r="P3401" s="615"/>
      <c r="Q3401" s="616"/>
      <c r="R3401" s="663"/>
      <c r="S3401" s="459"/>
      <c r="T3401" s="459"/>
      <c r="U3401" s="459"/>
      <c r="V3401" s="459"/>
      <c r="W3401" s="459"/>
      <c r="X3401" s="459"/>
      <c r="Y3401" s="666"/>
      <c r="Z3401" s="664"/>
      <c r="AA3401" s="665"/>
      <c r="AB3401" s="665"/>
      <c r="AC3401" s="665"/>
      <c r="AD3401" s="665"/>
      <c r="AE3401" s="665"/>
      <c r="AF3401" s="649"/>
      <c r="AG3401" s="650"/>
      <c r="AH3401" s="650"/>
      <c r="AI3401" s="667"/>
    </row>
    <row r="3402" spans="12:35" ht="45" customHeight="1" thickBot="1" x14ac:dyDescent="0.25">
      <c r="L3402" s="645"/>
      <c r="M3402" s="616"/>
      <c r="N3402" s="616"/>
      <c r="O3402" s="616"/>
      <c r="P3402" s="615"/>
      <c r="Q3402" s="616"/>
      <c r="R3402" s="663"/>
      <c r="S3402" s="459"/>
      <c r="T3402" s="459"/>
      <c r="U3402" s="459"/>
      <c r="V3402" s="459"/>
      <c r="W3402" s="459"/>
      <c r="X3402" s="459"/>
      <c r="Y3402" s="666"/>
      <c r="Z3402" s="664"/>
      <c r="AA3402" s="665"/>
      <c r="AB3402" s="665"/>
      <c r="AC3402" s="665"/>
      <c r="AD3402" s="665"/>
      <c r="AE3402" s="665"/>
      <c r="AF3402" s="649"/>
      <c r="AG3402" s="650"/>
      <c r="AH3402" s="650"/>
      <c r="AI3402" s="667"/>
    </row>
    <row r="3403" spans="12:35" ht="45" customHeight="1" thickBot="1" x14ac:dyDescent="0.25">
      <c r="L3403" s="645"/>
      <c r="M3403" s="616"/>
      <c r="N3403" s="616"/>
      <c r="O3403" s="616"/>
      <c r="P3403" s="615"/>
      <c r="Q3403" s="616"/>
      <c r="R3403" s="663"/>
      <c r="S3403" s="459"/>
      <c r="T3403" s="459"/>
      <c r="U3403" s="459"/>
      <c r="V3403" s="459"/>
      <c r="W3403" s="459"/>
      <c r="X3403" s="459"/>
      <c r="Y3403" s="666"/>
      <c r="Z3403" s="664"/>
      <c r="AA3403" s="665"/>
      <c r="AB3403" s="665"/>
      <c r="AC3403" s="665"/>
      <c r="AD3403" s="665"/>
      <c r="AE3403" s="665"/>
      <c r="AF3403" s="649"/>
      <c r="AG3403" s="650"/>
      <c r="AH3403" s="650"/>
      <c r="AI3403" s="667"/>
    </row>
    <row r="3404" spans="12:35" ht="45" customHeight="1" thickBot="1" x14ac:dyDescent="0.25">
      <c r="L3404" s="645"/>
      <c r="M3404" s="616"/>
      <c r="N3404" s="616"/>
      <c r="O3404" s="616"/>
      <c r="P3404" s="615"/>
      <c r="Q3404" s="616"/>
      <c r="R3404" s="663"/>
      <c r="S3404" s="459"/>
      <c r="T3404" s="459"/>
      <c r="U3404" s="459"/>
      <c r="V3404" s="459"/>
      <c r="W3404" s="459"/>
      <c r="X3404" s="459"/>
      <c r="Y3404" s="666"/>
      <c r="Z3404" s="664"/>
      <c r="AA3404" s="665"/>
      <c r="AB3404" s="665"/>
      <c r="AC3404" s="665"/>
      <c r="AD3404" s="665"/>
      <c r="AE3404" s="665"/>
      <c r="AF3404" s="649"/>
      <c r="AG3404" s="650"/>
      <c r="AH3404" s="650"/>
      <c r="AI3404" s="667"/>
    </row>
    <row r="3405" spans="12:35" ht="45" customHeight="1" thickBot="1" x14ac:dyDescent="0.25">
      <c r="L3405" s="645"/>
      <c r="M3405" s="616"/>
      <c r="N3405" s="616"/>
      <c r="O3405" s="616"/>
      <c r="P3405" s="615"/>
      <c r="Q3405" s="616"/>
      <c r="R3405" s="663"/>
      <c r="S3405" s="459"/>
      <c r="T3405" s="459"/>
      <c r="U3405" s="459"/>
      <c r="V3405" s="459"/>
      <c r="W3405" s="459"/>
      <c r="X3405" s="459"/>
      <c r="Y3405" s="666"/>
      <c r="Z3405" s="664"/>
      <c r="AA3405" s="665"/>
      <c r="AB3405" s="665"/>
      <c r="AC3405" s="665"/>
      <c r="AD3405" s="665"/>
      <c r="AE3405" s="665"/>
      <c r="AF3405" s="649"/>
      <c r="AG3405" s="650"/>
      <c r="AH3405" s="650"/>
      <c r="AI3405" s="667"/>
    </row>
    <row r="3406" spans="12:35" ht="45" customHeight="1" thickBot="1" x14ac:dyDescent="0.25">
      <c r="L3406" s="645"/>
      <c r="M3406" s="616"/>
      <c r="N3406" s="616"/>
      <c r="O3406" s="616"/>
      <c r="P3406" s="615"/>
      <c r="Q3406" s="616"/>
      <c r="R3406" s="663"/>
      <c r="S3406" s="459"/>
      <c r="T3406" s="459"/>
      <c r="U3406" s="459"/>
      <c r="V3406" s="459"/>
      <c r="W3406" s="459"/>
      <c r="X3406" s="459"/>
      <c r="Y3406" s="666"/>
      <c r="Z3406" s="664"/>
      <c r="AA3406" s="665"/>
      <c r="AB3406" s="665"/>
      <c r="AC3406" s="665"/>
      <c r="AD3406" s="665"/>
      <c r="AE3406" s="665"/>
      <c r="AF3406" s="649"/>
      <c r="AG3406" s="650"/>
      <c r="AH3406" s="650"/>
      <c r="AI3406" s="667"/>
    </row>
    <row r="3407" spans="12:35" ht="45" customHeight="1" thickBot="1" x14ac:dyDescent="0.25">
      <c r="L3407" s="645"/>
      <c r="M3407" s="616"/>
      <c r="N3407" s="616"/>
      <c r="O3407" s="616"/>
      <c r="P3407" s="615"/>
      <c r="Q3407" s="616"/>
      <c r="R3407" s="663"/>
      <c r="S3407" s="459"/>
      <c r="T3407" s="459"/>
      <c r="U3407" s="459"/>
      <c r="V3407" s="459"/>
      <c r="W3407" s="459"/>
      <c r="X3407" s="459"/>
      <c r="Y3407" s="666"/>
      <c r="Z3407" s="664"/>
      <c r="AA3407" s="665"/>
      <c r="AB3407" s="665"/>
      <c r="AC3407" s="665"/>
      <c r="AD3407" s="665"/>
      <c r="AE3407" s="665"/>
      <c r="AF3407" s="649"/>
      <c r="AG3407" s="650"/>
      <c r="AH3407" s="650"/>
      <c r="AI3407" s="667"/>
    </row>
    <row r="3408" spans="12:35" ht="45" customHeight="1" thickBot="1" x14ac:dyDescent="0.25">
      <c r="L3408" s="645"/>
      <c r="M3408" s="616"/>
      <c r="N3408" s="616"/>
      <c r="O3408" s="616"/>
      <c r="P3408" s="615"/>
      <c r="Q3408" s="616"/>
      <c r="R3408" s="663"/>
      <c r="S3408" s="459"/>
      <c r="T3408" s="459"/>
      <c r="U3408" s="459"/>
      <c r="V3408" s="459"/>
      <c r="W3408" s="459"/>
      <c r="X3408" s="459"/>
      <c r="Y3408" s="666"/>
      <c r="Z3408" s="664"/>
      <c r="AA3408" s="665"/>
      <c r="AB3408" s="665"/>
      <c r="AC3408" s="665"/>
      <c r="AD3408" s="665"/>
      <c r="AE3408" s="665"/>
      <c r="AF3408" s="649"/>
      <c r="AG3408" s="650"/>
      <c r="AH3408" s="650"/>
      <c r="AI3408" s="667"/>
    </row>
    <row r="3409" spans="12:35" ht="45" customHeight="1" thickBot="1" x14ac:dyDescent="0.25">
      <c r="L3409" s="645"/>
      <c r="M3409" s="616"/>
      <c r="N3409" s="616"/>
      <c r="O3409" s="616"/>
      <c r="P3409" s="615"/>
      <c r="Q3409" s="616"/>
      <c r="R3409" s="663"/>
      <c r="S3409" s="459"/>
      <c r="T3409" s="459"/>
      <c r="U3409" s="459"/>
      <c r="V3409" s="459"/>
      <c r="W3409" s="459"/>
      <c r="X3409" s="459"/>
      <c r="Y3409" s="666"/>
      <c r="Z3409" s="664"/>
      <c r="AA3409" s="665"/>
      <c r="AB3409" s="665"/>
      <c r="AC3409" s="665"/>
      <c r="AD3409" s="665"/>
      <c r="AE3409" s="665"/>
      <c r="AF3409" s="649"/>
      <c r="AG3409" s="650"/>
      <c r="AH3409" s="650"/>
      <c r="AI3409" s="667"/>
    </row>
    <row r="3410" spans="12:35" ht="45" customHeight="1" thickBot="1" x14ac:dyDescent="0.25">
      <c r="L3410" s="645"/>
      <c r="M3410" s="616"/>
      <c r="N3410" s="616"/>
      <c r="O3410" s="616"/>
      <c r="P3410" s="615"/>
      <c r="Q3410" s="616"/>
      <c r="R3410" s="663"/>
      <c r="S3410" s="459"/>
      <c r="T3410" s="459"/>
      <c r="U3410" s="459"/>
      <c r="V3410" s="459"/>
      <c r="W3410" s="459"/>
      <c r="X3410" s="459"/>
      <c r="Y3410" s="666"/>
      <c r="Z3410" s="664"/>
      <c r="AA3410" s="665"/>
      <c r="AB3410" s="665"/>
      <c r="AC3410" s="665"/>
      <c r="AD3410" s="665"/>
      <c r="AE3410" s="665"/>
      <c r="AF3410" s="649"/>
      <c r="AG3410" s="650"/>
      <c r="AH3410" s="650"/>
      <c r="AI3410" s="667"/>
    </row>
    <row r="3411" spans="12:35" ht="45" customHeight="1" thickBot="1" x14ac:dyDescent="0.25">
      <c r="L3411" s="645"/>
      <c r="M3411" s="616"/>
      <c r="N3411" s="616"/>
      <c r="O3411" s="616"/>
      <c r="P3411" s="615"/>
      <c r="Q3411" s="616"/>
      <c r="R3411" s="663"/>
      <c r="S3411" s="459"/>
      <c r="T3411" s="459"/>
      <c r="U3411" s="459"/>
      <c r="V3411" s="459"/>
      <c r="W3411" s="459"/>
      <c r="X3411" s="459"/>
      <c r="Y3411" s="666"/>
      <c r="Z3411" s="664"/>
      <c r="AA3411" s="665"/>
      <c r="AB3411" s="665"/>
      <c r="AC3411" s="665"/>
      <c r="AD3411" s="665"/>
      <c r="AE3411" s="665"/>
      <c r="AF3411" s="649"/>
      <c r="AG3411" s="650"/>
      <c r="AH3411" s="650"/>
      <c r="AI3411" s="667"/>
    </row>
    <row r="3412" spans="12:35" ht="45" customHeight="1" thickBot="1" x14ac:dyDescent="0.25">
      <c r="L3412" s="645"/>
      <c r="M3412" s="616"/>
      <c r="N3412" s="616"/>
      <c r="O3412" s="616"/>
      <c r="P3412" s="615"/>
      <c r="Q3412" s="616"/>
      <c r="R3412" s="663"/>
      <c r="S3412" s="459"/>
      <c r="T3412" s="459"/>
      <c r="U3412" s="459"/>
      <c r="V3412" s="459"/>
      <c r="W3412" s="459"/>
      <c r="X3412" s="459"/>
      <c r="Y3412" s="666"/>
      <c r="Z3412" s="664"/>
      <c r="AA3412" s="665"/>
      <c r="AB3412" s="665"/>
      <c r="AC3412" s="665"/>
      <c r="AD3412" s="665"/>
      <c r="AE3412" s="665"/>
      <c r="AF3412" s="649"/>
      <c r="AG3412" s="650"/>
      <c r="AH3412" s="650"/>
      <c r="AI3412" s="667"/>
    </row>
    <row r="3413" spans="12:35" ht="45" customHeight="1" thickBot="1" x14ac:dyDescent="0.25">
      <c r="L3413" s="645"/>
      <c r="M3413" s="616"/>
      <c r="N3413" s="616"/>
      <c r="O3413" s="616"/>
      <c r="P3413" s="615"/>
      <c r="Q3413" s="616"/>
      <c r="R3413" s="663"/>
      <c r="S3413" s="459"/>
      <c r="T3413" s="459"/>
      <c r="U3413" s="459"/>
      <c r="V3413" s="459"/>
      <c r="W3413" s="459"/>
      <c r="X3413" s="459"/>
      <c r="Y3413" s="666"/>
      <c r="Z3413" s="664"/>
      <c r="AA3413" s="665"/>
      <c r="AB3413" s="665"/>
      <c r="AC3413" s="665"/>
      <c r="AD3413" s="665"/>
      <c r="AE3413" s="665"/>
      <c r="AF3413" s="649"/>
      <c r="AG3413" s="650"/>
      <c r="AH3413" s="650"/>
      <c r="AI3413" s="667"/>
    </row>
    <row r="3414" spans="12:35" ht="45" customHeight="1" thickBot="1" x14ac:dyDescent="0.25">
      <c r="L3414" s="645"/>
      <c r="M3414" s="616"/>
      <c r="N3414" s="616"/>
      <c r="O3414" s="616"/>
      <c r="P3414" s="615"/>
      <c r="Q3414" s="616"/>
      <c r="R3414" s="663"/>
      <c r="S3414" s="459"/>
      <c r="T3414" s="459"/>
      <c r="U3414" s="459"/>
      <c r="V3414" s="459"/>
      <c r="W3414" s="459"/>
      <c r="X3414" s="459"/>
      <c r="Y3414" s="666"/>
      <c r="Z3414" s="664"/>
      <c r="AA3414" s="665"/>
      <c r="AB3414" s="665"/>
      <c r="AC3414" s="665"/>
      <c r="AD3414" s="665"/>
      <c r="AE3414" s="665"/>
      <c r="AF3414" s="649"/>
      <c r="AG3414" s="650"/>
      <c r="AH3414" s="650"/>
      <c r="AI3414" s="667"/>
    </row>
    <row r="3415" spans="12:35" ht="45" customHeight="1" thickBot="1" x14ac:dyDescent="0.25">
      <c r="L3415" s="645"/>
      <c r="M3415" s="616"/>
      <c r="N3415" s="616"/>
      <c r="O3415" s="616"/>
      <c r="P3415" s="615"/>
      <c r="Q3415" s="616"/>
      <c r="R3415" s="663"/>
      <c r="S3415" s="459"/>
      <c r="T3415" s="459"/>
      <c r="U3415" s="459"/>
      <c r="V3415" s="459"/>
      <c r="W3415" s="459"/>
      <c r="X3415" s="459"/>
      <c r="Y3415" s="666"/>
      <c r="Z3415" s="664"/>
      <c r="AA3415" s="665"/>
      <c r="AB3415" s="665"/>
      <c r="AC3415" s="665"/>
      <c r="AD3415" s="665"/>
      <c r="AE3415" s="665"/>
      <c r="AF3415" s="649"/>
      <c r="AG3415" s="650"/>
      <c r="AH3415" s="650"/>
      <c r="AI3415" s="667"/>
    </row>
    <row r="3416" spans="12:35" ht="45" customHeight="1" thickBot="1" x14ac:dyDescent="0.25">
      <c r="L3416" s="645"/>
      <c r="M3416" s="616"/>
      <c r="N3416" s="616"/>
      <c r="O3416" s="616"/>
      <c r="P3416" s="615"/>
      <c r="Q3416" s="616"/>
      <c r="R3416" s="663"/>
      <c r="S3416" s="459"/>
      <c r="T3416" s="459"/>
      <c r="U3416" s="459"/>
      <c r="V3416" s="459"/>
      <c r="W3416" s="459"/>
      <c r="X3416" s="459"/>
      <c r="Y3416" s="666"/>
      <c r="Z3416" s="664"/>
      <c r="AA3416" s="665"/>
      <c r="AB3416" s="665"/>
      <c r="AC3416" s="665"/>
      <c r="AD3416" s="665"/>
      <c r="AE3416" s="665"/>
      <c r="AF3416" s="649"/>
      <c r="AG3416" s="650"/>
      <c r="AH3416" s="650"/>
      <c r="AI3416" s="667"/>
    </row>
    <row r="3417" spans="12:35" ht="45" customHeight="1" thickBot="1" x14ac:dyDescent="0.25">
      <c r="L3417" s="645"/>
      <c r="M3417" s="616"/>
      <c r="N3417" s="616"/>
      <c r="O3417" s="616"/>
      <c r="P3417" s="615"/>
      <c r="Q3417" s="616"/>
      <c r="R3417" s="663"/>
      <c r="S3417" s="459"/>
      <c r="T3417" s="459"/>
      <c r="U3417" s="459"/>
      <c r="V3417" s="459"/>
      <c r="W3417" s="459"/>
      <c r="X3417" s="459"/>
      <c r="Y3417" s="666"/>
      <c r="Z3417" s="664"/>
      <c r="AA3417" s="665"/>
      <c r="AB3417" s="665"/>
      <c r="AC3417" s="665"/>
      <c r="AD3417" s="665"/>
      <c r="AE3417" s="665"/>
      <c r="AF3417" s="649"/>
      <c r="AG3417" s="650"/>
      <c r="AH3417" s="650"/>
      <c r="AI3417" s="667"/>
    </row>
    <row r="3418" spans="12:35" ht="45" customHeight="1" thickBot="1" x14ac:dyDescent="0.25">
      <c r="L3418" s="645"/>
      <c r="M3418" s="616"/>
      <c r="N3418" s="616"/>
      <c r="O3418" s="616"/>
      <c r="P3418" s="615"/>
      <c r="Q3418" s="616"/>
      <c r="R3418" s="663"/>
      <c r="S3418" s="459"/>
      <c r="T3418" s="459"/>
      <c r="U3418" s="459"/>
      <c r="V3418" s="459"/>
      <c r="W3418" s="459"/>
      <c r="X3418" s="459"/>
      <c r="Y3418" s="666"/>
      <c r="Z3418" s="664"/>
      <c r="AA3418" s="665"/>
      <c r="AB3418" s="665"/>
      <c r="AC3418" s="665"/>
      <c r="AD3418" s="665"/>
      <c r="AE3418" s="665"/>
      <c r="AF3418" s="649"/>
      <c r="AG3418" s="650"/>
      <c r="AH3418" s="650"/>
      <c r="AI3418" s="667"/>
    </row>
    <row r="3419" spans="12:35" ht="45" customHeight="1" thickBot="1" x14ac:dyDescent="0.25">
      <c r="L3419" s="645"/>
      <c r="M3419" s="616"/>
      <c r="N3419" s="616"/>
      <c r="O3419" s="616"/>
      <c r="P3419" s="615"/>
      <c r="Q3419" s="616"/>
      <c r="R3419" s="663"/>
      <c r="S3419" s="459"/>
      <c r="T3419" s="459"/>
      <c r="U3419" s="459"/>
      <c r="V3419" s="459"/>
      <c r="W3419" s="459"/>
      <c r="X3419" s="459"/>
      <c r="Y3419" s="666"/>
      <c r="Z3419" s="664"/>
      <c r="AA3419" s="665"/>
      <c r="AB3419" s="665"/>
      <c r="AC3419" s="665"/>
      <c r="AD3419" s="665"/>
      <c r="AE3419" s="665"/>
      <c r="AF3419" s="649"/>
      <c r="AG3419" s="650"/>
      <c r="AH3419" s="650"/>
      <c r="AI3419" s="667"/>
    </row>
    <row r="3420" spans="12:35" ht="45" customHeight="1" thickBot="1" x14ac:dyDescent="0.25">
      <c r="L3420" s="645"/>
      <c r="M3420" s="616"/>
      <c r="N3420" s="616"/>
      <c r="O3420" s="616"/>
      <c r="P3420" s="615"/>
      <c r="Q3420" s="616"/>
      <c r="R3420" s="663"/>
      <c r="S3420" s="459"/>
      <c r="T3420" s="459"/>
      <c r="U3420" s="459"/>
      <c r="V3420" s="459"/>
      <c r="W3420" s="459"/>
      <c r="X3420" s="459"/>
      <c r="Y3420" s="666"/>
      <c r="Z3420" s="664"/>
      <c r="AA3420" s="665"/>
      <c r="AB3420" s="665"/>
      <c r="AC3420" s="665"/>
      <c r="AD3420" s="665"/>
      <c r="AE3420" s="665"/>
      <c r="AF3420" s="649"/>
      <c r="AG3420" s="650"/>
      <c r="AH3420" s="650"/>
      <c r="AI3420" s="667"/>
    </row>
    <row r="3421" spans="12:35" ht="45" customHeight="1" thickBot="1" x14ac:dyDescent="0.25">
      <c r="L3421" s="645"/>
      <c r="M3421" s="616"/>
      <c r="N3421" s="616"/>
      <c r="O3421" s="616"/>
      <c r="P3421" s="615"/>
      <c r="Q3421" s="616"/>
      <c r="R3421" s="663"/>
      <c r="S3421" s="459"/>
      <c r="T3421" s="459"/>
      <c r="U3421" s="459"/>
      <c r="V3421" s="459"/>
      <c r="W3421" s="459"/>
      <c r="X3421" s="459"/>
      <c r="Y3421" s="666"/>
      <c r="Z3421" s="664"/>
      <c r="AA3421" s="665"/>
      <c r="AB3421" s="665"/>
      <c r="AC3421" s="665"/>
      <c r="AD3421" s="665"/>
      <c r="AE3421" s="665"/>
      <c r="AF3421" s="649"/>
      <c r="AG3421" s="650"/>
      <c r="AH3421" s="650"/>
      <c r="AI3421" s="667"/>
    </row>
    <row r="3422" spans="12:35" ht="45" customHeight="1" thickBot="1" x14ac:dyDescent="0.25">
      <c r="L3422" s="645"/>
      <c r="M3422" s="616"/>
      <c r="N3422" s="616"/>
      <c r="O3422" s="616"/>
      <c r="P3422" s="615"/>
      <c r="Q3422" s="616"/>
      <c r="R3422" s="663"/>
      <c r="S3422" s="459"/>
      <c r="T3422" s="459"/>
      <c r="U3422" s="459"/>
      <c r="V3422" s="459"/>
      <c r="W3422" s="459"/>
      <c r="X3422" s="459"/>
      <c r="Y3422" s="666"/>
      <c r="Z3422" s="664"/>
      <c r="AA3422" s="665"/>
      <c r="AB3422" s="665"/>
      <c r="AC3422" s="665"/>
      <c r="AD3422" s="665"/>
      <c r="AE3422" s="665"/>
      <c r="AF3422" s="649"/>
      <c r="AG3422" s="650"/>
      <c r="AH3422" s="650"/>
      <c r="AI3422" s="667"/>
    </row>
    <row r="3423" spans="12:35" ht="45" customHeight="1" thickBot="1" x14ac:dyDescent="0.25">
      <c r="L3423" s="645"/>
      <c r="M3423" s="616"/>
      <c r="N3423" s="616"/>
      <c r="O3423" s="616"/>
      <c r="P3423" s="615"/>
      <c r="Q3423" s="616"/>
      <c r="R3423" s="663"/>
      <c r="S3423" s="459"/>
      <c r="T3423" s="459"/>
      <c r="U3423" s="459"/>
      <c r="V3423" s="459"/>
      <c r="W3423" s="459"/>
      <c r="X3423" s="459"/>
      <c r="Y3423" s="666"/>
      <c r="Z3423" s="664"/>
      <c r="AA3423" s="665"/>
      <c r="AB3423" s="665"/>
      <c r="AC3423" s="665"/>
      <c r="AD3423" s="665"/>
      <c r="AE3423" s="665"/>
      <c r="AF3423" s="649"/>
      <c r="AG3423" s="650"/>
      <c r="AH3423" s="650"/>
      <c r="AI3423" s="667"/>
    </row>
    <row r="3424" spans="12:35" ht="45" customHeight="1" thickBot="1" x14ac:dyDescent="0.25">
      <c r="L3424" s="645"/>
      <c r="M3424" s="616"/>
      <c r="N3424" s="616"/>
      <c r="O3424" s="616"/>
      <c r="P3424" s="615"/>
      <c r="Q3424" s="616"/>
      <c r="R3424" s="663"/>
      <c r="S3424" s="459"/>
      <c r="T3424" s="459"/>
      <c r="U3424" s="459"/>
      <c r="V3424" s="459"/>
      <c r="W3424" s="459"/>
      <c r="X3424" s="459"/>
      <c r="Y3424" s="666"/>
      <c r="Z3424" s="664"/>
      <c r="AA3424" s="665"/>
      <c r="AB3424" s="665"/>
      <c r="AC3424" s="665"/>
      <c r="AD3424" s="665"/>
      <c r="AE3424" s="665"/>
      <c r="AF3424" s="649"/>
      <c r="AG3424" s="650"/>
      <c r="AH3424" s="650"/>
      <c r="AI3424" s="667"/>
    </row>
    <row r="3425" spans="12:35" ht="45" customHeight="1" thickBot="1" x14ac:dyDescent="0.25">
      <c r="L3425" s="645"/>
      <c r="M3425" s="616"/>
      <c r="N3425" s="616"/>
      <c r="O3425" s="616"/>
      <c r="P3425" s="615"/>
      <c r="Q3425" s="616"/>
      <c r="R3425" s="663"/>
      <c r="S3425" s="459"/>
      <c r="T3425" s="459"/>
      <c r="U3425" s="459"/>
      <c r="V3425" s="459"/>
      <c r="W3425" s="459"/>
      <c r="X3425" s="459"/>
      <c r="Y3425" s="666"/>
      <c r="Z3425" s="664"/>
      <c r="AA3425" s="665"/>
      <c r="AB3425" s="665"/>
      <c r="AC3425" s="665"/>
      <c r="AD3425" s="665"/>
      <c r="AE3425" s="665"/>
      <c r="AF3425" s="649"/>
      <c r="AG3425" s="650"/>
      <c r="AH3425" s="650"/>
      <c r="AI3425" s="667"/>
    </row>
    <row r="3426" spans="12:35" ht="45" customHeight="1" thickBot="1" x14ac:dyDescent="0.25">
      <c r="L3426" s="645"/>
      <c r="M3426" s="616"/>
      <c r="N3426" s="616"/>
      <c r="O3426" s="616"/>
      <c r="P3426" s="615"/>
      <c r="Q3426" s="616"/>
      <c r="R3426" s="663"/>
      <c r="S3426" s="459"/>
      <c r="T3426" s="459"/>
      <c r="U3426" s="459"/>
      <c r="V3426" s="459"/>
      <c r="W3426" s="459"/>
      <c r="X3426" s="459"/>
      <c r="Y3426" s="666"/>
      <c r="Z3426" s="664"/>
      <c r="AA3426" s="665"/>
      <c r="AB3426" s="665"/>
      <c r="AC3426" s="665"/>
      <c r="AD3426" s="665"/>
      <c r="AE3426" s="665"/>
      <c r="AF3426" s="649"/>
      <c r="AG3426" s="650"/>
      <c r="AH3426" s="650"/>
      <c r="AI3426" s="667"/>
    </row>
    <row r="3427" spans="12:35" ht="45" customHeight="1" thickBot="1" x14ac:dyDescent="0.25">
      <c r="L3427" s="645"/>
      <c r="M3427" s="616"/>
      <c r="N3427" s="616"/>
      <c r="O3427" s="616"/>
      <c r="P3427" s="615"/>
      <c r="Q3427" s="616"/>
      <c r="R3427" s="663"/>
      <c r="S3427" s="459"/>
      <c r="T3427" s="459"/>
      <c r="U3427" s="459"/>
      <c r="V3427" s="459"/>
      <c r="W3427" s="459"/>
      <c r="X3427" s="459"/>
      <c r="Y3427" s="666"/>
      <c r="Z3427" s="664"/>
      <c r="AA3427" s="665"/>
      <c r="AB3427" s="665"/>
      <c r="AC3427" s="665"/>
      <c r="AD3427" s="665"/>
      <c r="AE3427" s="665"/>
      <c r="AF3427" s="649"/>
      <c r="AG3427" s="650"/>
      <c r="AH3427" s="650"/>
      <c r="AI3427" s="667"/>
    </row>
    <row r="3428" spans="12:35" ht="45" customHeight="1" thickBot="1" x14ac:dyDescent="0.25">
      <c r="L3428" s="645"/>
      <c r="M3428" s="616"/>
      <c r="N3428" s="616"/>
      <c r="O3428" s="616"/>
      <c r="P3428" s="615"/>
      <c r="Q3428" s="616"/>
      <c r="R3428" s="663"/>
      <c r="S3428" s="459"/>
      <c r="T3428" s="459"/>
      <c r="U3428" s="459"/>
      <c r="V3428" s="459"/>
      <c r="W3428" s="459"/>
      <c r="X3428" s="459"/>
      <c r="Y3428" s="666"/>
      <c r="Z3428" s="664"/>
      <c r="AA3428" s="665"/>
      <c r="AB3428" s="665"/>
      <c r="AC3428" s="665"/>
      <c r="AD3428" s="665"/>
      <c r="AE3428" s="665"/>
      <c r="AF3428" s="649"/>
      <c r="AG3428" s="650"/>
      <c r="AH3428" s="650"/>
      <c r="AI3428" s="667"/>
    </row>
    <row r="3429" spans="12:35" ht="45" customHeight="1" thickBot="1" x14ac:dyDescent="0.25">
      <c r="L3429" s="645"/>
      <c r="M3429" s="616"/>
      <c r="N3429" s="616"/>
      <c r="O3429" s="616"/>
      <c r="P3429" s="615"/>
      <c r="Q3429" s="616"/>
      <c r="R3429" s="663"/>
      <c r="S3429" s="459"/>
      <c r="T3429" s="459"/>
      <c r="U3429" s="459"/>
      <c r="V3429" s="459"/>
      <c r="W3429" s="459"/>
      <c r="X3429" s="459"/>
      <c r="Y3429" s="666"/>
      <c r="Z3429" s="664"/>
      <c r="AA3429" s="665"/>
      <c r="AB3429" s="665"/>
      <c r="AC3429" s="665"/>
      <c r="AD3429" s="665"/>
      <c r="AE3429" s="665"/>
      <c r="AF3429" s="649"/>
      <c r="AG3429" s="650"/>
      <c r="AH3429" s="650"/>
      <c r="AI3429" s="667"/>
    </row>
    <row r="3430" spans="12:35" ht="45" customHeight="1" thickBot="1" x14ac:dyDescent="0.25">
      <c r="L3430" s="645"/>
      <c r="M3430" s="616"/>
      <c r="N3430" s="616"/>
      <c r="O3430" s="616"/>
      <c r="P3430" s="615"/>
      <c r="Q3430" s="616"/>
      <c r="R3430" s="663"/>
      <c r="S3430" s="459"/>
      <c r="T3430" s="459"/>
      <c r="U3430" s="459"/>
      <c r="V3430" s="459"/>
      <c r="W3430" s="459"/>
      <c r="X3430" s="459"/>
      <c r="Y3430" s="666"/>
      <c r="Z3430" s="664"/>
      <c r="AA3430" s="665"/>
      <c r="AB3430" s="665"/>
      <c r="AC3430" s="665"/>
      <c r="AD3430" s="665"/>
      <c r="AE3430" s="665"/>
      <c r="AF3430" s="649"/>
      <c r="AG3430" s="650"/>
      <c r="AH3430" s="650"/>
      <c r="AI3430" s="667"/>
    </row>
    <row r="3431" spans="12:35" ht="45" customHeight="1" thickBot="1" x14ac:dyDescent="0.25">
      <c r="L3431" s="645"/>
      <c r="M3431" s="616"/>
      <c r="N3431" s="616"/>
      <c r="O3431" s="616"/>
      <c r="P3431" s="615"/>
      <c r="Q3431" s="616"/>
      <c r="R3431" s="663"/>
      <c r="S3431" s="459"/>
      <c r="T3431" s="459"/>
      <c r="U3431" s="459"/>
      <c r="V3431" s="459"/>
      <c r="W3431" s="459"/>
      <c r="X3431" s="459"/>
      <c r="Y3431" s="666"/>
      <c r="Z3431" s="664"/>
      <c r="AA3431" s="665"/>
      <c r="AB3431" s="665"/>
      <c r="AC3431" s="665"/>
      <c r="AD3431" s="665"/>
      <c r="AE3431" s="665"/>
      <c r="AF3431" s="649"/>
      <c r="AG3431" s="650"/>
      <c r="AH3431" s="650"/>
      <c r="AI3431" s="667"/>
    </row>
    <row r="3432" spans="12:35" ht="45" customHeight="1" thickBot="1" x14ac:dyDescent="0.25">
      <c r="L3432" s="645"/>
      <c r="M3432" s="616"/>
      <c r="N3432" s="616"/>
      <c r="O3432" s="616"/>
      <c r="P3432" s="615"/>
      <c r="Q3432" s="616"/>
      <c r="R3432" s="663"/>
      <c r="S3432" s="459"/>
      <c r="T3432" s="459"/>
      <c r="U3432" s="459"/>
      <c r="V3432" s="459"/>
      <c r="W3432" s="459"/>
      <c r="X3432" s="459"/>
      <c r="Y3432" s="666"/>
      <c r="Z3432" s="664"/>
      <c r="AA3432" s="665"/>
      <c r="AB3432" s="665"/>
      <c r="AC3432" s="665"/>
      <c r="AD3432" s="665"/>
      <c r="AE3432" s="665"/>
      <c r="AF3432" s="649"/>
      <c r="AG3432" s="650"/>
      <c r="AH3432" s="650"/>
      <c r="AI3432" s="667"/>
    </row>
    <row r="3433" spans="12:35" ht="45" customHeight="1" thickBot="1" x14ac:dyDescent="0.25">
      <c r="L3433" s="645"/>
      <c r="M3433" s="616"/>
      <c r="N3433" s="616"/>
      <c r="O3433" s="616"/>
      <c r="P3433" s="615"/>
      <c r="Q3433" s="616"/>
      <c r="R3433" s="663"/>
      <c r="S3433" s="459"/>
      <c r="T3433" s="459"/>
      <c r="U3433" s="459"/>
      <c r="V3433" s="459"/>
      <c r="W3433" s="459"/>
      <c r="X3433" s="459"/>
      <c r="Y3433" s="666"/>
      <c r="Z3433" s="664"/>
      <c r="AA3433" s="665"/>
      <c r="AB3433" s="665"/>
      <c r="AC3433" s="665"/>
      <c r="AD3433" s="665"/>
      <c r="AE3433" s="665"/>
      <c r="AF3433" s="649"/>
      <c r="AG3433" s="650"/>
      <c r="AH3433" s="650"/>
      <c r="AI3433" s="667"/>
    </row>
    <row r="3434" spans="12:35" ht="45" customHeight="1" thickBot="1" x14ac:dyDescent="0.25">
      <c r="L3434" s="645"/>
      <c r="M3434" s="616"/>
      <c r="N3434" s="616"/>
      <c r="O3434" s="616"/>
      <c r="P3434" s="615"/>
      <c r="Q3434" s="616"/>
      <c r="R3434" s="663"/>
      <c r="S3434" s="459"/>
      <c r="T3434" s="459"/>
      <c r="U3434" s="459"/>
      <c r="V3434" s="459"/>
      <c r="W3434" s="459"/>
      <c r="X3434" s="459"/>
      <c r="Y3434" s="666"/>
      <c r="Z3434" s="664"/>
      <c r="AA3434" s="665"/>
      <c r="AB3434" s="665"/>
      <c r="AC3434" s="665"/>
      <c r="AD3434" s="665"/>
      <c r="AE3434" s="665"/>
      <c r="AF3434" s="649"/>
      <c r="AG3434" s="650"/>
      <c r="AH3434" s="650"/>
      <c r="AI3434" s="667"/>
    </row>
    <row r="3435" spans="12:35" ht="45" customHeight="1" thickBot="1" x14ac:dyDescent="0.25">
      <c r="L3435" s="645"/>
      <c r="M3435" s="616"/>
      <c r="N3435" s="616"/>
      <c r="O3435" s="616"/>
      <c r="P3435" s="615"/>
      <c r="Q3435" s="616"/>
      <c r="R3435" s="663"/>
      <c r="S3435" s="459"/>
      <c r="T3435" s="459"/>
      <c r="U3435" s="459"/>
      <c r="V3435" s="459"/>
      <c r="W3435" s="459"/>
      <c r="X3435" s="459"/>
      <c r="Y3435" s="666"/>
      <c r="Z3435" s="664"/>
      <c r="AA3435" s="665"/>
      <c r="AB3435" s="665"/>
      <c r="AC3435" s="665"/>
      <c r="AD3435" s="665"/>
      <c r="AE3435" s="665"/>
      <c r="AF3435" s="649"/>
      <c r="AG3435" s="650"/>
      <c r="AH3435" s="650"/>
      <c r="AI3435" s="667"/>
    </row>
    <row r="3436" spans="12:35" ht="45" customHeight="1" thickBot="1" x14ac:dyDescent="0.25">
      <c r="L3436" s="645"/>
      <c r="M3436" s="616"/>
      <c r="N3436" s="616"/>
      <c r="O3436" s="616"/>
      <c r="P3436" s="615"/>
      <c r="Q3436" s="616"/>
      <c r="R3436" s="663"/>
      <c r="S3436" s="459"/>
      <c r="T3436" s="459"/>
      <c r="U3436" s="459"/>
      <c r="V3436" s="459"/>
      <c r="W3436" s="459"/>
      <c r="X3436" s="459"/>
      <c r="Y3436" s="666"/>
      <c r="Z3436" s="664"/>
      <c r="AA3436" s="665"/>
      <c r="AB3436" s="665"/>
      <c r="AC3436" s="665"/>
      <c r="AD3436" s="665"/>
      <c r="AE3436" s="665"/>
      <c r="AF3436" s="649"/>
      <c r="AG3436" s="650"/>
      <c r="AH3436" s="650"/>
      <c r="AI3436" s="667"/>
    </row>
    <row r="3437" spans="12:35" ht="45" customHeight="1" thickBot="1" x14ac:dyDescent="0.25">
      <c r="L3437" s="645"/>
      <c r="M3437" s="616"/>
      <c r="N3437" s="616"/>
      <c r="O3437" s="616"/>
      <c r="P3437" s="615"/>
      <c r="Q3437" s="616"/>
      <c r="R3437" s="663"/>
      <c r="S3437" s="459"/>
      <c r="T3437" s="459"/>
      <c r="U3437" s="459"/>
      <c r="V3437" s="459"/>
      <c r="W3437" s="459"/>
      <c r="X3437" s="459"/>
      <c r="Y3437" s="666"/>
      <c r="Z3437" s="664"/>
      <c r="AA3437" s="665"/>
      <c r="AB3437" s="665"/>
      <c r="AC3437" s="665"/>
      <c r="AD3437" s="665"/>
      <c r="AE3437" s="665"/>
      <c r="AF3437" s="649"/>
      <c r="AG3437" s="650"/>
      <c r="AH3437" s="650"/>
      <c r="AI3437" s="667"/>
    </row>
    <row r="3438" spans="12:35" ht="45" customHeight="1" thickBot="1" x14ac:dyDescent="0.25">
      <c r="L3438" s="645"/>
      <c r="M3438" s="616"/>
      <c r="N3438" s="616"/>
      <c r="O3438" s="616"/>
      <c r="P3438" s="615"/>
      <c r="Q3438" s="616"/>
      <c r="R3438" s="663"/>
      <c r="S3438" s="459"/>
      <c r="T3438" s="459"/>
      <c r="U3438" s="459"/>
      <c r="V3438" s="459"/>
      <c r="W3438" s="459"/>
      <c r="X3438" s="459"/>
      <c r="Y3438" s="666"/>
      <c r="Z3438" s="664"/>
      <c r="AA3438" s="665"/>
      <c r="AB3438" s="665"/>
      <c r="AC3438" s="665"/>
      <c r="AD3438" s="665"/>
      <c r="AE3438" s="665"/>
      <c r="AF3438" s="649"/>
      <c r="AG3438" s="650"/>
      <c r="AH3438" s="650"/>
      <c r="AI3438" s="667"/>
    </row>
    <row r="3439" spans="12:35" ht="45" customHeight="1" thickBot="1" x14ac:dyDescent="0.25">
      <c r="L3439" s="645"/>
      <c r="M3439" s="616"/>
      <c r="N3439" s="616"/>
      <c r="O3439" s="616"/>
      <c r="P3439" s="615"/>
      <c r="Q3439" s="616"/>
      <c r="R3439" s="663"/>
      <c r="S3439" s="459"/>
      <c r="T3439" s="459"/>
      <c r="U3439" s="459"/>
      <c r="V3439" s="459"/>
      <c r="W3439" s="459"/>
      <c r="X3439" s="459"/>
      <c r="Y3439" s="666"/>
      <c r="Z3439" s="664"/>
      <c r="AA3439" s="665"/>
      <c r="AB3439" s="665"/>
      <c r="AC3439" s="665"/>
      <c r="AD3439" s="665"/>
      <c r="AE3439" s="665"/>
      <c r="AF3439" s="649"/>
      <c r="AG3439" s="650"/>
      <c r="AH3439" s="650"/>
      <c r="AI3439" s="667"/>
    </row>
    <row r="3440" spans="12:35" ht="45" customHeight="1" thickBot="1" x14ac:dyDescent="0.25">
      <c r="L3440" s="645"/>
      <c r="M3440" s="616"/>
      <c r="N3440" s="616"/>
      <c r="O3440" s="616"/>
      <c r="P3440" s="615"/>
      <c r="Q3440" s="616"/>
      <c r="R3440" s="663"/>
      <c r="S3440" s="459"/>
      <c r="T3440" s="459"/>
      <c r="U3440" s="459"/>
      <c r="V3440" s="459"/>
      <c r="W3440" s="459"/>
      <c r="X3440" s="459"/>
      <c r="Y3440" s="666"/>
      <c r="Z3440" s="664"/>
      <c r="AA3440" s="665"/>
      <c r="AB3440" s="665"/>
      <c r="AC3440" s="665"/>
      <c r="AD3440" s="665"/>
      <c r="AE3440" s="665"/>
      <c r="AF3440" s="649"/>
      <c r="AG3440" s="650"/>
      <c r="AH3440" s="650"/>
      <c r="AI3440" s="667"/>
    </row>
    <row r="3441" spans="12:35" ht="45" customHeight="1" thickBot="1" x14ac:dyDescent="0.25">
      <c r="L3441" s="645"/>
      <c r="M3441" s="616"/>
      <c r="N3441" s="616"/>
      <c r="O3441" s="616"/>
      <c r="P3441" s="615"/>
      <c r="Q3441" s="616"/>
      <c r="R3441" s="663"/>
      <c r="S3441" s="459"/>
      <c r="T3441" s="459"/>
      <c r="U3441" s="459"/>
      <c r="V3441" s="459"/>
      <c r="W3441" s="459"/>
      <c r="X3441" s="459"/>
      <c r="Y3441" s="666"/>
      <c r="Z3441" s="664"/>
      <c r="AA3441" s="665"/>
      <c r="AB3441" s="665"/>
      <c r="AC3441" s="665"/>
      <c r="AD3441" s="665"/>
      <c r="AE3441" s="665"/>
      <c r="AF3441" s="649"/>
      <c r="AG3441" s="650"/>
      <c r="AH3441" s="650"/>
      <c r="AI3441" s="667"/>
    </row>
    <row r="3442" spans="12:35" ht="45" customHeight="1" thickBot="1" x14ac:dyDescent="0.25">
      <c r="L3442" s="645"/>
      <c r="M3442" s="616"/>
      <c r="N3442" s="616"/>
      <c r="O3442" s="616"/>
      <c r="P3442" s="615"/>
      <c r="Q3442" s="616"/>
      <c r="R3442" s="663"/>
      <c r="S3442" s="459"/>
      <c r="T3442" s="459"/>
      <c r="U3442" s="459"/>
      <c r="V3442" s="459"/>
      <c r="W3442" s="459"/>
      <c r="X3442" s="459"/>
      <c r="Y3442" s="666"/>
      <c r="Z3442" s="664"/>
      <c r="AA3442" s="665"/>
      <c r="AB3442" s="665"/>
      <c r="AC3442" s="665"/>
      <c r="AD3442" s="665"/>
      <c r="AE3442" s="665"/>
      <c r="AF3442" s="649"/>
      <c r="AG3442" s="650"/>
      <c r="AH3442" s="650"/>
      <c r="AI3442" s="667"/>
    </row>
    <row r="3443" spans="12:35" ht="45" customHeight="1" thickBot="1" x14ac:dyDescent="0.25">
      <c r="L3443" s="645"/>
      <c r="M3443" s="616"/>
      <c r="N3443" s="616"/>
      <c r="O3443" s="616"/>
      <c r="P3443" s="615"/>
      <c r="Q3443" s="616"/>
      <c r="R3443" s="663"/>
      <c r="S3443" s="459"/>
      <c r="T3443" s="459"/>
      <c r="U3443" s="459"/>
      <c r="V3443" s="459"/>
      <c r="W3443" s="459"/>
      <c r="X3443" s="459"/>
      <c r="Y3443" s="666"/>
      <c r="Z3443" s="664"/>
      <c r="AA3443" s="665"/>
      <c r="AB3443" s="665"/>
      <c r="AC3443" s="665"/>
      <c r="AD3443" s="665"/>
      <c r="AE3443" s="665"/>
      <c r="AF3443" s="649"/>
      <c r="AG3443" s="650"/>
      <c r="AH3443" s="650"/>
      <c r="AI3443" s="667"/>
    </row>
    <row r="3444" spans="12:35" ht="45" customHeight="1" thickBot="1" x14ac:dyDescent="0.25">
      <c r="L3444" s="645"/>
      <c r="M3444" s="616"/>
      <c r="N3444" s="616"/>
      <c r="O3444" s="616"/>
      <c r="P3444" s="615"/>
      <c r="Q3444" s="616"/>
      <c r="R3444" s="663"/>
      <c r="S3444" s="459"/>
      <c r="T3444" s="459"/>
      <c r="U3444" s="459"/>
      <c r="V3444" s="459"/>
      <c r="W3444" s="459"/>
      <c r="X3444" s="459"/>
      <c r="Y3444" s="666"/>
      <c r="Z3444" s="664"/>
      <c r="AA3444" s="665"/>
      <c r="AB3444" s="665"/>
      <c r="AC3444" s="665"/>
      <c r="AD3444" s="665"/>
      <c r="AE3444" s="665"/>
      <c r="AF3444" s="649"/>
      <c r="AG3444" s="650"/>
      <c r="AH3444" s="650"/>
      <c r="AI3444" s="667"/>
    </row>
    <row r="3445" spans="12:35" ht="45" customHeight="1" thickBot="1" x14ac:dyDescent="0.25">
      <c r="L3445" s="645"/>
      <c r="M3445" s="616"/>
      <c r="N3445" s="616"/>
      <c r="O3445" s="616"/>
      <c r="P3445" s="615"/>
      <c r="Q3445" s="616"/>
      <c r="R3445" s="663"/>
      <c r="S3445" s="459"/>
      <c r="T3445" s="459"/>
      <c r="U3445" s="459"/>
      <c r="V3445" s="459"/>
      <c r="W3445" s="459"/>
      <c r="X3445" s="459"/>
      <c r="Y3445" s="666"/>
      <c r="Z3445" s="664"/>
      <c r="AA3445" s="665"/>
      <c r="AB3445" s="665"/>
      <c r="AC3445" s="665"/>
      <c r="AD3445" s="665"/>
      <c r="AE3445" s="665"/>
      <c r="AF3445" s="649"/>
      <c r="AG3445" s="650"/>
      <c r="AH3445" s="650"/>
      <c r="AI3445" s="667"/>
    </row>
    <row r="3446" spans="12:35" ht="45" customHeight="1" thickBot="1" x14ac:dyDescent="0.25">
      <c r="L3446" s="645"/>
      <c r="M3446" s="616"/>
      <c r="N3446" s="616"/>
      <c r="O3446" s="616"/>
      <c r="P3446" s="615"/>
      <c r="Q3446" s="616"/>
      <c r="R3446" s="663"/>
      <c r="S3446" s="459"/>
      <c r="T3446" s="459"/>
      <c r="U3446" s="459"/>
      <c r="V3446" s="459"/>
      <c r="W3446" s="459"/>
      <c r="X3446" s="459"/>
      <c r="Y3446" s="666"/>
      <c r="Z3446" s="664"/>
      <c r="AA3446" s="665"/>
      <c r="AB3446" s="665"/>
      <c r="AC3446" s="665"/>
      <c r="AD3446" s="665"/>
      <c r="AE3446" s="665"/>
      <c r="AF3446" s="649"/>
      <c r="AG3446" s="650"/>
      <c r="AH3446" s="650"/>
      <c r="AI3446" s="667"/>
    </row>
    <row r="3447" spans="12:35" ht="45" customHeight="1" thickBot="1" x14ac:dyDescent="0.25">
      <c r="L3447" s="645"/>
      <c r="M3447" s="616"/>
      <c r="N3447" s="616"/>
      <c r="O3447" s="616"/>
      <c r="P3447" s="615"/>
      <c r="Q3447" s="616"/>
      <c r="R3447" s="663"/>
      <c r="S3447" s="459"/>
      <c r="T3447" s="459"/>
      <c r="U3447" s="459"/>
      <c r="V3447" s="459"/>
      <c r="W3447" s="459"/>
      <c r="X3447" s="459"/>
      <c r="Y3447" s="666"/>
      <c r="Z3447" s="664"/>
      <c r="AA3447" s="665"/>
      <c r="AB3447" s="665"/>
      <c r="AC3447" s="665"/>
      <c r="AD3447" s="665"/>
      <c r="AE3447" s="665"/>
      <c r="AF3447" s="649"/>
      <c r="AG3447" s="650"/>
      <c r="AH3447" s="650"/>
      <c r="AI3447" s="667"/>
    </row>
    <row r="3448" spans="12:35" ht="45" customHeight="1" thickBot="1" x14ac:dyDescent="0.25">
      <c r="L3448" s="645"/>
      <c r="M3448" s="616"/>
      <c r="N3448" s="616"/>
      <c r="O3448" s="616"/>
      <c r="P3448" s="615"/>
      <c r="Q3448" s="616"/>
      <c r="R3448" s="663"/>
      <c r="S3448" s="459"/>
      <c r="T3448" s="459"/>
      <c r="U3448" s="459"/>
      <c r="V3448" s="459"/>
      <c r="W3448" s="459"/>
      <c r="X3448" s="459"/>
      <c r="Y3448" s="666"/>
      <c r="Z3448" s="664"/>
      <c r="AA3448" s="665"/>
      <c r="AB3448" s="665"/>
      <c r="AC3448" s="665"/>
      <c r="AD3448" s="665"/>
      <c r="AE3448" s="665"/>
      <c r="AF3448" s="649"/>
      <c r="AG3448" s="650"/>
      <c r="AH3448" s="650"/>
      <c r="AI3448" s="667"/>
    </row>
    <row r="3449" spans="12:35" ht="45" customHeight="1" thickBot="1" x14ac:dyDescent="0.25">
      <c r="L3449" s="645"/>
      <c r="M3449" s="616"/>
      <c r="N3449" s="616"/>
      <c r="O3449" s="616"/>
      <c r="P3449" s="615"/>
      <c r="Q3449" s="616"/>
      <c r="R3449" s="663"/>
      <c r="S3449" s="459"/>
      <c r="T3449" s="459"/>
      <c r="U3449" s="459"/>
      <c r="V3449" s="459"/>
      <c r="W3449" s="459"/>
      <c r="X3449" s="459"/>
      <c r="Y3449" s="666"/>
      <c r="Z3449" s="664"/>
      <c r="AA3449" s="665"/>
      <c r="AB3449" s="665"/>
      <c r="AC3449" s="665"/>
      <c r="AD3449" s="665"/>
      <c r="AE3449" s="665"/>
      <c r="AF3449" s="649"/>
      <c r="AG3449" s="650"/>
      <c r="AH3449" s="650"/>
      <c r="AI3449" s="667"/>
    </row>
    <row r="3450" spans="12:35" ht="45" customHeight="1" thickBot="1" x14ac:dyDescent="0.25">
      <c r="L3450" s="645"/>
      <c r="M3450" s="616"/>
      <c r="N3450" s="616"/>
      <c r="O3450" s="616"/>
      <c r="P3450" s="615"/>
      <c r="Q3450" s="616"/>
      <c r="R3450" s="663"/>
      <c r="S3450" s="459"/>
      <c r="T3450" s="459"/>
      <c r="U3450" s="459"/>
      <c r="V3450" s="459"/>
      <c r="W3450" s="459"/>
      <c r="X3450" s="459"/>
      <c r="Y3450" s="666"/>
      <c r="Z3450" s="664"/>
      <c r="AA3450" s="665"/>
      <c r="AB3450" s="665"/>
      <c r="AC3450" s="665"/>
      <c r="AD3450" s="665"/>
      <c r="AE3450" s="665"/>
      <c r="AF3450" s="649"/>
      <c r="AG3450" s="650"/>
      <c r="AH3450" s="650"/>
      <c r="AI3450" s="667"/>
    </row>
    <row r="3451" spans="12:35" ht="45" customHeight="1" thickBot="1" x14ac:dyDescent="0.25">
      <c r="L3451" s="645"/>
      <c r="M3451" s="616"/>
      <c r="N3451" s="616"/>
      <c r="O3451" s="616"/>
      <c r="P3451" s="615"/>
      <c r="Q3451" s="616"/>
      <c r="R3451" s="663"/>
      <c r="S3451" s="459"/>
      <c r="T3451" s="459"/>
      <c r="U3451" s="459"/>
      <c r="V3451" s="459"/>
      <c r="W3451" s="459"/>
      <c r="X3451" s="459"/>
      <c r="Y3451" s="666"/>
      <c r="Z3451" s="664"/>
      <c r="AA3451" s="665"/>
      <c r="AB3451" s="665"/>
      <c r="AC3451" s="665"/>
      <c r="AD3451" s="665"/>
      <c r="AE3451" s="665"/>
      <c r="AF3451" s="649"/>
      <c r="AG3451" s="650"/>
      <c r="AH3451" s="650"/>
      <c r="AI3451" s="667"/>
    </row>
    <row r="3452" spans="12:35" ht="45" customHeight="1" thickBot="1" x14ac:dyDescent="0.25">
      <c r="L3452" s="645"/>
      <c r="M3452" s="616"/>
      <c r="N3452" s="616"/>
      <c r="O3452" s="616"/>
      <c r="P3452" s="615"/>
      <c r="Q3452" s="616"/>
      <c r="R3452" s="663"/>
      <c r="S3452" s="459"/>
      <c r="T3452" s="459"/>
      <c r="U3452" s="459"/>
      <c r="V3452" s="459"/>
      <c r="W3452" s="459"/>
      <c r="X3452" s="459"/>
      <c r="Y3452" s="666"/>
      <c r="Z3452" s="664"/>
      <c r="AA3452" s="665"/>
      <c r="AB3452" s="665"/>
      <c r="AC3452" s="665"/>
      <c r="AD3452" s="665"/>
      <c r="AE3452" s="665"/>
      <c r="AF3452" s="649"/>
      <c r="AG3452" s="650"/>
      <c r="AH3452" s="650"/>
      <c r="AI3452" s="667"/>
    </row>
    <row r="3453" spans="12:35" ht="45" customHeight="1" thickBot="1" x14ac:dyDescent="0.25">
      <c r="L3453" s="645"/>
      <c r="M3453" s="616"/>
      <c r="N3453" s="616"/>
      <c r="O3453" s="616"/>
      <c r="P3453" s="615"/>
      <c r="Q3453" s="616"/>
      <c r="R3453" s="663"/>
      <c r="S3453" s="459"/>
      <c r="T3453" s="459"/>
      <c r="U3453" s="459"/>
      <c r="V3453" s="459"/>
      <c r="W3453" s="459"/>
      <c r="X3453" s="459"/>
      <c r="Y3453" s="666"/>
      <c r="Z3453" s="664"/>
      <c r="AA3453" s="665"/>
      <c r="AB3453" s="665"/>
      <c r="AC3453" s="665"/>
      <c r="AD3453" s="665"/>
      <c r="AE3453" s="665"/>
      <c r="AF3453" s="649"/>
      <c r="AG3453" s="650"/>
      <c r="AH3453" s="650"/>
      <c r="AI3453" s="667"/>
    </row>
    <row r="3454" spans="12:35" ht="45" customHeight="1" thickBot="1" x14ac:dyDescent="0.25">
      <c r="L3454" s="645"/>
      <c r="M3454" s="616"/>
      <c r="N3454" s="616"/>
      <c r="O3454" s="616"/>
      <c r="P3454" s="615"/>
      <c r="Q3454" s="616"/>
      <c r="R3454" s="663"/>
      <c r="S3454" s="459"/>
      <c r="T3454" s="459"/>
      <c r="U3454" s="459"/>
      <c r="V3454" s="459"/>
      <c r="W3454" s="459"/>
      <c r="X3454" s="459"/>
      <c r="Y3454" s="666"/>
      <c r="Z3454" s="664"/>
      <c r="AA3454" s="665"/>
      <c r="AB3454" s="665"/>
      <c r="AC3454" s="665"/>
      <c r="AD3454" s="665"/>
      <c r="AE3454" s="665"/>
      <c r="AF3454" s="649"/>
      <c r="AG3454" s="650"/>
      <c r="AH3454" s="650"/>
      <c r="AI3454" s="667"/>
    </row>
    <row r="3455" spans="12:35" ht="45" customHeight="1" thickBot="1" x14ac:dyDescent="0.25">
      <c r="L3455" s="645"/>
      <c r="M3455" s="616"/>
      <c r="N3455" s="616"/>
      <c r="O3455" s="616"/>
      <c r="P3455" s="615"/>
      <c r="Q3455" s="616"/>
      <c r="R3455" s="663"/>
      <c r="S3455" s="459"/>
      <c r="T3455" s="459"/>
      <c r="U3455" s="459"/>
      <c r="V3455" s="459"/>
      <c r="W3455" s="459"/>
      <c r="X3455" s="459"/>
      <c r="Y3455" s="666"/>
      <c r="Z3455" s="664"/>
      <c r="AA3455" s="665"/>
      <c r="AB3455" s="665"/>
      <c r="AC3455" s="665"/>
      <c r="AD3455" s="665"/>
      <c r="AE3455" s="665"/>
      <c r="AF3455" s="649"/>
      <c r="AG3455" s="650"/>
      <c r="AH3455" s="650"/>
      <c r="AI3455" s="667"/>
    </row>
    <row r="3456" spans="12:35" ht="45" customHeight="1" thickBot="1" x14ac:dyDescent="0.25">
      <c r="L3456" s="645"/>
      <c r="M3456" s="616"/>
      <c r="N3456" s="616"/>
      <c r="O3456" s="616"/>
      <c r="P3456" s="615"/>
      <c r="Q3456" s="616"/>
      <c r="R3456" s="663"/>
      <c r="S3456" s="459"/>
      <c r="T3456" s="459"/>
      <c r="U3456" s="459"/>
      <c r="V3456" s="459"/>
      <c r="W3456" s="459"/>
      <c r="X3456" s="459"/>
      <c r="Y3456" s="666"/>
      <c r="Z3456" s="664"/>
      <c r="AA3456" s="665"/>
      <c r="AB3456" s="665"/>
      <c r="AC3456" s="665"/>
      <c r="AD3456" s="665"/>
      <c r="AE3456" s="665"/>
      <c r="AF3456" s="649"/>
      <c r="AG3456" s="650"/>
      <c r="AH3456" s="650"/>
      <c r="AI3456" s="667"/>
    </row>
    <row r="3457" spans="12:35" ht="45" customHeight="1" thickBot="1" x14ac:dyDescent="0.25">
      <c r="L3457" s="645"/>
      <c r="M3457" s="616"/>
      <c r="N3457" s="616"/>
      <c r="O3457" s="616"/>
      <c r="P3457" s="615"/>
      <c r="Q3457" s="616"/>
      <c r="R3457" s="663"/>
      <c r="S3457" s="459"/>
      <c r="T3457" s="459"/>
      <c r="U3457" s="459"/>
      <c r="V3457" s="459"/>
      <c r="W3457" s="459"/>
      <c r="X3457" s="459"/>
      <c r="Y3457" s="666"/>
      <c r="Z3457" s="664"/>
      <c r="AA3457" s="665"/>
      <c r="AB3457" s="665"/>
      <c r="AC3457" s="665"/>
      <c r="AD3457" s="665"/>
      <c r="AE3457" s="665"/>
      <c r="AF3457" s="649"/>
      <c r="AG3457" s="650"/>
      <c r="AH3457" s="650"/>
      <c r="AI3457" s="667"/>
    </row>
    <row r="3458" spans="12:35" ht="45" customHeight="1" thickBot="1" x14ac:dyDescent="0.25">
      <c r="L3458" s="645"/>
      <c r="M3458" s="616"/>
      <c r="N3458" s="616"/>
      <c r="O3458" s="616"/>
      <c r="P3458" s="615"/>
      <c r="Q3458" s="616"/>
      <c r="R3458" s="663"/>
      <c r="S3458" s="459"/>
      <c r="T3458" s="459"/>
      <c r="U3458" s="459"/>
      <c r="V3458" s="459"/>
      <c r="W3458" s="459"/>
      <c r="X3458" s="459"/>
      <c r="Y3458" s="666"/>
      <c r="Z3458" s="664"/>
      <c r="AA3458" s="665"/>
      <c r="AB3458" s="665"/>
      <c r="AC3458" s="665"/>
      <c r="AD3458" s="665"/>
      <c r="AE3458" s="665"/>
      <c r="AF3458" s="649"/>
      <c r="AG3458" s="650"/>
      <c r="AH3458" s="650"/>
      <c r="AI3458" s="667"/>
    </row>
    <row r="3459" spans="12:35" ht="45" customHeight="1" thickBot="1" x14ac:dyDescent="0.25">
      <c r="L3459" s="645"/>
      <c r="M3459" s="616"/>
      <c r="N3459" s="616"/>
      <c r="O3459" s="616"/>
      <c r="P3459" s="615"/>
      <c r="Q3459" s="616"/>
      <c r="R3459" s="663"/>
      <c r="S3459" s="459"/>
      <c r="T3459" s="459"/>
      <c r="U3459" s="459"/>
      <c r="V3459" s="459"/>
      <c r="W3459" s="459"/>
      <c r="X3459" s="459"/>
      <c r="Y3459" s="666"/>
      <c r="Z3459" s="664"/>
      <c r="AA3459" s="665"/>
      <c r="AB3459" s="665"/>
      <c r="AC3459" s="665"/>
      <c r="AD3459" s="665"/>
      <c r="AE3459" s="665"/>
      <c r="AF3459" s="649"/>
      <c r="AG3459" s="650"/>
      <c r="AH3459" s="650"/>
      <c r="AI3459" s="667"/>
    </row>
    <row r="3460" spans="12:35" ht="45" customHeight="1" thickBot="1" x14ac:dyDescent="0.25">
      <c r="L3460" s="645"/>
      <c r="M3460" s="616"/>
      <c r="N3460" s="616"/>
      <c r="O3460" s="616"/>
      <c r="P3460" s="615"/>
      <c r="Q3460" s="616"/>
      <c r="R3460" s="663"/>
      <c r="S3460" s="459"/>
      <c r="T3460" s="459"/>
      <c r="U3460" s="459"/>
      <c r="V3460" s="459"/>
      <c r="W3460" s="459"/>
      <c r="X3460" s="459"/>
      <c r="Y3460" s="666"/>
      <c r="Z3460" s="664"/>
      <c r="AA3460" s="665"/>
      <c r="AB3460" s="665"/>
      <c r="AC3460" s="665"/>
      <c r="AD3460" s="665"/>
      <c r="AE3460" s="665"/>
      <c r="AF3460" s="649"/>
      <c r="AG3460" s="650"/>
      <c r="AH3460" s="650"/>
      <c r="AI3460" s="667"/>
    </row>
    <row r="3461" spans="12:35" ht="45" customHeight="1" thickBot="1" x14ac:dyDescent="0.25">
      <c r="L3461" s="645"/>
      <c r="M3461" s="616"/>
      <c r="N3461" s="616"/>
      <c r="O3461" s="616"/>
      <c r="P3461" s="615"/>
      <c r="Q3461" s="616"/>
      <c r="R3461" s="663"/>
      <c r="S3461" s="459"/>
      <c r="T3461" s="459"/>
      <c r="U3461" s="459"/>
      <c r="V3461" s="459"/>
      <c r="W3461" s="459"/>
      <c r="X3461" s="459"/>
      <c r="Y3461" s="666"/>
      <c r="Z3461" s="664"/>
      <c r="AA3461" s="665"/>
      <c r="AB3461" s="665"/>
      <c r="AC3461" s="665"/>
      <c r="AD3461" s="665"/>
      <c r="AE3461" s="665"/>
      <c r="AF3461" s="649"/>
      <c r="AG3461" s="650"/>
      <c r="AH3461" s="650"/>
      <c r="AI3461" s="667"/>
    </row>
    <row r="3462" spans="12:35" ht="45" customHeight="1" thickBot="1" x14ac:dyDescent="0.25">
      <c r="L3462" s="645"/>
      <c r="M3462" s="616"/>
      <c r="N3462" s="616"/>
      <c r="O3462" s="616"/>
      <c r="P3462" s="615"/>
      <c r="Q3462" s="616"/>
      <c r="R3462" s="663"/>
      <c r="S3462" s="459"/>
      <c r="T3462" s="459"/>
      <c r="U3462" s="459"/>
      <c r="V3462" s="459"/>
      <c r="W3462" s="459"/>
      <c r="X3462" s="459"/>
      <c r="Y3462" s="666"/>
      <c r="Z3462" s="664"/>
      <c r="AA3462" s="665"/>
      <c r="AB3462" s="665"/>
      <c r="AC3462" s="665"/>
      <c r="AD3462" s="665"/>
      <c r="AE3462" s="665"/>
      <c r="AF3462" s="649"/>
      <c r="AG3462" s="650"/>
      <c r="AH3462" s="650"/>
      <c r="AI3462" s="667"/>
    </row>
    <row r="3463" spans="12:35" ht="45" customHeight="1" thickBot="1" x14ac:dyDescent="0.25">
      <c r="L3463" s="645"/>
      <c r="M3463" s="616"/>
      <c r="N3463" s="616"/>
      <c r="O3463" s="616"/>
      <c r="P3463" s="615"/>
      <c r="Q3463" s="616"/>
      <c r="R3463" s="663"/>
      <c r="S3463" s="459"/>
      <c r="T3463" s="459"/>
      <c r="U3463" s="459"/>
      <c r="V3463" s="459"/>
      <c r="W3463" s="459"/>
      <c r="X3463" s="459"/>
      <c r="Y3463" s="666"/>
      <c r="Z3463" s="664"/>
      <c r="AA3463" s="665"/>
      <c r="AB3463" s="665"/>
      <c r="AC3463" s="665"/>
      <c r="AD3463" s="665"/>
      <c r="AE3463" s="665"/>
      <c r="AF3463" s="649"/>
      <c r="AG3463" s="650"/>
      <c r="AH3463" s="650"/>
      <c r="AI3463" s="667"/>
    </row>
    <row r="3464" spans="12:35" ht="45" customHeight="1" thickBot="1" x14ac:dyDescent="0.25">
      <c r="L3464" s="645"/>
      <c r="M3464" s="616"/>
      <c r="N3464" s="616"/>
      <c r="O3464" s="616"/>
      <c r="P3464" s="615"/>
      <c r="Q3464" s="616"/>
      <c r="R3464" s="663"/>
      <c r="S3464" s="459"/>
      <c r="T3464" s="459"/>
      <c r="U3464" s="459"/>
      <c r="V3464" s="459"/>
      <c r="W3464" s="459"/>
      <c r="X3464" s="459"/>
      <c r="Y3464" s="666"/>
      <c r="Z3464" s="664"/>
      <c r="AA3464" s="665"/>
      <c r="AB3464" s="665"/>
      <c r="AC3464" s="665"/>
      <c r="AD3464" s="665"/>
      <c r="AE3464" s="665"/>
      <c r="AF3464" s="649"/>
      <c r="AG3464" s="650"/>
      <c r="AH3464" s="650"/>
      <c r="AI3464" s="667"/>
    </row>
    <row r="3465" spans="12:35" ht="45" customHeight="1" thickBot="1" x14ac:dyDescent="0.25">
      <c r="L3465" s="645"/>
      <c r="M3465" s="616"/>
      <c r="N3465" s="616"/>
      <c r="O3465" s="616"/>
      <c r="P3465" s="615"/>
      <c r="Q3465" s="616"/>
      <c r="R3465" s="663"/>
      <c r="S3465" s="459"/>
      <c r="T3465" s="459"/>
      <c r="U3465" s="459"/>
      <c r="V3465" s="459"/>
      <c r="W3465" s="459"/>
      <c r="X3465" s="459"/>
      <c r="Y3465" s="666"/>
      <c r="Z3465" s="664"/>
      <c r="AA3465" s="665"/>
      <c r="AB3465" s="665"/>
      <c r="AC3465" s="665"/>
      <c r="AD3465" s="665"/>
      <c r="AE3465" s="665"/>
      <c r="AF3465" s="649"/>
      <c r="AG3465" s="650"/>
      <c r="AH3465" s="650"/>
      <c r="AI3465" s="667"/>
    </row>
    <row r="3466" spans="12:35" ht="45" customHeight="1" thickBot="1" x14ac:dyDescent="0.25">
      <c r="L3466" s="645"/>
      <c r="M3466" s="616"/>
      <c r="N3466" s="616"/>
      <c r="O3466" s="616"/>
      <c r="P3466" s="615"/>
      <c r="Q3466" s="616"/>
      <c r="R3466" s="663"/>
      <c r="S3466" s="459"/>
      <c r="T3466" s="459"/>
      <c r="U3466" s="459"/>
      <c r="V3466" s="459"/>
      <c r="W3466" s="459"/>
      <c r="X3466" s="459"/>
      <c r="Y3466" s="666"/>
      <c r="Z3466" s="664"/>
      <c r="AA3466" s="665"/>
      <c r="AB3466" s="665"/>
      <c r="AC3466" s="665"/>
      <c r="AD3466" s="665"/>
      <c r="AE3466" s="665"/>
      <c r="AF3466" s="649"/>
      <c r="AG3466" s="650"/>
      <c r="AH3466" s="650"/>
      <c r="AI3466" s="667"/>
    </row>
    <row r="3467" spans="12:35" ht="45" customHeight="1" thickBot="1" x14ac:dyDescent="0.25">
      <c r="L3467" s="645"/>
      <c r="M3467" s="616"/>
      <c r="N3467" s="616"/>
      <c r="O3467" s="616"/>
      <c r="P3467" s="615"/>
      <c r="Q3467" s="616"/>
      <c r="R3467" s="663"/>
      <c r="S3467" s="459"/>
      <c r="T3467" s="459"/>
      <c r="U3467" s="459"/>
      <c r="V3467" s="459"/>
      <c r="W3467" s="459"/>
      <c r="X3467" s="459"/>
      <c r="Y3467" s="666"/>
      <c r="Z3467" s="664"/>
      <c r="AA3467" s="665"/>
      <c r="AB3467" s="665"/>
      <c r="AC3467" s="665"/>
      <c r="AD3467" s="665"/>
      <c r="AE3467" s="665"/>
      <c r="AF3467" s="649"/>
      <c r="AG3467" s="650"/>
      <c r="AH3467" s="650"/>
      <c r="AI3467" s="667"/>
    </row>
    <row r="3468" spans="12:35" ht="45" customHeight="1" thickBot="1" x14ac:dyDescent="0.25">
      <c r="L3468" s="645"/>
      <c r="M3468" s="616"/>
      <c r="N3468" s="616"/>
      <c r="O3468" s="616"/>
      <c r="P3468" s="615"/>
      <c r="Q3468" s="616"/>
      <c r="R3468" s="663"/>
      <c r="S3468" s="459"/>
      <c r="T3468" s="459"/>
      <c r="U3468" s="459"/>
      <c r="V3468" s="459"/>
      <c r="W3468" s="459"/>
      <c r="X3468" s="459"/>
      <c r="Y3468" s="666"/>
      <c r="Z3468" s="664"/>
      <c r="AA3468" s="665"/>
      <c r="AB3468" s="665"/>
      <c r="AC3468" s="665"/>
      <c r="AD3468" s="665"/>
      <c r="AE3468" s="665"/>
      <c r="AF3468" s="649"/>
      <c r="AG3468" s="650"/>
      <c r="AH3468" s="650"/>
      <c r="AI3468" s="667"/>
    </row>
    <row r="3469" spans="12:35" ht="45" customHeight="1" thickBot="1" x14ac:dyDescent="0.25">
      <c r="L3469" s="645"/>
      <c r="M3469" s="616"/>
      <c r="N3469" s="616"/>
      <c r="O3469" s="616"/>
      <c r="P3469" s="615"/>
      <c r="Q3469" s="616"/>
      <c r="R3469" s="663"/>
      <c r="S3469" s="459"/>
      <c r="T3469" s="459"/>
      <c r="U3469" s="459"/>
      <c r="V3469" s="459"/>
      <c r="W3469" s="459"/>
      <c r="X3469" s="459"/>
      <c r="Y3469" s="666"/>
      <c r="Z3469" s="664"/>
      <c r="AA3469" s="665"/>
      <c r="AB3469" s="665"/>
      <c r="AC3469" s="665"/>
      <c r="AD3469" s="665"/>
      <c r="AE3469" s="665"/>
      <c r="AF3469" s="649"/>
      <c r="AG3469" s="650"/>
      <c r="AH3469" s="650"/>
      <c r="AI3469" s="667"/>
    </row>
    <row r="3470" spans="12:35" ht="45" customHeight="1" thickBot="1" x14ac:dyDescent="0.25">
      <c r="L3470" s="645"/>
      <c r="M3470" s="616"/>
      <c r="N3470" s="616"/>
      <c r="O3470" s="616"/>
      <c r="P3470" s="615"/>
      <c r="Q3470" s="616"/>
      <c r="R3470" s="663"/>
      <c r="S3470" s="459"/>
      <c r="T3470" s="459"/>
      <c r="U3470" s="459"/>
      <c r="V3470" s="459"/>
      <c r="W3470" s="459"/>
      <c r="X3470" s="459"/>
      <c r="Y3470" s="666"/>
      <c r="Z3470" s="664"/>
      <c r="AA3470" s="665"/>
      <c r="AB3470" s="665"/>
      <c r="AC3470" s="665"/>
      <c r="AD3470" s="665"/>
      <c r="AE3470" s="665"/>
      <c r="AF3470" s="649"/>
      <c r="AG3470" s="650"/>
      <c r="AH3470" s="650"/>
      <c r="AI3470" s="667"/>
    </row>
    <row r="3471" spans="12:35" ht="45" customHeight="1" thickBot="1" x14ac:dyDescent="0.25">
      <c r="L3471" s="645"/>
      <c r="M3471" s="616"/>
      <c r="N3471" s="616"/>
      <c r="O3471" s="616"/>
      <c r="P3471" s="615"/>
      <c r="Q3471" s="616"/>
      <c r="R3471" s="663"/>
      <c r="S3471" s="459"/>
      <c r="T3471" s="459"/>
      <c r="U3471" s="459"/>
      <c r="V3471" s="459"/>
      <c r="W3471" s="459"/>
      <c r="X3471" s="459"/>
      <c r="Y3471" s="666"/>
      <c r="Z3471" s="664"/>
      <c r="AA3471" s="665"/>
      <c r="AB3471" s="665"/>
      <c r="AC3471" s="665"/>
      <c r="AD3471" s="665"/>
      <c r="AE3471" s="665"/>
      <c r="AF3471" s="649"/>
      <c r="AG3471" s="650"/>
      <c r="AH3471" s="650"/>
      <c r="AI3471" s="667"/>
    </row>
    <row r="3472" spans="12:35" ht="45" customHeight="1" thickBot="1" x14ac:dyDescent="0.25">
      <c r="L3472" s="645"/>
      <c r="M3472" s="616"/>
      <c r="N3472" s="616"/>
      <c r="O3472" s="616"/>
      <c r="P3472" s="615"/>
      <c r="Q3472" s="616"/>
      <c r="R3472" s="663"/>
      <c r="S3472" s="459"/>
      <c r="T3472" s="459"/>
      <c r="U3472" s="459"/>
      <c r="V3472" s="459"/>
      <c r="W3472" s="459"/>
      <c r="X3472" s="459"/>
      <c r="Y3472" s="666"/>
      <c r="Z3472" s="664"/>
      <c r="AA3472" s="665"/>
      <c r="AB3472" s="665"/>
      <c r="AC3472" s="665"/>
      <c r="AD3472" s="665"/>
      <c r="AE3472" s="665"/>
      <c r="AF3472" s="649"/>
      <c r="AG3472" s="650"/>
      <c r="AH3472" s="650"/>
      <c r="AI3472" s="667"/>
    </row>
    <row r="3473" spans="12:35" ht="45" customHeight="1" thickBot="1" x14ac:dyDescent="0.25">
      <c r="L3473" s="645"/>
      <c r="M3473" s="616"/>
      <c r="N3473" s="616"/>
      <c r="O3473" s="616"/>
      <c r="P3473" s="615"/>
      <c r="Q3473" s="616"/>
      <c r="R3473" s="663"/>
      <c r="S3473" s="459"/>
      <c r="T3473" s="459"/>
      <c r="U3473" s="459"/>
      <c r="V3473" s="459"/>
      <c r="W3473" s="459"/>
      <c r="X3473" s="459"/>
      <c r="Y3473" s="666"/>
      <c r="Z3473" s="664"/>
      <c r="AA3473" s="665"/>
      <c r="AB3473" s="665"/>
      <c r="AC3473" s="665"/>
      <c r="AD3473" s="665"/>
      <c r="AE3473" s="665"/>
      <c r="AF3473" s="649"/>
      <c r="AG3473" s="650"/>
      <c r="AH3473" s="650"/>
      <c r="AI3473" s="667"/>
    </row>
    <row r="3474" spans="12:35" ht="45" customHeight="1" thickBot="1" x14ac:dyDescent="0.25">
      <c r="L3474" s="645"/>
      <c r="M3474" s="616"/>
      <c r="N3474" s="616"/>
      <c r="O3474" s="616"/>
      <c r="P3474" s="615"/>
      <c r="Q3474" s="616"/>
      <c r="R3474" s="663"/>
      <c r="S3474" s="459"/>
      <c r="T3474" s="459"/>
      <c r="U3474" s="459"/>
      <c r="V3474" s="459"/>
      <c r="W3474" s="459"/>
      <c r="X3474" s="459"/>
      <c r="Y3474" s="666"/>
      <c r="Z3474" s="664"/>
      <c r="AA3474" s="665"/>
      <c r="AB3474" s="665"/>
      <c r="AC3474" s="665"/>
      <c r="AD3474" s="665"/>
      <c r="AE3474" s="665"/>
      <c r="AF3474" s="649"/>
      <c r="AG3474" s="650"/>
      <c r="AH3474" s="650"/>
      <c r="AI3474" s="667"/>
    </row>
    <row r="3475" spans="12:35" ht="45" customHeight="1" thickBot="1" x14ac:dyDescent="0.25">
      <c r="L3475" s="645"/>
      <c r="M3475" s="616"/>
      <c r="N3475" s="616"/>
      <c r="O3475" s="616"/>
      <c r="P3475" s="615"/>
      <c r="Q3475" s="616"/>
      <c r="R3475" s="663"/>
      <c r="S3475" s="459"/>
      <c r="T3475" s="459"/>
      <c r="U3475" s="459"/>
      <c r="V3475" s="459"/>
      <c r="W3475" s="459"/>
      <c r="X3475" s="459"/>
      <c r="Y3475" s="666"/>
      <c r="Z3475" s="664"/>
      <c r="AA3475" s="665"/>
      <c r="AB3475" s="665"/>
      <c r="AC3475" s="665"/>
      <c r="AD3475" s="665"/>
      <c r="AE3475" s="665"/>
      <c r="AF3475" s="649"/>
      <c r="AG3475" s="650"/>
      <c r="AH3475" s="650"/>
      <c r="AI3475" s="667"/>
    </row>
    <row r="3476" spans="12:35" ht="45" customHeight="1" thickBot="1" x14ac:dyDescent="0.25">
      <c r="L3476" s="645"/>
      <c r="M3476" s="616"/>
      <c r="N3476" s="616"/>
      <c r="O3476" s="616"/>
      <c r="P3476" s="615"/>
      <c r="Q3476" s="616"/>
      <c r="R3476" s="663"/>
      <c r="S3476" s="459"/>
      <c r="T3476" s="459"/>
      <c r="U3476" s="459"/>
      <c r="V3476" s="459"/>
      <c r="W3476" s="459"/>
      <c r="X3476" s="459"/>
      <c r="Y3476" s="666"/>
      <c r="Z3476" s="664"/>
      <c r="AA3476" s="665"/>
      <c r="AB3476" s="665"/>
      <c r="AC3476" s="665"/>
      <c r="AD3476" s="665"/>
      <c r="AE3476" s="665"/>
      <c r="AF3476" s="649"/>
      <c r="AG3476" s="650"/>
      <c r="AH3476" s="650"/>
      <c r="AI3476" s="667"/>
    </row>
    <row r="3477" spans="12:35" ht="45" customHeight="1" thickBot="1" x14ac:dyDescent="0.25">
      <c r="L3477" s="645"/>
      <c r="M3477" s="616"/>
      <c r="N3477" s="616"/>
      <c r="O3477" s="616"/>
      <c r="P3477" s="615"/>
      <c r="Q3477" s="616"/>
      <c r="R3477" s="663"/>
      <c r="S3477" s="459"/>
      <c r="T3477" s="459"/>
      <c r="U3477" s="459"/>
      <c r="V3477" s="459"/>
      <c r="W3477" s="459"/>
      <c r="X3477" s="459"/>
      <c r="Y3477" s="666"/>
      <c r="Z3477" s="664"/>
      <c r="AA3477" s="665"/>
      <c r="AB3477" s="665"/>
      <c r="AC3477" s="665"/>
      <c r="AD3477" s="665"/>
      <c r="AE3477" s="665"/>
      <c r="AF3477" s="649"/>
      <c r="AG3477" s="650"/>
      <c r="AH3477" s="650"/>
      <c r="AI3477" s="667"/>
    </row>
    <row r="3478" spans="12:35" ht="45" customHeight="1" thickBot="1" x14ac:dyDescent="0.25">
      <c r="L3478" s="645"/>
      <c r="M3478" s="616"/>
      <c r="N3478" s="616"/>
      <c r="O3478" s="616"/>
      <c r="P3478" s="615"/>
      <c r="Q3478" s="616"/>
      <c r="R3478" s="663"/>
      <c r="S3478" s="459"/>
      <c r="T3478" s="459"/>
      <c r="U3478" s="459"/>
      <c r="V3478" s="459"/>
      <c r="W3478" s="459"/>
      <c r="X3478" s="459"/>
      <c r="Y3478" s="666"/>
      <c r="Z3478" s="664"/>
      <c r="AA3478" s="665"/>
      <c r="AB3478" s="665"/>
      <c r="AC3478" s="665"/>
      <c r="AD3478" s="665"/>
      <c r="AE3478" s="665"/>
      <c r="AF3478" s="649"/>
      <c r="AG3478" s="650"/>
      <c r="AH3478" s="650"/>
      <c r="AI3478" s="667"/>
    </row>
    <row r="3479" spans="12:35" ht="45" customHeight="1" thickBot="1" x14ac:dyDescent="0.25">
      <c r="L3479" s="645"/>
      <c r="M3479" s="616"/>
      <c r="N3479" s="616"/>
      <c r="O3479" s="616"/>
      <c r="P3479" s="615"/>
      <c r="Q3479" s="616"/>
      <c r="R3479" s="663"/>
      <c r="S3479" s="459"/>
      <c r="T3479" s="459"/>
      <c r="U3479" s="459"/>
      <c r="V3479" s="459"/>
      <c r="W3479" s="459"/>
      <c r="X3479" s="459"/>
      <c r="Y3479" s="666"/>
      <c r="Z3479" s="664"/>
      <c r="AA3479" s="665"/>
      <c r="AB3479" s="665"/>
      <c r="AC3479" s="665"/>
      <c r="AD3479" s="665"/>
      <c r="AE3479" s="665"/>
      <c r="AF3479" s="649"/>
      <c r="AG3479" s="650"/>
      <c r="AH3479" s="650"/>
      <c r="AI3479" s="667"/>
    </row>
    <row r="3480" spans="12:35" ht="45" customHeight="1" thickBot="1" x14ac:dyDescent="0.25">
      <c r="L3480" s="645"/>
      <c r="M3480" s="616"/>
      <c r="N3480" s="616"/>
      <c r="O3480" s="616"/>
      <c r="P3480" s="615"/>
      <c r="Q3480" s="616"/>
      <c r="R3480" s="663"/>
      <c r="S3480" s="459"/>
      <c r="T3480" s="459"/>
      <c r="U3480" s="459"/>
      <c r="V3480" s="459"/>
      <c r="W3480" s="459"/>
      <c r="X3480" s="459"/>
      <c r="Y3480" s="666"/>
      <c r="Z3480" s="664"/>
      <c r="AA3480" s="665"/>
      <c r="AB3480" s="665"/>
      <c r="AC3480" s="665"/>
      <c r="AD3480" s="665"/>
      <c r="AE3480" s="665"/>
      <c r="AF3480" s="649"/>
      <c r="AG3480" s="650"/>
      <c r="AH3480" s="650"/>
      <c r="AI3480" s="667"/>
    </row>
    <row r="3481" spans="12:35" ht="45" customHeight="1" thickBot="1" x14ac:dyDescent="0.25">
      <c r="L3481" s="645"/>
      <c r="M3481" s="616"/>
      <c r="N3481" s="616"/>
      <c r="O3481" s="616"/>
      <c r="P3481" s="615"/>
      <c r="Q3481" s="616"/>
      <c r="R3481" s="663"/>
      <c r="S3481" s="459"/>
      <c r="T3481" s="459"/>
      <c r="U3481" s="459"/>
      <c r="V3481" s="459"/>
      <c r="W3481" s="459"/>
      <c r="X3481" s="459"/>
      <c r="Y3481" s="666"/>
      <c r="Z3481" s="664"/>
      <c r="AA3481" s="665"/>
      <c r="AB3481" s="665"/>
      <c r="AC3481" s="665"/>
      <c r="AD3481" s="665"/>
      <c r="AE3481" s="665"/>
      <c r="AF3481" s="649"/>
      <c r="AG3481" s="650"/>
      <c r="AH3481" s="650"/>
      <c r="AI3481" s="667"/>
    </row>
    <row r="3482" spans="12:35" ht="45" customHeight="1" thickBot="1" x14ac:dyDescent="0.25">
      <c r="L3482" s="645"/>
      <c r="M3482" s="616"/>
      <c r="N3482" s="616"/>
      <c r="O3482" s="616"/>
      <c r="P3482" s="615"/>
      <c r="Q3482" s="616"/>
      <c r="R3482" s="663"/>
      <c r="S3482" s="459"/>
      <c r="T3482" s="459"/>
      <c r="U3482" s="459"/>
      <c r="V3482" s="459"/>
      <c r="W3482" s="459"/>
      <c r="X3482" s="459"/>
      <c r="Y3482" s="666"/>
      <c r="Z3482" s="664"/>
      <c r="AA3482" s="665"/>
      <c r="AB3482" s="665"/>
      <c r="AC3482" s="665"/>
      <c r="AD3482" s="665"/>
      <c r="AE3482" s="665"/>
      <c r="AF3482" s="649"/>
      <c r="AG3482" s="650"/>
      <c r="AH3482" s="650"/>
      <c r="AI3482" s="667"/>
    </row>
    <row r="3483" spans="12:35" ht="45" customHeight="1" thickBot="1" x14ac:dyDescent="0.25">
      <c r="L3483" s="645"/>
      <c r="M3483" s="616"/>
      <c r="N3483" s="616"/>
      <c r="O3483" s="616"/>
      <c r="P3483" s="615"/>
      <c r="Q3483" s="616"/>
      <c r="R3483" s="663"/>
      <c r="S3483" s="459"/>
      <c r="T3483" s="459"/>
      <c r="U3483" s="459"/>
      <c r="V3483" s="459"/>
      <c r="W3483" s="459"/>
      <c r="X3483" s="459"/>
      <c r="Y3483" s="666"/>
      <c r="Z3483" s="664"/>
      <c r="AA3483" s="665"/>
      <c r="AB3483" s="665"/>
      <c r="AC3483" s="665"/>
      <c r="AD3483" s="665"/>
      <c r="AE3483" s="665"/>
      <c r="AF3483" s="649"/>
      <c r="AG3483" s="650"/>
      <c r="AH3483" s="650"/>
      <c r="AI3483" s="667"/>
    </row>
    <row r="3484" spans="12:35" ht="45" customHeight="1" thickBot="1" x14ac:dyDescent="0.25">
      <c r="L3484" s="645"/>
      <c r="M3484" s="616"/>
      <c r="N3484" s="616"/>
      <c r="O3484" s="616"/>
      <c r="P3484" s="615"/>
      <c r="Q3484" s="616"/>
      <c r="R3484" s="663"/>
      <c r="S3484" s="459"/>
      <c r="T3484" s="459"/>
      <c r="U3484" s="459"/>
      <c r="V3484" s="459"/>
      <c r="W3484" s="459"/>
      <c r="X3484" s="459"/>
      <c r="Y3484" s="666"/>
      <c r="Z3484" s="664"/>
      <c r="AA3484" s="665"/>
      <c r="AB3484" s="665"/>
      <c r="AC3484" s="665"/>
      <c r="AD3484" s="665"/>
      <c r="AE3484" s="665"/>
      <c r="AF3484" s="649"/>
      <c r="AG3484" s="650"/>
      <c r="AH3484" s="650"/>
      <c r="AI3484" s="667"/>
    </row>
    <row r="3485" spans="12:35" ht="45" customHeight="1" thickBot="1" x14ac:dyDescent="0.25">
      <c r="L3485" s="645"/>
      <c r="M3485" s="616"/>
      <c r="N3485" s="616"/>
      <c r="O3485" s="616"/>
      <c r="P3485" s="615"/>
      <c r="Q3485" s="616"/>
      <c r="R3485" s="663"/>
      <c r="S3485" s="459"/>
      <c r="T3485" s="459"/>
      <c r="U3485" s="459"/>
      <c r="V3485" s="459"/>
      <c r="W3485" s="459"/>
      <c r="X3485" s="459"/>
      <c r="Y3485" s="666"/>
      <c r="Z3485" s="664"/>
      <c r="AA3485" s="665"/>
      <c r="AB3485" s="665"/>
      <c r="AC3485" s="665"/>
      <c r="AD3485" s="665"/>
      <c r="AE3485" s="665"/>
      <c r="AF3485" s="649"/>
      <c r="AG3485" s="650"/>
      <c r="AH3485" s="650"/>
      <c r="AI3485" s="667"/>
    </row>
    <row r="3486" spans="12:35" ht="45" customHeight="1" thickBot="1" x14ac:dyDescent="0.25">
      <c r="L3486" s="645"/>
      <c r="M3486" s="616"/>
      <c r="N3486" s="616"/>
      <c r="O3486" s="616"/>
      <c r="P3486" s="615"/>
      <c r="Q3486" s="616"/>
      <c r="R3486" s="663"/>
      <c r="S3486" s="459"/>
      <c r="T3486" s="459"/>
      <c r="U3486" s="459"/>
      <c r="V3486" s="459"/>
      <c r="W3486" s="459"/>
      <c r="X3486" s="459"/>
      <c r="Y3486" s="666"/>
      <c r="Z3486" s="664"/>
      <c r="AA3486" s="665"/>
      <c r="AB3486" s="665"/>
      <c r="AC3486" s="665"/>
      <c r="AD3486" s="665"/>
      <c r="AE3486" s="665"/>
      <c r="AF3486" s="649"/>
      <c r="AG3486" s="650"/>
      <c r="AH3486" s="650"/>
      <c r="AI3486" s="667"/>
    </row>
    <row r="3487" spans="12:35" ht="45" customHeight="1" thickBot="1" x14ac:dyDescent="0.25">
      <c r="L3487" s="645"/>
      <c r="M3487" s="616"/>
      <c r="N3487" s="616"/>
      <c r="O3487" s="616"/>
      <c r="P3487" s="615"/>
      <c r="Q3487" s="616"/>
      <c r="R3487" s="663"/>
      <c r="S3487" s="459"/>
      <c r="T3487" s="459"/>
      <c r="U3487" s="459"/>
      <c r="V3487" s="459"/>
      <c r="W3487" s="459"/>
      <c r="X3487" s="459"/>
      <c r="Y3487" s="666"/>
      <c r="Z3487" s="664"/>
      <c r="AA3487" s="665"/>
      <c r="AB3487" s="665"/>
      <c r="AC3487" s="665"/>
      <c r="AD3487" s="665"/>
      <c r="AE3487" s="665"/>
      <c r="AF3487" s="649"/>
      <c r="AG3487" s="650"/>
      <c r="AH3487" s="650"/>
      <c r="AI3487" s="667"/>
    </row>
    <row r="3488" spans="12:35" ht="45" customHeight="1" thickBot="1" x14ac:dyDescent="0.25">
      <c r="L3488" s="645"/>
      <c r="M3488" s="616"/>
      <c r="N3488" s="616"/>
      <c r="O3488" s="616"/>
      <c r="P3488" s="615"/>
      <c r="Q3488" s="616"/>
      <c r="R3488" s="663"/>
      <c r="S3488" s="459"/>
      <c r="T3488" s="459"/>
      <c r="U3488" s="459"/>
      <c r="V3488" s="459"/>
      <c r="W3488" s="459"/>
      <c r="X3488" s="459"/>
      <c r="Y3488" s="666"/>
      <c r="Z3488" s="664"/>
      <c r="AA3488" s="665"/>
      <c r="AB3488" s="665"/>
      <c r="AC3488" s="665"/>
      <c r="AD3488" s="665"/>
      <c r="AE3488" s="665"/>
      <c r="AF3488" s="649"/>
      <c r="AG3488" s="650"/>
      <c r="AH3488" s="650"/>
      <c r="AI3488" s="667"/>
    </row>
    <row r="3489" spans="12:35" ht="45" customHeight="1" thickBot="1" x14ac:dyDescent="0.25">
      <c r="L3489" s="645"/>
      <c r="M3489" s="616"/>
      <c r="N3489" s="616"/>
      <c r="O3489" s="616"/>
      <c r="P3489" s="615"/>
      <c r="Q3489" s="616"/>
      <c r="R3489" s="663"/>
      <c r="S3489" s="459"/>
      <c r="T3489" s="459"/>
      <c r="U3489" s="459"/>
      <c r="V3489" s="459"/>
      <c r="W3489" s="459"/>
      <c r="X3489" s="459"/>
      <c r="Y3489" s="666"/>
      <c r="Z3489" s="664"/>
      <c r="AA3489" s="665"/>
      <c r="AB3489" s="665"/>
      <c r="AC3489" s="665"/>
      <c r="AD3489" s="665"/>
      <c r="AE3489" s="665"/>
      <c r="AF3489" s="649"/>
      <c r="AG3489" s="650"/>
      <c r="AH3489" s="650"/>
      <c r="AI3489" s="667"/>
    </row>
    <row r="3490" spans="12:35" ht="45" customHeight="1" thickBot="1" x14ac:dyDescent="0.25">
      <c r="L3490" s="645"/>
      <c r="M3490" s="616"/>
      <c r="N3490" s="616"/>
      <c r="O3490" s="616"/>
      <c r="P3490" s="615"/>
      <c r="Q3490" s="616"/>
      <c r="R3490" s="663"/>
      <c r="S3490" s="459"/>
      <c r="T3490" s="459"/>
      <c r="U3490" s="459"/>
      <c r="V3490" s="459"/>
      <c r="W3490" s="459"/>
      <c r="X3490" s="459"/>
      <c r="Y3490" s="666"/>
      <c r="Z3490" s="664"/>
      <c r="AA3490" s="665"/>
      <c r="AB3490" s="665"/>
      <c r="AC3490" s="665"/>
      <c r="AD3490" s="665"/>
      <c r="AE3490" s="665"/>
      <c r="AF3490" s="649"/>
      <c r="AG3490" s="650"/>
      <c r="AH3490" s="650"/>
      <c r="AI3490" s="667"/>
    </row>
    <row r="3491" spans="12:35" ht="45" customHeight="1" thickBot="1" x14ac:dyDescent="0.25">
      <c r="L3491" s="645"/>
      <c r="M3491" s="616"/>
      <c r="N3491" s="616"/>
      <c r="O3491" s="616"/>
      <c r="P3491" s="615"/>
      <c r="Q3491" s="616"/>
      <c r="R3491" s="663"/>
      <c r="S3491" s="459"/>
      <c r="T3491" s="459"/>
      <c r="U3491" s="459"/>
      <c r="V3491" s="459"/>
      <c r="W3491" s="459"/>
      <c r="X3491" s="459"/>
      <c r="Y3491" s="666"/>
      <c r="Z3491" s="664"/>
      <c r="AA3491" s="665"/>
      <c r="AB3491" s="665"/>
      <c r="AC3491" s="665"/>
      <c r="AD3491" s="665"/>
      <c r="AE3491" s="665"/>
      <c r="AF3491" s="649"/>
      <c r="AG3491" s="650"/>
      <c r="AH3491" s="650"/>
      <c r="AI3491" s="667"/>
    </row>
    <row r="3492" spans="12:35" ht="45" customHeight="1" thickBot="1" x14ac:dyDescent="0.25">
      <c r="L3492" s="645"/>
      <c r="M3492" s="616"/>
      <c r="N3492" s="616"/>
      <c r="O3492" s="616"/>
      <c r="P3492" s="615"/>
      <c r="Q3492" s="616"/>
      <c r="R3492" s="663"/>
      <c r="S3492" s="459"/>
      <c r="T3492" s="459"/>
      <c r="U3492" s="459"/>
      <c r="V3492" s="459"/>
      <c r="W3492" s="459"/>
      <c r="X3492" s="459"/>
      <c r="Y3492" s="666"/>
      <c r="Z3492" s="664"/>
      <c r="AA3492" s="665"/>
      <c r="AB3492" s="665"/>
      <c r="AC3492" s="665"/>
      <c r="AD3492" s="665"/>
      <c r="AE3492" s="665"/>
      <c r="AF3492" s="649"/>
      <c r="AG3492" s="650"/>
      <c r="AH3492" s="650"/>
      <c r="AI3492" s="667"/>
    </row>
    <row r="3493" spans="12:35" ht="45" customHeight="1" thickBot="1" x14ac:dyDescent="0.25">
      <c r="L3493" s="645"/>
      <c r="M3493" s="616"/>
      <c r="N3493" s="616"/>
      <c r="O3493" s="616"/>
      <c r="P3493" s="615"/>
      <c r="Q3493" s="616"/>
      <c r="R3493" s="663"/>
      <c r="S3493" s="459"/>
      <c r="T3493" s="459"/>
      <c r="U3493" s="459"/>
      <c r="V3493" s="459"/>
      <c r="W3493" s="459"/>
      <c r="X3493" s="459"/>
      <c r="Y3493" s="666"/>
      <c r="Z3493" s="664"/>
      <c r="AA3493" s="665"/>
      <c r="AB3493" s="665"/>
      <c r="AC3493" s="665"/>
      <c r="AD3493" s="665"/>
      <c r="AE3493" s="665"/>
      <c r="AF3493" s="649"/>
      <c r="AG3493" s="650"/>
      <c r="AH3493" s="650"/>
      <c r="AI3493" s="667"/>
    </row>
    <row r="3494" spans="12:35" ht="45" customHeight="1" thickBot="1" x14ac:dyDescent="0.25">
      <c r="L3494" s="645"/>
      <c r="M3494" s="616"/>
      <c r="N3494" s="616"/>
      <c r="O3494" s="616"/>
      <c r="P3494" s="615"/>
      <c r="Q3494" s="616"/>
      <c r="R3494" s="663"/>
      <c r="S3494" s="459"/>
      <c r="T3494" s="459"/>
      <c r="U3494" s="459"/>
      <c r="V3494" s="459"/>
      <c r="W3494" s="459"/>
      <c r="X3494" s="459"/>
      <c r="Y3494" s="666"/>
      <c r="Z3494" s="664"/>
      <c r="AA3494" s="665"/>
      <c r="AB3494" s="665"/>
      <c r="AC3494" s="665"/>
      <c r="AD3494" s="665"/>
      <c r="AE3494" s="665"/>
      <c r="AF3494" s="649"/>
      <c r="AG3494" s="650"/>
      <c r="AH3494" s="650"/>
      <c r="AI3494" s="667"/>
    </row>
    <row r="3495" spans="12:35" ht="45" customHeight="1" thickBot="1" x14ac:dyDescent="0.25">
      <c r="L3495" s="645"/>
      <c r="M3495" s="616"/>
      <c r="N3495" s="616"/>
      <c r="O3495" s="616"/>
      <c r="P3495" s="615"/>
      <c r="Q3495" s="616"/>
      <c r="R3495" s="663"/>
      <c r="S3495" s="459"/>
      <c r="T3495" s="459"/>
      <c r="U3495" s="459"/>
      <c r="V3495" s="459"/>
      <c r="W3495" s="459"/>
      <c r="X3495" s="459"/>
      <c r="Y3495" s="666"/>
      <c r="Z3495" s="664"/>
      <c r="AA3495" s="665"/>
      <c r="AB3495" s="665"/>
      <c r="AC3495" s="665"/>
      <c r="AD3495" s="665"/>
      <c r="AE3495" s="665"/>
      <c r="AF3495" s="649"/>
      <c r="AG3495" s="650"/>
      <c r="AH3495" s="650"/>
      <c r="AI3495" s="667"/>
    </row>
    <row r="3496" spans="12:35" ht="45" customHeight="1" thickBot="1" x14ac:dyDescent="0.25">
      <c r="L3496" s="645"/>
      <c r="M3496" s="616"/>
      <c r="N3496" s="616"/>
      <c r="O3496" s="616"/>
      <c r="P3496" s="615"/>
      <c r="Q3496" s="616"/>
      <c r="R3496" s="663"/>
      <c r="S3496" s="459"/>
      <c r="T3496" s="459"/>
      <c r="U3496" s="459"/>
      <c r="V3496" s="459"/>
      <c r="W3496" s="459"/>
      <c r="X3496" s="459"/>
      <c r="Y3496" s="666"/>
      <c r="Z3496" s="664"/>
      <c r="AA3496" s="665"/>
      <c r="AB3496" s="665"/>
      <c r="AC3496" s="665"/>
      <c r="AD3496" s="665"/>
      <c r="AE3496" s="665"/>
      <c r="AF3496" s="649"/>
      <c r="AG3496" s="650"/>
      <c r="AH3496" s="650"/>
      <c r="AI3496" s="667"/>
    </row>
    <row r="3497" spans="12:35" ht="45" customHeight="1" thickBot="1" x14ac:dyDescent="0.25">
      <c r="L3497" s="645"/>
      <c r="M3497" s="616"/>
      <c r="N3497" s="616"/>
      <c r="O3497" s="616"/>
      <c r="P3497" s="615"/>
      <c r="Q3497" s="616"/>
      <c r="R3497" s="663"/>
      <c r="S3497" s="459"/>
      <c r="T3497" s="459"/>
      <c r="U3497" s="459"/>
      <c r="V3497" s="459"/>
      <c r="W3497" s="459"/>
      <c r="X3497" s="459"/>
      <c r="Y3497" s="666"/>
      <c r="Z3497" s="664"/>
      <c r="AA3497" s="665"/>
      <c r="AB3497" s="665"/>
      <c r="AC3497" s="665"/>
      <c r="AD3497" s="665"/>
      <c r="AE3497" s="665"/>
      <c r="AF3497" s="649"/>
      <c r="AG3497" s="650"/>
      <c r="AH3497" s="650"/>
      <c r="AI3497" s="667"/>
    </row>
    <row r="3498" spans="12:35" ht="45" customHeight="1" thickBot="1" x14ac:dyDescent="0.25">
      <c r="L3498" s="645"/>
      <c r="M3498" s="616"/>
      <c r="N3498" s="616"/>
      <c r="O3498" s="616"/>
      <c r="P3498" s="615"/>
      <c r="Q3498" s="616"/>
      <c r="R3498" s="663"/>
      <c r="S3498" s="459"/>
      <c r="T3498" s="459"/>
      <c r="U3498" s="459"/>
      <c r="V3498" s="459"/>
      <c r="W3498" s="459"/>
      <c r="X3498" s="459"/>
      <c r="Y3498" s="666"/>
      <c r="Z3498" s="664"/>
      <c r="AA3498" s="665"/>
      <c r="AB3498" s="665"/>
      <c r="AC3498" s="665"/>
      <c r="AD3498" s="665"/>
      <c r="AE3498" s="665"/>
      <c r="AF3498" s="649"/>
      <c r="AG3498" s="650"/>
      <c r="AH3498" s="650"/>
      <c r="AI3498" s="667"/>
    </row>
    <row r="3499" spans="12:35" ht="45" customHeight="1" thickBot="1" x14ac:dyDescent="0.25">
      <c r="L3499" s="645"/>
      <c r="M3499" s="616"/>
      <c r="N3499" s="616"/>
      <c r="O3499" s="616"/>
      <c r="P3499" s="615"/>
      <c r="Q3499" s="616"/>
      <c r="R3499" s="663"/>
      <c r="S3499" s="459"/>
      <c r="T3499" s="459"/>
      <c r="U3499" s="459"/>
      <c r="V3499" s="459"/>
      <c r="W3499" s="459"/>
      <c r="X3499" s="459"/>
      <c r="Y3499" s="666"/>
      <c r="Z3499" s="664"/>
      <c r="AA3499" s="665"/>
      <c r="AB3499" s="665"/>
      <c r="AC3499" s="665"/>
      <c r="AD3499" s="665"/>
      <c r="AE3499" s="665"/>
      <c r="AF3499" s="649"/>
      <c r="AG3499" s="650"/>
      <c r="AH3499" s="650"/>
      <c r="AI3499" s="667"/>
    </row>
    <row r="3500" spans="12:35" ht="45" customHeight="1" thickBot="1" x14ac:dyDescent="0.25">
      <c r="L3500" s="645"/>
      <c r="M3500" s="616"/>
      <c r="N3500" s="616"/>
      <c r="O3500" s="616"/>
      <c r="P3500" s="615"/>
      <c r="Q3500" s="616"/>
      <c r="R3500" s="663"/>
      <c r="S3500" s="459"/>
      <c r="T3500" s="459"/>
      <c r="U3500" s="459"/>
      <c r="V3500" s="459"/>
      <c r="W3500" s="459"/>
      <c r="X3500" s="459"/>
      <c r="Y3500" s="666"/>
      <c r="Z3500" s="664"/>
      <c r="AA3500" s="665"/>
      <c r="AB3500" s="665"/>
      <c r="AC3500" s="665"/>
      <c r="AD3500" s="665"/>
      <c r="AE3500" s="665"/>
      <c r="AF3500" s="649"/>
      <c r="AG3500" s="650"/>
      <c r="AH3500" s="650"/>
      <c r="AI3500" s="667"/>
    </row>
    <row r="3501" spans="12:35" ht="45" customHeight="1" thickBot="1" x14ac:dyDescent="0.25">
      <c r="L3501" s="645"/>
      <c r="M3501" s="616"/>
      <c r="N3501" s="616"/>
      <c r="O3501" s="616"/>
      <c r="P3501" s="615"/>
      <c r="Q3501" s="616"/>
      <c r="R3501" s="663"/>
      <c r="S3501" s="459"/>
      <c r="T3501" s="459"/>
      <c r="U3501" s="459"/>
      <c r="V3501" s="459"/>
      <c r="W3501" s="459"/>
      <c r="X3501" s="459"/>
      <c r="Y3501" s="666"/>
      <c r="Z3501" s="664"/>
      <c r="AA3501" s="665"/>
      <c r="AB3501" s="665"/>
      <c r="AC3501" s="665"/>
      <c r="AD3501" s="665"/>
      <c r="AE3501" s="665"/>
      <c r="AF3501" s="649"/>
      <c r="AG3501" s="650"/>
      <c r="AH3501" s="650"/>
      <c r="AI3501" s="667"/>
    </row>
    <row r="3502" spans="12:35" ht="45" customHeight="1" thickBot="1" x14ac:dyDescent="0.25">
      <c r="L3502" s="645"/>
      <c r="M3502" s="616"/>
      <c r="N3502" s="616"/>
      <c r="O3502" s="616"/>
      <c r="P3502" s="615"/>
      <c r="Q3502" s="616"/>
      <c r="R3502" s="663"/>
      <c r="S3502" s="459"/>
      <c r="T3502" s="459"/>
      <c r="U3502" s="459"/>
      <c r="V3502" s="459"/>
      <c r="W3502" s="459"/>
      <c r="X3502" s="459"/>
      <c r="Y3502" s="666"/>
      <c r="Z3502" s="664"/>
      <c r="AA3502" s="665"/>
      <c r="AB3502" s="665"/>
      <c r="AC3502" s="665"/>
      <c r="AD3502" s="665"/>
      <c r="AE3502" s="665"/>
      <c r="AF3502" s="649"/>
      <c r="AG3502" s="650"/>
      <c r="AH3502" s="650"/>
      <c r="AI3502" s="667"/>
    </row>
    <row r="3503" spans="12:35" ht="45" customHeight="1" thickBot="1" x14ac:dyDescent="0.25">
      <c r="L3503" s="645"/>
      <c r="M3503" s="616"/>
      <c r="N3503" s="616"/>
      <c r="O3503" s="616"/>
      <c r="P3503" s="615"/>
      <c r="Q3503" s="616"/>
      <c r="R3503" s="663"/>
      <c r="S3503" s="459"/>
      <c r="T3503" s="459"/>
      <c r="U3503" s="459"/>
      <c r="V3503" s="459"/>
      <c r="W3503" s="459"/>
      <c r="X3503" s="459"/>
      <c r="Y3503" s="666"/>
      <c r="Z3503" s="664"/>
      <c r="AA3503" s="665"/>
      <c r="AB3503" s="665"/>
      <c r="AC3503" s="665"/>
      <c r="AD3503" s="665"/>
      <c r="AE3503" s="665"/>
      <c r="AF3503" s="649"/>
      <c r="AG3503" s="650"/>
      <c r="AH3503" s="650"/>
      <c r="AI3503" s="667"/>
    </row>
    <row r="3504" spans="12:35" ht="45" customHeight="1" thickBot="1" x14ac:dyDescent="0.25">
      <c r="L3504" s="645"/>
      <c r="M3504" s="616"/>
      <c r="N3504" s="616"/>
      <c r="O3504" s="616"/>
      <c r="P3504" s="615"/>
      <c r="Q3504" s="616"/>
      <c r="R3504" s="663"/>
      <c r="S3504" s="459"/>
      <c r="T3504" s="459"/>
      <c r="U3504" s="459"/>
      <c r="V3504" s="459"/>
      <c r="W3504" s="459"/>
      <c r="X3504" s="459"/>
      <c r="Y3504" s="666"/>
      <c r="Z3504" s="664"/>
      <c r="AA3504" s="665"/>
      <c r="AB3504" s="665"/>
      <c r="AC3504" s="665"/>
      <c r="AD3504" s="665"/>
      <c r="AE3504" s="665"/>
      <c r="AF3504" s="649"/>
      <c r="AG3504" s="650"/>
      <c r="AH3504" s="650"/>
      <c r="AI3504" s="667"/>
    </row>
    <row r="3505" spans="12:35" ht="45" customHeight="1" thickBot="1" x14ac:dyDescent="0.25">
      <c r="L3505" s="645"/>
      <c r="M3505" s="616"/>
      <c r="N3505" s="616"/>
      <c r="O3505" s="616"/>
      <c r="P3505" s="615"/>
      <c r="Q3505" s="616"/>
      <c r="R3505" s="663"/>
      <c r="S3505" s="459"/>
      <c r="T3505" s="459"/>
      <c r="U3505" s="459"/>
      <c r="V3505" s="459"/>
      <c r="W3505" s="459"/>
      <c r="X3505" s="459"/>
      <c r="Y3505" s="666"/>
      <c r="Z3505" s="664"/>
      <c r="AA3505" s="665"/>
      <c r="AB3505" s="665"/>
      <c r="AC3505" s="665"/>
      <c r="AD3505" s="665"/>
      <c r="AE3505" s="665"/>
      <c r="AF3505" s="649"/>
      <c r="AG3505" s="650"/>
      <c r="AH3505" s="650"/>
      <c r="AI3505" s="667"/>
    </row>
    <row r="3506" spans="12:35" ht="45" customHeight="1" thickBot="1" x14ac:dyDescent="0.25">
      <c r="L3506" s="645"/>
      <c r="M3506" s="616"/>
      <c r="N3506" s="616"/>
      <c r="O3506" s="616"/>
      <c r="P3506" s="615"/>
      <c r="Q3506" s="616"/>
      <c r="R3506" s="663"/>
      <c r="S3506" s="459"/>
      <c r="T3506" s="459"/>
      <c r="U3506" s="459"/>
      <c r="V3506" s="459"/>
      <c r="W3506" s="459"/>
      <c r="X3506" s="459"/>
      <c r="Y3506" s="666"/>
      <c r="Z3506" s="664"/>
      <c r="AA3506" s="665"/>
      <c r="AB3506" s="665"/>
      <c r="AC3506" s="665"/>
      <c r="AD3506" s="665"/>
      <c r="AE3506" s="665"/>
      <c r="AF3506" s="649"/>
      <c r="AG3506" s="650"/>
      <c r="AH3506" s="650"/>
      <c r="AI3506" s="667"/>
    </row>
    <row r="3507" spans="12:35" ht="45" customHeight="1" thickBot="1" x14ac:dyDescent="0.25">
      <c r="L3507" s="645"/>
      <c r="M3507" s="616"/>
      <c r="N3507" s="616"/>
      <c r="O3507" s="616"/>
      <c r="P3507" s="615"/>
      <c r="Q3507" s="616"/>
      <c r="R3507" s="663"/>
      <c r="S3507" s="459"/>
      <c r="T3507" s="459"/>
      <c r="U3507" s="459"/>
      <c r="V3507" s="459"/>
      <c r="W3507" s="459"/>
      <c r="X3507" s="459"/>
      <c r="Y3507" s="666"/>
      <c r="Z3507" s="664"/>
      <c r="AA3507" s="665"/>
      <c r="AB3507" s="665"/>
      <c r="AC3507" s="665"/>
      <c r="AD3507" s="665"/>
      <c r="AE3507" s="665"/>
      <c r="AF3507" s="649"/>
      <c r="AG3507" s="650"/>
      <c r="AH3507" s="650"/>
      <c r="AI3507" s="667"/>
    </row>
    <row r="3508" spans="12:35" ht="45" customHeight="1" thickBot="1" x14ac:dyDescent="0.25">
      <c r="L3508" s="645"/>
      <c r="M3508" s="616"/>
      <c r="N3508" s="616"/>
      <c r="O3508" s="616"/>
      <c r="P3508" s="615"/>
      <c r="Q3508" s="616"/>
      <c r="R3508" s="663"/>
      <c r="S3508" s="459"/>
      <c r="T3508" s="459"/>
      <c r="U3508" s="459"/>
      <c r="V3508" s="459"/>
      <c r="W3508" s="459"/>
      <c r="X3508" s="459"/>
      <c r="Y3508" s="666"/>
      <c r="Z3508" s="664"/>
      <c r="AA3508" s="665"/>
      <c r="AB3508" s="665"/>
      <c r="AC3508" s="665"/>
      <c r="AD3508" s="665"/>
      <c r="AE3508" s="665"/>
      <c r="AF3508" s="649"/>
      <c r="AG3508" s="650"/>
      <c r="AH3508" s="650"/>
      <c r="AI3508" s="667"/>
    </row>
    <row r="3509" spans="12:35" ht="45" customHeight="1" thickBot="1" x14ac:dyDescent="0.25">
      <c r="L3509" s="645"/>
      <c r="M3509" s="616"/>
      <c r="N3509" s="616"/>
      <c r="O3509" s="616"/>
      <c r="P3509" s="615"/>
      <c r="Q3509" s="616"/>
      <c r="R3509" s="663"/>
      <c r="S3509" s="459"/>
      <c r="T3509" s="459"/>
      <c r="U3509" s="459"/>
      <c r="V3509" s="459"/>
      <c r="W3509" s="459"/>
      <c r="X3509" s="459"/>
      <c r="Y3509" s="666"/>
      <c r="Z3509" s="664"/>
      <c r="AA3509" s="665"/>
      <c r="AB3509" s="665"/>
      <c r="AC3509" s="665"/>
      <c r="AD3509" s="665"/>
      <c r="AE3509" s="665"/>
      <c r="AF3509" s="649"/>
      <c r="AG3509" s="650"/>
      <c r="AH3509" s="650"/>
      <c r="AI3509" s="667"/>
    </row>
    <row r="3510" spans="12:35" ht="45" customHeight="1" thickBot="1" x14ac:dyDescent="0.25">
      <c r="L3510" s="645"/>
      <c r="M3510" s="616"/>
      <c r="N3510" s="616"/>
      <c r="O3510" s="616"/>
      <c r="P3510" s="615"/>
      <c r="Q3510" s="616"/>
      <c r="R3510" s="663"/>
      <c r="S3510" s="459"/>
      <c r="T3510" s="459"/>
      <c r="U3510" s="459"/>
      <c r="V3510" s="459"/>
      <c r="W3510" s="459"/>
      <c r="X3510" s="459"/>
      <c r="Y3510" s="666"/>
      <c r="Z3510" s="664"/>
      <c r="AA3510" s="665"/>
      <c r="AB3510" s="665"/>
      <c r="AC3510" s="665"/>
      <c r="AD3510" s="665"/>
      <c r="AE3510" s="665"/>
      <c r="AF3510" s="649"/>
      <c r="AG3510" s="650"/>
      <c r="AH3510" s="650"/>
      <c r="AI3510" s="667"/>
    </row>
    <row r="3511" spans="12:35" ht="45" customHeight="1" thickBot="1" x14ac:dyDescent="0.25">
      <c r="L3511" s="645"/>
      <c r="M3511" s="616"/>
      <c r="N3511" s="616"/>
      <c r="O3511" s="616"/>
      <c r="P3511" s="615"/>
      <c r="Q3511" s="616"/>
      <c r="R3511" s="663"/>
      <c r="S3511" s="459"/>
      <c r="T3511" s="459"/>
      <c r="U3511" s="459"/>
      <c r="V3511" s="459"/>
      <c r="W3511" s="459"/>
      <c r="X3511" s="459"/>
      <c r="Y3511" s="666"/>
      <c r="Z3511" s="664"/>
      <c r="AA3511" s="665"/>
      <c r="AB3511" s="665"/>
      <c r="AC3511" s="665"/>
      <c r="AD3511" s="665"/>
      <c r="AE3511" s="665"/>
      <c r="AF3511" s="649"/>
      <c r="AG3511" s="650"/>
      <c r="AH3511" s="650"/>
      <c r="AI3511" s="667"/>
    </row>
    <row r="3512" spans="12:35" ht="45" customHeight="1" thickBot="1" x14ac:dyDescent="0.25">
      <c r="L3512" s="645"/>
      <c r="M3512" s="616"/>
      <c r="N3512" s="616"/>
      <c r="O3512" s="616"/>
      <c r="P3512" s="615"/>
      <c r="Q3512" s="616"/>
      <c r="R3512" s="663"/>
      <c r="S3512" s="459"/>
      <c r="T3512" s="459"/>
      <c r="U3512" s="459"/>
      <c r="V3512" s="459"/>
      <c r="W3512" s="459"/>
      <c r="X3512" s="459"/>
      <c r="Y3512" s="666"/>
      <c r="Z3512" s="664"/>
      <c r="AA3512" s="665"/>
      <c r="AB3512" s="665"/>
      <c r="AC3512" s="665"/>
      <c r="AD3512" s="665"/>
      <c r="AE3512" s="665"/>
      <c r="AF3512" s="649"/>
      <c r="AG3512" s="650"/>
      <c r="AH3512" s="650"/>
      <c r="AI3512" s="667"/>
    </row>
    <row r="3513" spans="12:35" ht="45" customHeight="1" thickBot="1" x14ac:dyDescent="0.25">
      <c r="L3513" s="645"/>
      <c r="M3513" s="616"/>
      <c r="N3513" s="616"/>
      <c r="O3513" s="616"/>
      <c r="P3513" s="615"/>
      <c r="Q3513" s="616"/>
      <c r="R3513" s="663"/>
      <c r="S3513" s="459"/>
      <c r="T3513" s="459"/>
      <c r="U3513" s="459"/>
      <c r="V3513" s="459"/>
      <c r="W3513" s="459"/>
      <c r="X3513" s="459"/>
      <c r="Y3513" s="666"/>
      <c r="Z3513" s="664"/>
      <c r="AA3513" s="665"/>
      <c r="AB3513" s="665"/>
      <c r="AC3513" s="665"/>
      <c r="AD3513" s="665"/>
      <c r="AE3513" s="665"/>
      <c r="AF3513" s="649"/>
      <c r="AG3513" s="650"/>
      <c r="AH3513" s="650"/>
      <c r="AI3513" s="667"/>
    </row>
    <row r="3514" spans="12:35" ht="45" customHeight="1" thickBot="1" x14ac:dyDescent="0.25">
      <c r="L3514" s="645"/>
      <c r="M3514" s="616"/>
      <c r="N3514" s="616"/>
      <c r="O3514" s="616"/>
      <c r="P3514" s="615"/>
      <c r="Q3514" s="616"/>
      <c r="R3514" s="663"/>
      <c r="S3514" s="459"/>
      <c r="T3514" s="459"/>
      <c r="U3514" s="459"/>
      <c r="V3514" s="459"/>
      <c r="W3514" s="459"/>
      <c r="X3514" s="459"/>
      <c r="Y3514" s="666"/>
      <c r="Z3514" s="664"/>
      <c r="AA3514" s="665"/>
      <c r="AB3514" s="665"/>
      <c r="AC3514" s="665"/>
      <c r="AD3514" s="665"/>
      <c r="AE3514" s="665"/>
      <c r="AF3514" s="649"/>
      <c r="AG3514" s="650"/>
      <c r="AH3514" s="650"/>
      <c r="AI3514" s="667"/>
    </row>
    <row r="3515" spans="12:35" ht="45" customHeight="1" thickBot="1" x14ac:dyDescent="0.25">
      <c r="L3515" s="645"/>
      <c r="M3515" s="616"/>
      <c r="N3515" s="616"/>
      <c r="O3515" s="616"/>
      <c r="P3515" s="615"/>
      <c r="Q3515" s="616"/>
      <c r="R3515" s="663"/>
      <c r="S3515" s="459"/>
      <c r="T3515" s="459"/>
      <c r="U3515" s="459"/>
      <c r="V3515" s="459"/>
      <c r="W3515" s="459"/>
      <c r="X3515" s="459"/>
      <c r="Y3515" s="666"/>
      <c r="Z3515" s="664"/>
      <c r="AA3515" s="665"/>
      <c r="AB3515" s="665"/>
      <c r="AC3515" s="665"/>
      <c r="AD3515" s="665"/>
      <c r="AE3515" s="665"/>
      <c r="AF3515" s="649"/>
      <c r="AG3515" s="650"/>
      <c r="AH3515" s="650"/>
      <c r="AI3515" s="667"/>
    </row>
    <row r="3516" spans="12:35" ht="45" customHeight="1" thickBot="1" x14ac:dyDescent="0.25">
      <c r="L3516" s="645"/>
      <c r="M3516" s="616"/>
      <c r="N3516" s="616"/>
      <c r="O3516" s="616"/>
      <c r="P3516" s="615"/>
      <c r="Q3516" s="616"/>
      <c r="R3516" s="663"/>
      <c r="S3516" s="459"/>
      <c r="T3516" s="459"/>
      <c r="U3516" s="459"/>
      <c r="V3516" s="459"/>
      <c r="W3516" s="459"/>
      <c r="X3516" s="459"/>
      <c r="Y3516" s="666"/>
      <c r="Z3516" s="664"/>
      <c r="AA3516" s="665"/>
      <c r="AB3516" s="665"/>
      <c r="AC3516" s="665"/>
      <c r="AD3516" s="665"/>
      <c r="AE3516" s="665"/>
      <c r="AF3516" s="649"/>
      <c r="AG3516" s="650"/>
      <c r="AH3516" s="650"/>
      <c r="AI3516" s="667"/>
    </row>
    <row r="3517" spans="12:35" ht="45" customHeight="1" thickBot="1" x14ac:dyDescent="0.25">
      <c r="L3517" s="645"/>
      <c r="M3517" s="616"/>
      <c r="N3517" s="616"/>
      <c r="O3517" s="616"/>
      <c r="P3517" s="615"/>
      <c r="Q3517" s="616"/>
      <c r="R3517" s="663"/>
      <c r="S3517" s="459"/>
      <c r="T3517" s="459"/>
      <c r="U3517" s="459"/>
      <c r="V3517" s="459"/>
      <c r="W3517" s="459"/>
      <c r="X3517" s="459"/>
      <c r="Y3517" s="666"/>
      <c r="Z3517" s="664"/>
      <c r="AA3517" s="665"/>
      <c r="AB3517" s="665"/>
      <c r="AC3517" s="665"/>
      <c r="AD3517" s="665"/>
      <c r="AE3517" s="665"/>
      <c r="AF3517" s="649"/>
      <c r="AG3517" s="650"/>
      <c r="AH3517" s="650"/>
      <c r="AI3517" s="667"/>
    </row>
    <row r="3518" spans="12:35" ht="45" customHeight="1" thickBot="1" x14ac:dyDescent="0.25">
      <c r="L3518" s="645"/>
      <c r="M3518" s="616"/>
      <c r="N3518" s="616"/>
      <c r="O3518" s="616"/>
      <c r="P3518" s="615"/>
      <c r="Q3518" s="616"/>
      <c r="R3518" s="663"/>
      <c r="S3518" s="459"/>
      <c r="T3518" s="459"/>
      <c r="U3518" s="459"/>
      <c r="V3518" s="459"/>
      <c r="W3518" s="459"/>
      <c r="X3518" s="459"/>
      <c r="Y3518" s="666"/>
      <c r="Z3518" s="664"/>
      <c r="AA3518" s="665"/>
      <c r="AB3518" s="665"/>
      <c r="AC3518" s="665"/>
      <c r="AD3518" s="665"/>
      <c r="AE3518" s="665"/>
      <c r="AF3518" s="649"/>
      <c r="AG3518" s="650"/>
      <c r="AH3518" s="650"/>
      <c r="AI3518" s="667"/>
    </row>
    <row r="3519" spans="12:35" ht="45" customHeight="1" thickBot="1" x14ac:dyDescent="0.25">
      <c r="L3519" s="645"/>
      <c r="M3519" s="616"/>
      <c r="N3519" s="616"/>
      <c r="O3519" s="616"/>
      <c r="P3519" s="615"/>
      <c r="Q3519" s="616"/>
      <c r="R3519" s="663"/>
      <c r="S3519" s="459"/>
      <c r="T3519" s="459"/>
      <c r="U3519" s="459"/>
      <c r="V3519" s="459"/>
      <c r="W3519" s="459"/>
      <c r="X3519" s="459"/>
      <c r="Y3519" s="666"/>
      <c r="Z3519" s="664"/>
      <c r="AA3519" s="665"/>
      <c r="AB3519" s="665"/>
      <c r="AC3519" s="665"/>
      <c r="AD3519" s="665"/>
      <c r="AE3519" s="665"/>
      <c r="AF3519" s="649"/>
      <c r="AG3519" s="650"/>
      <c r="AH3519" s="650"/>
      <c r="AI3519" s="667"/>
    </row>
    <row r="3520" spans="12:35" ht="45" customHeight="1" thickBot="1" x14ac:dyDescent="0.25">
      <c r="L3520" s="645"/>
      <c r="M3520" s="616"/>
      <c r="N3520" s="616"/>
      <c r="O3520" s="616"/>
      <c r="P3520" s="615"/>
      <c r="Q3520" s="616"/>
      <c r="R3520" s="663"/>
      <c r="S3520" s="459"/>
      <c r="T3520" s="459"/>
      <c r="U3520" s="459"/>
      <c r="V3520" s="459"/>
      <c r="W3520" s="459"/>
      <c r="X3520" s="459"/>
      <c r="Y3520" s="666"/>
      <c r="Z3520" s="664"/>
      <c r="AA3520" s="665"/>
      <c r="AB3520" s="665"/>
      <c r="AC3520" s="665"/>
      <c r="AD3520" s="665"/>
      <c r="AE3520" s="665"/>
      <c r="AF3520" s="649"/>
      <c r="AG3520" s="650"/>
      <c r="AH3520" s="650"/>
      <c r="AI3520" s="667"/>
    </row>
    <row r="3521" spans="12:35" ht="45" customHeight="1" thickBot="1" x14ac:dyDescent="0.25">
      <c r="L3521" s="645"/>
      <c r="M3521" s="616"/>
      <c r="N3521" s="616"/>
      <c r="O3521" s="616"/>
      <c r="P3521" s="615"/>
      <c r="Q3521" s="616"/>
      <c r="R3521" s="663"/>
      <c r="S3521" s="459"/>
      <c r="T3521" s="459"/>
      <c r="U3521" s="459"/>
      <c r="V3521" s="459"/>
      <c r="W3521" s="459"/>
      <c r="X3521" s="459"/>
      <c r="Y3521" s="666"/>
      <c r="Z3521" s="664"/>
      <c r="AA3521" s="665"/>
      <c r="AB3521" s="665"/>
      <c r="AC3521" s="665"/>
      <c r="AD3521" s="665"/>
      <c r="AE3521" s="665"/>
      <c r="AF3521" s="649"/>
      <c r="AG3521" s="650"/>
      <c r="AH3521" s="650"/>
      <c r="AI3521" s="667"/>
    </row>
    <row r="3522" spans="12:35" ht="45" customHeight="1" thickBot="1" x14ac:dyDescent="0.25">
      <c r="L3522" s="645"/>
      <c r="M3522" s="616"/>
      <c r="N3522" s="616"/>
      <c r="O3522" s="616"/>
      <c r="P3522" s="615"/>
      <c r="Q3522" s="616"/>
      <c r="R3522" s="663"/>
      <c r="S3522" s="459"/>
      <c r="T3522" s="459"/>
      <c r="U3522" s="459"/>
      <c r="V3522" s="459"/>
      <c r="W3522" s="459"/>
      <c r="X3522" s="459"/>
      <c r="Y3522" s="666"/>
      <c r="Z3522" s="664"/>
      <c r="AA3522" s="665"/>
      <c r="AB3522" s="665"/>
      <c r="AC3522" s="665"/>
      <c r="AD3522" s="665"/>
      <c r="AE3522" s="665"/>
      <c r="AF3522" s="649"/>
      <c r="AG3522" s="650"/>
      <c r="AH3522" s="650"/>
      <c r="AI3522" s="667"/>
    </row>
    <row r="3523" spans="12:35" ht="45" customHeight="1" thickBot="1" x14ac:dyDescent="0.25">
      <c r="L3523" s="645"/>
      <c r="M3523" s="616"/>
      <c r="N3523" s="616"/>
      <c r="O3523" s="616"/>
      <c r="P3523" s="615"/>
      <c r="Q3523" s="616"/>
      <c r="R3523" s="663"/>
      <c r="S3523" s="459"/>
      <c r="T3523" s="459"/>
      <c r="U3523" s="459"/>
      <c r="V3523" s="459"/>
      <c r="W3523" s="459"/>
      <c r="X3523" s="459"/>
      <c r="Y3523" s="666"/>
      <c r="Z3523" s="664"/>
      <c r="AA3523" s="665"/>
      <c r="AB3523" s="665"/>
      <c r="AC3523" s="665"/>
      <c r="AD3523" s="665"/>
      <c r="AE3523" s="665"/>
      <c r="AF3523" s="649"/>
      <c r="AG3523" s="650"/>
      <c r="AH3523" s="650"/>
      <c r="AI3523" s="667"/>
    </row>
    <row r="3524" spans="12:35" ht="45" customHeight="1" thickBot="1" x14ac:dyDescent="0.25">
      <c r="L3524" s="645"/>
      <c r="M3524" s="616"/>
      <c r="N3524" s="616"/>
      <c r="O3524" s="616"/>
      <c r="P3524" s="615"/>
      <c r="Q3524" s="616"/>
      <c r="R3524" s="663"/>
      <c r="S3524" s="459"/>
      <c r="T3524" s="459"/>
      <c r="U3524" s="459"/>
      <c r="V3524" s="459"/>
      <c r="W3524" s="459"/>
      <c r="X3524" s="459"/>
      <c r="Y3524" s="666"/>
      <c r="Z3524" s="664"/>
      <c r="AA3524" s="665"/>
      <c r="AB3524" s="665"/>
      <c r="AC3524" s="665"/>
      <c r="AD3524" s="665"/>
      <c r="AE3524" s="665"/>
      <c r="AF3524" s="649"/>
      <c r="AG3524" s="650"/>
      <c r="AH3524" s="650"/>
      <c r="AI3524" s="667"/>
    </row>
    <row r="3525" spans="12:35" ht="45" customHeight="1" thickBot="1" x14ac:dyDescent="0.25">
      <c r="L3525" s="645"/>
      <c r="M3525" s="616"/>
      <c r="N3525" s="616"/>
      <c r="O3525" s="616"/>
      <c r="P3525" s="615"/>
      <c r="Q3525" s="616"/>
      <c r="R3525" s="663"/>
      <c r="S3525" s="459"/>
      <c r="T3525" s="459"/>
      <c r="U3525" s="459"/>
      <c r="V3525" s="459"/>
      <c r="W3525" s="459"/>
      <c r="X3525" s="459"/>
      <c r="Y3525" s="666"/>
      <c r="Z3525" s="664"/>
      <c r="AA3525" s="665"/>
      <c r="AB3525" s="665"/>
      <c r="AC3525" s="665"/>
      <c r="AD3525" s="665"/>
      <c r="AE3525" s="665"/>
      <c r="AF3525" s="649"/>
      <c r="AG3525" s="650"/>
      <c r="AH3525" s="650"/>
      <c r="AI3525" s="667"/>
    </row>
    <row r="3526" spans="12:35" ht="45" customHeight="1" thickBot="1" x14ac:dyDescent="0.25">
      <c r="L3526" s="645"/>
      <c r="M3526" s="616"/>
      <c r="N3526" s="616"/>
      <c r="O3526" s="616"/>
      <c r="P3526" s="615"/>
      <c r="Q3526" s="616"/>
      <c r="R3526" s="663"/>
      <c r="S3526" s="459"/>
      <c r="T3526" s="459"/>
      <c r="U3526" s="459"/>
      <c r="V3526" s="459"/>
      <c r="W3526" s="459"/>
      <c r="X3526" s="459"/>
      <c r="Y3526" s="666"/>
      <c r="Z3526" s="664"/>
      <c r="AA3526" s="665"/>
      <c r="AB3526" s="665"/>
      <c r="AC3526" s="665"/>
      <c r="AD3526" s="665"/>
      <c r="AE3526" s="665"/>
      <c r="AF3526" s="649"/>
      <c r="AG3526" s="650"/>
      <c r="AH3526" s="650"/>
      <c r="AI3526" s="667"/>
    </row>
    <row r="3527" spans="12:35" ht="45" customHeight="1" thickBot="1" x14ac:dyDescent="0.25">
      <c r="L3527" s="645"/>
      <c r="M3527" s="616"/>
      <c r="N3527" s="616"/>
      <c r="O3527" s="616"/>
      <c r="P3527" s="615"/>
      <c r="Q3527" s="616"/>
      <c r="R3527" s="663"/>
      <c r="S3527" s="459"/>
      <c r="T3527" s="459"/>
      <c r="U3527" s="459"/>
      <c r="V3527" s="459"/>
      <c r="W3527" s="459"/>
      <c r="X3527" s="459"/>
      <c r="Y3527" s="666"/>
      <c r="Z3527" s="664"/>
      <c r="AA3527" s="665"/>
      <c r="AB3527" s="665"/>
      <c r="AC3527" s="665"/>
      <c r="AD3527" s="665"/>
      <c r="AE3527" s="665"/>
      <c r="AF3527" s="649"/>
      <c r="AG3527" s="650"/>
      <c r="AH3527" s="650"/>
      <c r="AI3527" s="667"/>
    </row>
    <row r="3528" spans="12:35" ht="45" customHeight="1" thickBot="1" x14ac:dyDescent="0.25">
      <c r="L3528" s="645"/>
      <c r="M3528" s="616"/>
      <c r="N3528" s="616"/>
      <c r="O3528" s="616"/>
      <c r="P3528" s="615"/>
      <c r="Q3528" s="616"/>
      <c r="R3528" s="663"/>
      <c r="S3528" s="459"/>
      <c r="T3528" s="459"/>
      <c r="U3528" s="459"/>
      <c r="V3528" s="459"/>
      <c r="W3528" s="459"/>
      <c r="X3528" s="459"/>
      <c r="Y3528" s="666"/>
      <c r="Z3528" s="664"/>
      <c r="AA3528" s="665"/>
      <c r="AB3528" s="665"/>
      <c r="AC3528" s="665"/>
      <c r="AD3528" s="665"/>
      <c r="AE3528" s="665"/>
      <c r="AF3528" s="649"/>
      <c r="AG3528" s="650"/>
      <c r="AH3528" s="650"/>
      <c r="AI3528" s="667"/>
    </row>
    <row r="3529" spans="12:35" ht="45" customHeight="1" thickBot="1" x14ac:dyDescent="0.25">
      <c r="L3529" s="645"/>
      <c r="M3529" s="616"/>
      <c r="N3529" s="616"/>
      <c r="O3529" s="616"/>
      <c r="P3529" s="615"/>
      <c r="Q3529" s="616"/>
      <c r="R3529" s="663"/>
      <c r="S3529" s="459"/>
      <c r="T3529" s="459"/>
      <c r="U3529" s="459"/>
      <c r="V3529" s="459"/>
      <c r="W3529" s="459"/>
      <c r="X3529" s="459"/>
      <c r="Y3529" s="666"/>
      <c r="Z3529" s="664"/>
      <c r="AA3529" s="665"/>
      <c r="AB3529" s="665"/>
      <c r="AC3529" s="665"/>
      <c r="AD3529" s="665"/>
      <c r="AE3529" s="665"/>
      <c r="AF3529" s="649"/>
      <c r="AG3529" s="650"/>
      <c r="AH3529" s="650"/>
      <c r="AI3529" s="667"/>
    </row>
    <row r="3530" spans="12:35" ht="45" customHeight="1" thickBot="1" x14ac:dyDescent="0.25">
      <c r="L3530" s="645"/>
      <c r="M3530" s="616"/>
      <c r="N3530" s="616"/>
      <c r="O3530" s="616"/>
      <c r="P3530" s="615"/>
      <c r="Q3530" s="616"/>
      <c r="R3530" s="663"/>
      <c r="S3530" s="459"/>
      <c r="T3530" s="459"/>
      <c r="U3530" s="459"/>
      <c r="V3530" s="459"/>
      <c r="W3530" s="459"/>
      <c r="X3530" s="459"/>
      <c r="Y3530" s="666"/>
      <c r="Z3530" s="664"/>
      <c r="AA3530" s="665"/>
      <c r="AB3530" s="665"/>
      <c r="AC3530" s="665"/>
      <c r="AD3530" s="665"/>
      <c r="AE3530" s="665"/>
      <c r="AF3530" s="649"/>
      <c r="AG3530" s="650"/>
      <c r="AH3530" s="650"/>
      <c r="AI3530" s="667"/>
    </row>
    <row r="3531" spans="12:35" ht="45" customHeight="1" thickBot="1" x14ac:dyDescent="0.25">
      <c r="L3531" s="645"/>
      <c r="M3531" s="616"/>
      <c r="N3531" s="616"/>
      <c r="O3531" s="616"/>
      <c r="P3531" s="615"/>
      <c r="Q3531" s="616"/>
      <c r="R3531" s="663"/>
      <c r="S3531" s="459"/>
      <c r="T3531" s="459"/>
      <c r="U3531" s="459"/>
      <c r="V3531" s="459"/>
      <c r="W3531" s="459"/>
      <c r="X3531" s="459"/>
      <c r="Y3531" s="666"/>
      <c r="Z3531" s="664"/>
      <c r="AA3531" s="665"/>
      <c r="AB3531" s="665"/>
      <c r="AC3531" s="665"/>
      <c r="AD3531" s="665"/>
      <c r="AE3531" s="665"/>
      <c r="AF3531" s="649"/>
      <c r="AG3531" s="650"/>
      <c r="AH3531" s="650"/>
      <c r="AI3531" s="667"/>
    </row>
    <row r="3532" spans="12:35" ht="45" customHeight="1" thickBot="1" x14ac:dyDescent="0.25">
      <c r="L3532" s="645"/>
      <c r="M3532" s="616"/>
      <c r="N3532" s="616"/>
      <c r="O3532" s="616"/>
      <c r="P3532" s="615"/>
      <c r="Q3532" s="616"/>
      <c r="R3532" s="663"/>
      <c r="S3532" s="459"/>
      <c r="T3532" s="459"/>
      <c r="U3532" s="459"/>
      <c r="V3532" s="459"/>
      <c r="W3532" s="459"/>
      <c r="X3532" s="459"/>
      <c r="Y3532" s="666"/>
      <c r="Z3532" s="664"/>
      <c r="AA3532" s="665"/>
      <c r="AB3532" s="665"/>
      <c r="AC3532" s="665"/>
      <c r="AD3532" s="665"/>
      <c r="AE3532" s="665"/>
      <c r="AF3532" s="649"/>
      <c r="AG3532" s="650"/>
      <c r="AH3532" s="650"/>
      <c r="AI3532" s="667"/>
    </row>
    <row r="3533" spans="12:35" ht="45" customHeight="1" thickBot="1" x14ac:dyDescent="0.25">
      <c r="L3533" s="645"/>
      <c r="M3533" s="616"/>
      <c r="N3533" s="616"/>
      <c r="O3533" s="616"/>
      <c r="P3533" s="615"/>
      <c r="Q3533" s="616"/>
      <c r="R3533" s="663"/>
      <c r="S3533" s="459"/>
      <c r="T3533" s="459"/>
      <c r="U3533" s="459"/>
      <c r="V3533" s="459"/>
      <c r="W3533" s="459"/>
      <c r="X3533" s="459"/>
      <c r="Y3533" s="666"/>
      <c r="Z3533" s="664"/>
      <c r="AA3533" s="665"/>
      <c r="AB3533" s="665"/>
      <c r="AC3533" s="665"/>
      <c r="AD3533" s="665"/>
      <c r="AE3533" s="665"/>
      <c r="AF3533" s="649"/>
      <c r="AG3533" s="650"/>
      <c r="AH3533" s="650"/>
      <c r="AI3533" s="667"/>
    </row>
    <row r="3534" spans="12:35" ht="45" customHeight="1" thickBot="1" x14ac:dyDescent="0.25">
      <c r="L3534" s="645"/>
      <c r="M3534" s="616"/>
      <c r="N3534" s="616"/>
      <c r="O3534" s="616"/>
      <c r="P3534" s="615"/>
      <c r="Q3534" s="616"/>
      <c r="R3534" s="663"/>
      <c r="S3534" s="459"/>
      <c r="T3534" s="459"/>
      <c r="U3534" s="459"/>
      <c r="V3534" s="459"/>
      <c r="W3534" s="459"/>
      <c r="X3534" s="459"/>
      <c r="Y3534" s="666"/>
      <c r="Z3534" s="664"/>
      <c r="AA3534" s="665"/>
      <c r="AB3534" s="665"/>
      <c r="AC3534" s="665"/>
      <c r="AD3534" s="665"/>
      <c r="AE3534" s="665"/>
      <c r="AF3534" s="649"/>
      <c r="AG3534" s="650"/>
      <c r="AH3534" s="650"/>
      <c r="AI3534" s="667"/>
    </row>
    <row r="3535" spans="12:35" ht="45" customHeight="1" thickBot="1" x14ac:dyDescent="0.25">
      <c r="L3535" s="645"/>
      <c r="M3535" s="616"/>
      <c r="N3535" s="616"/>
      <c r="O3535" s="616"/>
      <c r="P3535" s="615"/>
      <c r="Q3535" s="616"/>
      <c r="R3535" s="663"/>
      <c r="S3535" s="459"/>
      <c r="T3535" s="459"/>
      <c r="U3535" s="459"/>
      <c r="V3535" s="459"/>
      <c r="W3535" s="459"/>
      <c r="X3535" s="459"/>
      <c r="Y3535" s="666"/>
      <c r="Z3535" s="664"/>
      <c r="AA3535" s="665"/>
      <c r="AB3535" s="665"/>
      <c r="AC3535" s="665"/>
      <c r="AD3535" s="665"/>
      <c r="AE3535" s="665"/>
      <c r="AF3535" s="649"/>
      <c r="AG3535" s="650"/>
      <c r="AH3535" s="650"/>
      <c r="AI3535" s="667"/>
    </row>
    <row r="3536" spans="12:35" ht="45" customHeight="1" thickBot="1" x14ac:dyDescent="0.25">
      <c r="L3536" s="645"/>
      <c r="M3536" s="616"/>
      <c r="N3536" s="616"/>
      <c r="O3536" s="616"/>
      <c r="P3536" s="615"/>
      <c r="Q3536" s="616"/>
      <c r="R3536" s="663"/>
      <c r="S3536" s="459"/>
      <c r="T3536" s="459"/>
      <c r="U3536" s="459"/>
      <c r="V3536" s="459"/>
      <c r="W3536" s="459"/>
      <c r="X3536" s="459"/>
      <c r="Y3536" s="666"/>
      <c r="Z3536" s="664"/>
      <c r="AA3536" s="665"/>
      <c r="AB3536" s="665"/>
      <c r="AC3536" s="665"/>
      <c r="AD3536" s="665"/>
      <c r="AE3536" s="665"/>
      <c r="AF3536" s="649"/>
      <c r="AG3536" s="650"/>
      <c r="AH3536" s="650"/>
      <c r="AI3536" s="667"/>
    </row>
    <row r="3537" spans="12:35" ht="45" customHeight="1" thickBot="1" x14ac:dyDescent="0.25">
      <c r="L3537" s="645"/>
      <c r="M3537" s="616"/>
      <c r="N3537" s="616"/>
      <c r="O3537" s="616"/>
      <c r="P3537" s="615"/>
      <c r="Q3537" s="616"/>
      <c r="R3537" s="663"/>
      <c r="S3537" s="459"/>
      <c r="T3537" s="459"/>
      <c r="U3537" s="459"/>
      <c r="V3537" s="459"/>
      <c r="W3537" s="459"/>
      <c r="X3537" s="459"/>
      <c r="Y3537" s="666"/>
      <c r="Z3537" s="664"/>
      <c r="AA3537" s="665"/>
      <c r="AB3537" s="665"/>
      <c r="AC3537" s="665"/>
      <c r="AD3537" s="665"/>
      <c r="AE3537" s="665"/>
      <c r="AF3537" s="649"/>
      <c r="AG3537" s="650"/>
      <c r="AH3537" s="650"/>
      <c r="AI3537" s="667"/>
    </row>
    <row r="3538" spans="12:35" ht="45" customHeight="1" thickBot="1" x14ac:dyDescent="0.25">
      <c r="L3538" s="645"/>
      <c r="M3538" s="616"/>
      <c r="N3538" s="616"/>
      <c r="O3538" s="616"/>
      <c r="P3538" s="615"/>
      <c r="Q3538" s="616"/>
      <c r="R3538" s="663"/>
      <c r="S3538" s="459"/>
      <c r="T3538" s="459"/>
      <c r="U3538" s="459"/>
      <c r="V3538" s="459"/>
      <c r="W3538" s="459"/>
      <c r="X3538" s="459"/>
      <c r="Y3538" s="666"/>
      <c r="Z3538" s="664"/>
      <c r="AA3538" s="665"/>
      <c r="AB3538" s="665"/>
      <c r="AC3538" s="665"/>
      <c r="AD3538" s="665"/>
      <c r="AE3538" s="665"/>
      <c r="AF3538" s="649"/>
      <c r="AG3538" s="650"/>
      <c r="AH3538" s="650"/>
      <c r="AI3538" s="667"/>
    </row>
    <row r="3539" spans="12:35" ht="45" customHeight="1" thickBot="1" x14ac:dyDescent="0.25">
      <c r="L3539" s="645"/>
      <c r="M3539" s="616"/>
      <c r="N3539" s="616"/>
      <c r="O3539" s="616"/>
      <c r="P3539" s="615"/>
      <c r="Q3539" s="616"/>
      <c r="R3539" s="663"/>
      <c r="S3539" s="459"/>
      <c r="T3539" s="459"/>
      <c r="U3539" s="459"/>
      <c r="V3539" s="459"/>
      <c r="W3539" s="459"/>
      <c r="X3539" s="459"/>
      <c r="Y3539" s="666"/>
      <c r="Z3539" s="664"/>
      <c r="AA3539" s="665"/>
      <c r="AB3539" s="665"/>
      <c r="AC3539" s="665"/>
      <c r="AD3539" s="665"/>
      <c r="AE3539" s="665"/>
      <c r="AF3539" s="649"/>
      <c r="AG3539" s="650"/>
      <c r="AH3539" s="650"/>
      <c r="AI3539" s="667"/>
    </row>
    <row r="3540" spans="12:35" ht="45" customHeight="1" thickBot="1" x14ac:dyDescent="0.25">
      <c r="L3540" s="645"/>
      <c r="M3540" s="616"/>
      <c r="N3540" s="616"/>
      <c r="O3540" s="616"/>
      <c r="P3540" s="615"/>
      <c r="Q3540" s="616"/>
      <c r="R3540" s="663"/>
      <c r="S3540" s="459"/>
      <c r="T3540" s="459"/>
      <c r="U3540" s="459"/>
      <c r="V3540" s="459"/>
      <c r="W3540" s="459"/>
      <c r="X3540" s="459"/>
      <c r="Y3540" s="666"/>
      <c r="Z3540" s="664"/>
      <c r="AA3540" s="665"/>
      <c r="AB3540" s="665"/>
      <c r="AC3540" s="665"/>
      <c r="AD3540" s="665"/>
      <c r="AE3540" s="665"/>
      <c r="AF3540" s="649"/>
      <c r="AG3540" s="650"/>
      <c r="AH3540" s="650"/>
      <c r="AI3540" s="667"/>
    </row>
    <row r="3541" spans="12:35" ht="45" customHeight="1" thickBot="1" x14ac:dyDescent="0.25">
      <c r="L3541" s="645"/>
      <c r="M3541" s="616"/>
      <c r="N3541" s="616"/>
      <c r="O3541" s="616"/>
      <c r="P3541" s="615"/>
      <c r="Q3541" s="616"/>
      <c r="R3541" s="663"/>
      <c r="S3541" s="459"/>
      <c r="T3541" s="459"/>
      <c r="U3541" s="459"/>
      <c r="V3541" s="459"/>
      <c r="W3541" s="459"/>
      <c r="X3541" s="459"/>
      <c r="Y3541" s="666"/>
      <c r="Z3541" s="664"/>
      <c r="AA3541" s="665"/>
      <c r="AB3541" s="665"/>
      <c r="AC3541" s="665"/>
      <c r="AD3541" s="665"/>
      <c r="AE3541" s="665"/>
      <c r="AF3541" s="649"/>
      <c r="AG3541" s="650"/>
      <c r="AH3541" s="650"/>
      <c r="AI3541" s="667"/>
    </row>
    <row r="3542" spans="12:35" ht="45" customHeight="1" thickBot="1" x14ac:dyDescent="0.25">
      <c r="L3542" s="645"/>
      <c r="M3542" s="616"/>
      <c r="N3542" s="616"/>
      <c r="O3542" s="616"/>
      <c r="P3542" s="615"/>
      <c r="Q3542" s="616"/>
      <c r="R3542" s="663"/>
      <c r="S3542" s="459"/>
      <c r="T3542" s="459"/>
      <c r="U3542" s="459"/>
      <c r="V3542" s="459"/>
      <c r="W3542" s="459"/>
      <c r="X3542" s="459"/>
      <c r="Y3542" s="666"/>
      <c r="Z3542" s="664"/>
      <c r="AA3542" s="665"/>
      <c r="AB3542" s="665"/>
      <c r="AC3542" s="665"/>
      <c r="AD3542" s="665"/>
      <c r="AE3542" s="665"/>
      <c r="AF3542" s="649"/>
      <c r="AG3542" s="650"/>
      <c r="AH3542" s="650"/>
      <c r="AI3542" s="667"/>
    </row>
    <row r="3543" spans="12:35" ht="45" customHeight="1" thickBot="1" x14ac:dyDescent="0.25">
      <c r="L3543" s="645"/>
      <c r="M3543" s="616"/>
      <c r="N3543" s="616"/>
      <c r="O3543" s="616"/>
      <c r="P3543" s="615"/>
      <c r="Q3543" s="616"/>
      <c r="R3543" s="663"/>
      <c r="S3543" s="459"/>
      <c r="T3543" s="459"/>
      <c r="U3543" s="459"/>
      <c r="V3543" s="459"/>
      <c r="W3543" s="459"/>
      <c r="X3543" s="459"/>
      <c r="Y3543" s="666"/>
      <c r="Z3543" s="664"/>
      <c r="AA3543" s="665"/>
      <c r="AB3543" s="665"/>
      <c r="AC3543" s="665"/>
      <c r="AD3543" s="665"/>
      <c r="AE3543" s="665"/>
      <c r="AF3543" s="649"/>
      <c r="AG3543" s="650"/>
      <c r="AH3543" s="650"/>
      <c r="AI3543" s="667"/>
    </row>
    <row r="3544" spans="12:35" ht="45" customHeight="1" thickBot="1" x14ac:dyDescent="0.25">
      <c r="L3544" s="645"/>
      <c r="M3544" s="616"/>
      <c r="N3544" s="616"/>
      <c r="O3544" s="616"/>
      <c r="P3544" s="615"/>
      <c r="Q3544" s="616"/>
      <c r="R3544" s="663"/>
      <c r="S3544" s="459"/>
      <c r="T3544" s="459"/>
      <c r="U3544" s="459"/>
      <c r="V3544" s="459"/>
      <c r="W3544" s="459"/>
      <c r="X3544" s="459"/>
      <c r="Y3544" s="666"/>
      <c r="Z3544" s="664"/>
      <c r="AA3544" s="665"/>
      <c r="AB3544" s="665"/>
      <c r="AC3544" s="665"/>
      <c r="AD3544" s="665"/>
      <c r="AE3544" s="665"/>
      <c r="AF3544" s="649"/>
      <c r="AG3544" s="650"/>
      <c r="AH3544" s="650"/>
      <c r="AI3544" s="667"/>
    </row>
    <row r="3545" spans="12:35" ht="45" customHeight="1" thickBot="1" x14ac:dyDescent="0.25">
      <c r="L3545" s="645"/>
      <c r="M3545" s="616"/>
      <c r="N3545" s="616"/>
      <c r="O3545" s="616"/>
      <c r="P3545" s="615"/>
      <c r="Q3545" s="616"/>
      <c r="R3545" s="663"/>
      <c r="S3545" s="459"/>
      <c r="T3545" s="459"/>
      <c r="U3545" s="459"/>
      <c r="V3545" s="459"/>
      <c r="W3545" s="459"/>
      <c r="X3545" s="459"/>
      <c r="Y3545" s="666"/>
      <c r="Z3545" s="664"/>
      <c r="AA3545" s="665"/>
      <c r="AB3545" s="665"/>
      <c r="AC3545" s="665"/>
      <c r="AD3545" s="665"/>
      <c r="AE3545" s="665"/>
      <c r="AF3545" s="649"/>
      <c r="AG3545" s="650"/>
      <c r="AH3545" s="650"/>
      <c r="AI3545" s="667"/>
    </row>
    <row r="3546" spans="12:35" ht="45" customHeight="1" thickBot="1" x14ac:dyDescent="0.25">
      <c r="L3546" s="645"/>
      <c r="M3546" s="616"/>
      <c r="N3546" s="616"/>
      <c r="O3546" s="616"/>
      <c r="P3546" s="615"/>
      <c r="Q3546" s="616"/>
      <c r="R3546" s="663"/>
      <c r="S3546" s="459"/>
      <c r="T3546" s="459"/>
      <c r="U3546" s="459"/>
      <c r="V3546" s="459"/>
      <c r="W3546" s="459"/>
      <c r="X3546" s="459"/>
      <c r="Y3546" s="666"/>
      <c r="Z3546" s="664"/>
      <c r="AA3546" s="665"/>
      <c r="AB3546" s="665"/>
      <c r="AC3546" s="665"/>
      <c r="AD3546" s="665"/>
      <c r="AE3546" s="665"/>
      <c r="AF3546" s="649"/>
      <c r="AG3546" s="650"/>
      <c r="AH3546" s="650"/>
      <c r="AI3546" s="667"/>
    </row>
    <row r="3547" spans="12:35" ht="45" customHeight="1" thickBot="1" x14ac:dyDescent="0.25">
      <c r="L3547" s="645"/>
      <c r="M3547" s="616"/>
      <c r="N3547" s="616"/>
      <c r="O3547" s="616"/>
      <c r="P3547" s="615"/>
      <c r="Q3547" s="616"/>
      <c r="R3547" s="663"/>
      <c r="S3547" s="459"/>
      <c r="T3547" s="459"/>
      <c r="U3547" s="459"/>
      <c r="V3547" s="459"/>
      <c r="W3547" s="459"/>
      <c r="X3547" s="459"/>
      <c r="Y3547" s="666"/>
      <c r="Z3547" s="664"/>
      <c r="AA3547" s="665"/>
      <c r="AB3547" s="665"/>
      <c r="AC3547" s="665"/>
      <c r="AD3547" s="665"/>
      <c r="AE3547" s="665"/>
      <c r="AF3547" s="649"/>
      <c r="AG3547" s="650"/>
      <c r="AH3547" s="650"/>
      <c r="AI3547" s="667"/>
    </row>
    <row r="3548" spans="12:35" ht="45" customHeight="1" thickBot="1" x14ac:dyDescent="0.25">
      <c r="L3548" s="645"/>
      <c r="M3548" s="616"/>
      <c r="N3548" s="616"/>
      <c r="O3548" s="616"/>
      <c r="P3548" s="615"/>
      <c r="Q3548" s="616"/>
      <c r="R3548" s="663"/>
      <c r="S3548" s="459"/>
      <c r="T3548" s="459"/>
      <c r="U3548" s="459"/>
      <c r="V3548" s="459"/>
      <c r="W3548" s="459"/>
      <c r="X3548" s="459"/>
      <c r="Y3548" s="666"/>
      <c r="Z3548" s="664"/>
      <c r="AA3548" s="665"/>
      <c r="AB3548" s="665"/>
      <c r="AC3548" s="665"/>
      <c r="AD3548" s="665"/>
      <c r="AE3548" s="665"/>
      <c r="AF3548" s="649"/>
      <c r="AG3548" s="650"/>
      <c r="AH3548" s="650"/>
      <c r="AI3548" s="667"/>
    </row>
    <row r="3549" spans="12:35" ht="45" customHeight="1" thickBot="1" x14ac:dyDescent="0.25">
      <c r="L3549" s="645"/>
      <c r="M3549" s="616"/>
      <c r="N3549" s="616"/>
      <c r="O3549" s="616"/>
      <c r="P3549" s="615"/>
      <c r="Q3549" s="616"/>
      <c r="R3549" s="663"/>
      <c r="S3549" s="459"/>
      <c r="T3549" s="459"/>
      <c r="U3549" s="459"/>
      <c r="V3549" s="459"/>
      <c r="W3549" s="459"/>
      <c r="X3549" s="459"/>
      <c r="Y3549" s="666"/>
      <c r="Z3549" s="664"/>
      <c r="AA3549" s="665"/>
      <c r="AB3549" s="665"/>
      <c r="AC3549" s="665"/>
      <c r="AD3549" s="665"/>
      <c r="AE3549" s="665"/>
      <c r="AF3549" s="649"/>
      <c r="AG3549" s="650"/>
      <c r="AH3549" s="650"/>
      <c r="AI3549" s="667"/>
    </row>
    <row r="3550" spans="12:35" ht="45" customHeight="1" thickBot="1" x14ac:dyDescent="0.25">
      <c r="L3550" s="645"/>
      <c r="M3550" s="616"/>
      <c r="N3550" s="616"/>
      <c r="O3550" s="616"/>
      <c r="P3550" s="615"/>
      <c r="Q3550" s="616"/>
      <c r="R3550" s="663"/>
      <c r="S3550" s="459"/>
      <c r="T3550" s="459"/>
      <c r="U3550" s="459"/>
      <c r="V3550" s="459"/>
      <c r="W3550" s="459"/>
      <c r="X3550" s="459"/>
      <c r="Y3550" s="666"/>
      <c r="Z3550" s="664"/>
      <c r="AA3550" s="665"/>
      <c r="AB3550" s="665"/>
      <c r="AC3550" s="665"/>
      <c r="AD3550" s="665"/>
      <c r="AE3550" s="665"/>
      <c r="AF3550" s="649"/>
      <c r="AG3550" s="650"/>
      <c r="AH3550" s="650"/>
      <c r="AI3550" s="667"/>
    </row>
    <row r="3551" spans="12:35" ht="45" customHeight="1" thickBot="1" x14ac:dyDescent="0.25">
      <c r="L3551" s="645"/>
      <c r="M3551" s="616"/>
      <c r="N3551" s="616"/>
      <c r="O3551" s="616"/>
      <c r="P3551" s="615"/>
      <c r="Q3551" s="616"/>
      <c r="R3551" s="663"/>
      <c r="S3551" s="459"/>
      <c r="T3551" s="459"/>
      <c r="U3551" s="459"/>
      <c r="V3551" s="459"/>
      <c r="W3551" s="459"/>
      <c r="X3551" s="459"/>
      <c r="Y3551" s="666"/>
      <c r="Z3551" s="664"/>
      <c r="AA3551" s="665"/>
      <c r="AB3551" s="665"/>
      <c r="AC3551" s="665"/>
      <c r="AD3551" s="665"/>
      <c r="AE3551" s="665"/>
      <c r="AF3551" s="649"/>
      <c r="AG3551" s="650"/>
      <c r="AH3551" s="650"/>
      <c r="AI3551" s="667"/>
    </row>
    <row r="3552" spans="12:35" ht="45" customHeight="1" thickBot="1" x14ac:dyDescent="0.25">
      <c r="L3552" s="645"/>
      <c r="M3552" s="616"/>
      <c r="N3552" s="616"/>
      <c r="O3552" s="616"/>
      <c r="P3552" s="615"/>
      <c r="Q3552" s="616"/>
      <c r="R3552" s="663"/>
      <c r="S3552" s="459"/>
      <c r="T3552" s="459"/>
      <c r="U3552" s="459"/>
      <c r="V3552" s="459"/>
      <c r="W3552" s="459"/>
      <c r="X3552" s="459"/>
      <c r="Y3552" s="666"/>
      <c r="Z3552" s="664"/>
      <c r="AA3552" s="665"/>
      <c r="AB3552" s="665"/>
      <c r="AC3552" s="665"/>
      <c r="AD3552" s="665"/>
      <c r="AE3552" s="665"/>
      <c r="AF3552" s="649"/>
      <c r="AG3552" s="650"/>
      <c r="AH3552" s="650"/>
      <c r="AI3552" s="667"/>
    </row>
    <row r="3553" spans="12:35" ht="45" customHeight="1" thickBot="1" x14ac:dyDescent="0.25">
      <c r="L3553" s="645"/>
      <c r="M3553" s="616"/>
      <c r="N3553" s="616"/>
      <c r="O3553" s="616"/>
      <c r="P3553" s="615"/>
      <c r="Q3553" s="616"/>
      <c r="R3553" s="663"/>
      <c r="S3553" s="459"/>
      <c r="T3553" s="459"/>
      <c r="U3553" s="459"/>
      <c r="V3553" s="459"/>
      <c r="W3553" s="459"/>
      <c r="X3553" s="459"/>
      <c r="Y3553" s="666"/>
      <c r="Z3553" s="664"/>
      <c r="AA3553" s="665"/>
      <c r="AB3553" s="665"/>
      <c r="AC3553" s="665"/>
      <c r="AD3553" s="665"/>
      <c r="AE3553" s="665"/>
      <c r="AF3553" s="649"/>
      <c r="AG3553" s="650"/>
      <c r="AH3553" s="650"/>
      <c r="AI3553" s="667"/>
    </row>
    <row r="3554" spans="12:35" ht="45" customHeight="1" thickBot="1" x14ac:dyDescent="0.25">
      <c r="L3554" s="645"/>
      <c r="M3554" s="616"/>
      <c r="N3554" s="616"/>
      <c r="O3554" s="616"/>
      <c r="P3554" s="615"/>
      <c r="Q3554" s="616"/>
      <c r="R3554" s="663"/>
      <c r="S3554" s="459"/>
      <c r="T3554" s="459"/>
      <c r="U3554" s="459"/>
      <c r="V3554" s="459"/>
      <c r="W3554" s="459"/>
      <c r="X3554" s="459"/>
      <c r="Y3554" s="666"/>
      <c r="Z3554" s="664"/>
      <c r="AA3554" s="665"/>
      <c r="AB3554" s="665"/>
      <c r="AC3554" s="665"/>
      <c r="AD3554" s="665"/>
      <c r="AE3554" s="665"/>
      <c r="AF3554" s="649"/>
      <c r="AG3554" s="650"/>
      <c r="AH3554" s="650"/>
      <c r="AI3554" s="667"/>
    </row>
    <row r="3555" spans="12:35" ht="45" customHeight="1" thickBot="1" x14ac:dyDescent="0.25">
      <c r="L3555" s="645"/>
      <c r="M3555" s="616"/>
      <c r="N3555" s="616"/>
      <c r="O3555" s="616"/>
      <c r="P3555" s="615"/>
      <c r="Q3555" s="616"/>
      <c r="R3555" s="663"/>
      <c r="S3555" s="459"/>
      <c r="T3555" s="459"/>
      <c r="U3555" s="459"/>
      <c r="V3555" s="459"/>
      <c r="W3555" s="459"/>
      <c r="X3555" s="459"/>
      <c r="Y3555" s="666"/>
      <c r="Z3555" s="664"/>
      <c r="AA3555" s="665"/>
      <c r="AB3555" s="665"/>
      <c r="AC3555" s="665"/>
      <c r="AD3555" s="665"/>
      <c r="AE3555" s="665"/>
      <c r="AF3555" s="649"/>
      <c r="AG3555" s="650"/>
      <c r="AH3555" s="650"/>
      <c r="AI3555" s="667"/>
    </row>
    <row r="3556" spans="12:35" ht="45" customHeight="1" thickBot="1" x14ac:dyDescent="0.25">
      <c r="L3556" s="645"/>
      <c r="M3556" s="616"/>
      <c r="N3556" s="616"/>
      <c r="O3556" s="616"/>
      <c r="P3556" s="615"/>
      <c r="Q3556" s="616"/>
      <c r="R3556" s="663"/>
      <c r="S3556" s="459"/>
      <c r="T3556" s="459"/>
      <c r="U3556" s="459"/>
      <c r="V3556" s="459"/>
      <c r="W3556" s="459"/>
      <c r="X3556" s="459"/>
      <c r="Y3556" s="666"/>
      <c r="Z3556" s="664"/>
      <c r="AA3556" s="665"/>
      <c r="AB3556" s="665"/>
      <c r="AC3556" s="665"/>
      <c r="AD3556" s="665"/>
      <c r="AE3556" s="665"/>
      <c r="AF3556" s="649"/>
      <c r="AG3556" s="650"/>
      <c r="AH3556" s="650"/>
      <c r="AI3556" s="667"/>
    </row>
    <row r="3557" spans="12:35" ht="45" customHeight="1" thickBot="1" x14ac:dyDescent="0.25">
      <c r="L3557" s="645"/>
      <c r="M3557" s="616"/>
      <c r="N3557" s="616"/>
      <c r="O3557" s="616"/>
      <c r="P3557" s="615"/>
      <c r="Q3557" s="616"/>
      <c r="R3557" s="663"/>
      <c r="S3557" s="459"/>
      <c r="T3557" s="459"/>
      <c r="U3557" s="459"/>
      <c r="V3557" s="459"/>
      <c r="W3557" s="459"/>
      <c r="X3557" s="459"/>
      <c r="Y3557" s="666"/>
      <c r="Z3557" s="664"/>
      <c r="AA3557" s="665"/>
      <c r="AB3557" s="665"/>
      <c r="AC3557" s="665"/>
      <c r="AD3557" s="665"/>
      <c r="AE3557" s="665"/>
      <c r="AF3557" s="649"/>
      <c r="AG3557" s="650"/>
      <c r="AH3557" s="650"/>
      <c r="AI3557" s="667"/>
    </row>
    <row r="3558" spans="12:35" ht="45" customHeight="1" thickBot="1" x14ac:dyDescent="0.25">
      <c r="L3558" s="645"/>
      <c r="M3558" s="616"/>
      <c r="N3558" s="616"/>
      <c r="O3558" s="616"/>
      <c r="P3558" s="615"/>
      <c r="Q3558" s="616"/>
      <c r="R3558" s="663"/>
      <c r="S3558" s="459"/>
      <c r="T3558" s="459"/>
      <c r="U3558" s="459"/>
      <c r="V3558" s="459"/>
      <c r="W3558" s="459"/>
      <c r="X3558" s="459"/>
      <c r="Y3558" s="666"/>
      <c r="Z3558" s="664"/>
      <c r="AA3558" s="665"/>
      <c r="AB3558" s="665"/>
      <c r="AC3558" s="665"/>
      <c r="AD3558" s="665"/>
      <c r="AE3558" s="665"/>
      <c r="AF3558" s="649"/>
      <c r="AG3558" s="650"/>
      <c r="AH3558" s="650"/>
      <c r="AI3558" s="667"/>
    </row>
    <row r="3559" spans="12:35" ht="45" customHeight="1" thickBot="1" x14ac:dyDescent="0.25">
      <c r="L3559" s="645"/>
      <c r="M3559" s="616"/>
      <c r="N3559" s="616"/>
      <c r="O3559" s="616"/>
      <c r="P3559" s="615"/>
      <c r="Q3559" s="616"/>
      <c r="R3559" s="663"/>
      <c r="S3559" s="459"/>
      <c r="T3559" s="459"/>
      <c r="U3559" s="459"/>
      <c r="V3559" s="459"/>
      <c r="W3559" s="459"/>
      <c r="X3559" s="459"/>
      <c r="Y3559" s="666"/>
      <c r="Z3559" s="664"/>
      <c r="AA3559" s="665"/>
      <c r="AB3559" s="665"/>
      <c r="AC3559" s="665"/>
      <c r="AD3559" s="665"/>
      <c r="AE3559" s="665"/>
      <c r="AF3559" s="649"/>
      <c r="AG3559" s="650"/>
      <c r="AH3559" s="650"/>
      <c r="AI3559" s="667"/>
    </row>
    <row r="3560" spans="12:35" ht="45" customHeight="1" thickBot="1" x14ac:dyDescent="0.25">
      <c r="L3560" s="645"/>
      <c r="M3560" s="616"/>
      <c r="N3560" s="616"/>
      <c r="O3560" s="616"/>
      <c r="P3560" s="615"/>
      <c r="Q3560" s="616"/>
      <c r="R3560" s="663"/>
      <c r="S3560" s="459"/>
      <c r="T3560" s="459"/>
      <c r="U3560" s="459"/>
      <c r="V3560" s="459"/>
      <c r="W3560" s="459"/>
      <c r="X3560" s="459"/>
      <c r="Y3560" s="666"/>
      <c r="Z3560" s="664"/>
      <c r="AA3560" s="665"/>
      <c r="AB3560" s="665"/>
      <c r="AC3560" s="665"/>
      <c r="AD3560" s="665"/>
      <c r="AE3560" s="665"/>
      <c r="AF3560" s="649"/>
      <c r="AG3560" s="650"/>
      <c r="AH3560" s="650"/>
      <c r="AI3560" s="667"/>
    </row>
    <row r="3561" spans="12:35" ht="45" customHeight="1" thickBot="1" x14ac:dyDescent="0.25">
      <c r="L3561" s="645"/>
      <c r="M3561" s="616"/>
      <c r="N3561" s="616"/>
      <c r="O3561" s="616"/>
      <c r="P3561" s="615"/>
      <c r="Q3561" s="616"/>
      <c r="R3561" s="663"/>
      <c r="S3561" s="459"/>
      <c r="T3561" s="459"/>
      <c r="U3561" s="459"/>
      <c r="V3561" s="459"/>
      <c r="W3561" s="459"/>
      <c r="X3561" s="459"/>
      <c r="Y3561" s="666"/>
      <c r="Z3561" s="664"/>
      <c r="AA3561" s="665"/>
      <c r="AB3561" s="665"/>
      <c r="AC3561" s="665"/>
      <c r="AD3561" s="665"/>
      <c r="AE3561" s="665"/>
      <c r="AF3561" s="649"/>
      <c r="AG3561" s="650"/>
      <c r="AH3561" s="650"/>
      <c r="AI3561" s="667"/>
    </row>
    <row r="3562" spans="12:35" ht="45" customHeight="1" thickBot="1" x14ac:dyDescent="0.25">
      <c r="L3562" s="645"/>
      <c r="M3562" s="616"/>
      <c r="N3562" s="616"/>
      <c r="O3562" s="616"/>
      <c r="P3562" s="615"/>
      <c r="Q3562" s="616"/>
      <c r="R3562" s="663"/>
      <c r="S3562" s="459"/>
      <c r="T3562" s="459"/>
      <c r="U3562" s="459"/>
      <c r="V3562" s="459"/>
      <c r="W3562" s="459"/>
      <c r="X3562" s="459"/>
      <c r="Y3562" s="666"/>
      <c r="Z3562" s="664"/>
      <c r="AA3562" s="665"/>
      <c r="AB3562" s="665"/>
      <c r="AC3562" s="665"/>
      <c r="AD3562" s="665"/>
      <c r="AE3562" s="665"/>
      <c r="AF3562" s="649"/>
      <c r="AG3562" s="650"/>
      <c r="AH3562" s="650"/>
      <c r="AI3562" s="667"/>
    </row>
    <row r="3563" spans="12:35" ht="45" customHeight="1" thickBot="1" x14ac:dyDescent="0.25">
      <c r="L3563" s="645"/>
      <c r="M3563" s="616"/>
      <c r="N3563" s="616"/>
      <c r="O3563" s="616"/>
      <c r="P3563" s="615"/>
      <c r="Q3563" s="616"/>
      <c r="R3563" s="663"/>
      <c r="S3563" s="459"/>
      <c r="T3563" s="459"/>
      <c r="U3563" s="459"/>
      <c r="V3563" s="459"/>
      <c r="W3563" s="459"/>
      <c r="X3563" s="459"/>
      <c r="Y3563" s="666"/>
      <c r="Z3563" s="664"/>
      <c r="AA3563" s="665"/>
      <c r="AB3563" s="665"/>
      <c r="AC3563" s="665"/>
      <c r="AD3563" s="665"/>
      <c r="AE3563" s="665"/>
      <c r="AF3563" s="649"/>
      <c r="AG3563" s="650"/>
      <c r="AH3563" s="650"/>
      <c r="AI3563" s="667"/>
    </row>
    <row r="3564" spans="12:35" ht="45" customHeight="1" thickBot="1" x14ac:dyDescent="0.25">
      <c r="L3564" s="645"/>
      <c r="M3564" s="616"/>
      <c r="N3564" s="616"/>
      <c r="O3564" s="616"/>
      <c r="P3564" s="615"/>
      <c r="Q3564" s="616"/>
      <c r="R3564" s="663"/>
      <c r="S3564" s="459"/>
      <c r="T3564" s="459"/>
      <c r="U3564" s="459"/>
      <c r="V3564" s="459"/>
      <c r="W3564" s="459"/>
      <c r="X3564" s="459"/>
      <c r="Y3564" s="666"/>
      <c r="Z3564" s="664"/>
      <c r="AA3564" s="665"/>
      <c r="AB3564" s="665"/>
      <c r="AC3564" s="665"/>
      <c r="AD3564" s="665"/>
      <c r="AE3564" s="665"/>
      <c r="AF3564" s="649"/>
      <c r="AG3564" s="650"/>
      <c r="AH3564" s="650"/>
      <c r="AI3564" s="667"/>
    </row>
    <row r="3565" spans="12:35" ht="45" customHeight="1" thickBot="1" x14ac:dyDescent="0.25">
      <c r="L3565" s="645"/>
      <c r="M3565" s="616"/>
      <c r="N3565" s="616"/>
      <c r="O3565" s="616"/>
      <c r="P3565" s="615"/>
      <c r="Q3565" s="616"/>
      <c r="R3565" s="663"/>
      <c r="S3565" s="459"/>
      <c r="T3565" s="459"/>
      <c r="U3565" s="459"/>
      <c r="V3565" s="459"/>
      <c r="W3565" s="459"/>
      <c r="X3565" s="459"/>
      <c r="Y3565" s="666"/>
      <c r="Z3565" s="664"/>
      <c r="AA3565" s="665"/>
      <c r="AB3565" s="665"/>
      <c r="AC3565" s="665"/>
      <c r="AD3565" s="665"/>
      <c r="AE3565" s="665"/>
      <c r="AF3565" s="649"/>
      <c r="AG3565" s="650"/>
      <c r="AH3565" s="650"/>
      <c r="AI3565" s="667"/>
    </row>
    <row r="3566" spans="12:35" ht="45" customHeight="1" thickBot="1" x14ac:dyDescent="0.25">
      <c r="L3566" s="645"/>
      <c r="M3566" s="616"/>
      <c r="N3566" s="616"/>
      <c r="O3566" s="616"/>
      <c r="P3566" s="615"/>
      <c r="Q3566" s="616"/>
      <c r="R3566" s="663"/>
      <c r="S3566" s="459"/>
      <c r="T3566" s="459"/>
      <c r="U3566" s="459"/>
      <c r="V3566" s="459"/>
      <c r="W3566" s="459"/>
      <c r="X3566" s="459"/>
      <c r="Y3566" s="666"/>
      <c r="Z3566" s="664"/>
      <c r="AA3566" s="665"/>
      <c r="AB3566" s="665"/>
      <c r="AC3566" s="665"/>
      <c r="AD3566" s="665"/>
      <c r="AE3566" s="665"/>
      <c r="AF3566" s="649"/>
      <c r="AG3566" s="650"/>
      <c r="AH3566" s="650"/>
      <c r="AI3566" s="667"/>
    </row>
    <row r="3567" spans="12:35" ht="45" customHeight="1" thickBot="1" x14ac:dyDescent="0.25">
      <c r="L3567" s="645"/>
      <c r="M3567" s="616"/>
      <c r="N3567" s="616"/>
      <c r="O3567" s="616"/>
      <c r="P3567" s="615"/>
      <c r="Q3567" s="616"/>
      <c r="R3567" s="663"/>
      <c r="S3567" s="459"/>
      <c r="T3567" s="459"/>
      <c r="U3567" s="459"/>
      <c r="V3567" s="459"/>
      <c r="W3567" s="459"/>
      <c r="X3567" s="459"/>
      <c r="Y3567" s="666"/>
      <c r="Z3567" s="664"/>
      <c r="AA3567" s="665"/>
      <c r="AB3567" s="665"/>
      <c r="AC3567" s="665"/>
      <c r="AD3567" s="665"/>
      <c r="AE3567" s="665"/>
      <c r="AF3567" s="649"/>
      <c r="AG3567" s="650"/>
      <c r="AH3567" s="650"/>
      <c r="AI3567" s="667"/>
    </row>
    <row r="3568" spans="12:35" ht="45" customHeight="1" thickBot="1" x14ac:dyDescent="0.25">
      <c r="L3568" s="645"/>
      <c r="M3568" s="616"/>
      <c r="N3568" s="616"/>
      <c r="O3568" s="616"/>
      <c r="P3568" s="615"/>
      <c r="Q3568" s="616"/>
      <c r="R3568" s="663"/>
      <c r="S3568" s="459"/>
      <c r="T3568" s="459"/>
      <c r="U3568" s="459"/>
      <c r="V3568" s="459"/>
      <c r="W3568" s="459"/>
      <c r="X3568" s="459"/>
      <c r="Y3568" s="666"/>
      <c r="Z3568" s="664"/>
      <c r="AA3568" s="665"/>
      <c r="AB3568" s="665"/>
      <c r="AC3568" s="665"/>
      <c r="AD3568" s="665"/>
      <c r="AE3568" s="665"/>
      <c r="AF3568" s="649"/>
      <c r="AG3568" s="650"/>
      <c r="AH3568" s="650"/>
      <c r="AI3568" s="667"/>
    </row>
    <row r="3569" spans="12:35" ht="45" customHeight="1" thickBot="1" x14ac:dyDescent="0.25">
      <c r="L3569" s="645"/>
      <c r="M3569" s="616"/>
      <c r="N3569" s="616"/>
      <c r="O3569" s="616"/>
      <c r="P3569" s="615"/>
      <c r="Q3569" s="616"/>
      <c r="R3569" s="663"/>
      <c r="S3569" s="459"/>
      <c r="T3569" s="459"/>
      <c r="U3569" s="459"/>
      <c r="V3569" s="459"/>
      <c r="W3569" s="459"/>
      <c r="X3569" s="459"/>
      <c r="Y3569" s="666"/>
      <c r="Z3569" s="664"/>
      <c r="AA3569" s="665"/>
      <c r="AB3569" s="665"/>
      <c r="AC3569" s="665"/>
      <c r="AD3569" s="665"/>
      <c r="AE3569" s="665"/>
      <c r="AF3569" s="649"/>
      <c r="AG3569" s="650"/>
      <c r="AH3569" s="650"/>
      <c r="AI3569" s="667"/>
    </row>
    <row r="3570" spans="12:35" ht="45" customHeight="1" thickBot="1" x14ac:dyDescent="0.25">
      <c r="L3570" s="645"/>
      <c r="M3570" s="616"/>
      <c r="N3570" s="616"/>
      <c r="O3570" s="616"/>
      <c r="P3570" s="615"/>
      <c r="Q3570" s="616"/>
      <c r="R3570" s="663"/>
      <c r="S3570" s="459"/>
      <c r="T3570" s="459"/>
      <c r="U3570" s="459"/>
      <c r="V3570" s="459"/>
      <c r="W3570" s="459"/>
      <c r="X3570" s="459"/>
      <c r="Y3570" s="666"/>
      <c r="Z3570" s="664"/>
      <c r="AA3570" s="665"/>
      <c r="AB3570" s="665"/>
      <c r="AC3570" s="665"/>
      <c r="AD3570" s="665"/>
      <c r="AE3570" s="665"/>
      <c r="AF3570" s="649"/>
      <c r="AG3570" s="650"/>
      <c r="AH3570" s="650"/>
      <c r="AI3570" s="667"/>
    </row>
    <row r="3571" spans="12:35" ht="45" customHeight="1" thickBot="1" x14ac:dyDescent="0.25">
      <c r="L3571" s="645"/>
      <c r="M3571" s="616"/>
      <c r="N3571" s="616"/>
      <c r="O3571" s="616"/>
      <c r="P3571" s="615"/>
      <c r="Q3571" s="616"/>
      <c r="R3571" s="663"/>
      <c r="S3571" s="459"/>
      <c r="T3571" s="459"/>
      <c r="U3571" s="459"/>
      <c r="V3571" s="459"/>
      <c r="W3571" s="459"/>
      <c r="X3571" s="459"/>
      <c r="Y3571" s="666"/>
      <c r="Z3571" s="664"/>
      <c r="AA3571" s="665"/>
      <c r="AB3571" s="665"/>
      <c r="AC3571" s="665"/>
      <c r="AD3571" s="665"/>
      <c r="AE3571" s="665"/>
      <c r="AF3571" s="649"/>
      <c r="AG3571" s="650"/>
      <c r="AH3571" s="650"/>
      <c r="AI3571" s="667"/>
    </row>
    <row r="3572" spans="12:35" ht="45" customHeight="1" thickBot="1" x14ac:dyDescent="0.25">
      <c r="L3572" s="645"/>
      <c r="M3572" s="616"/>
      <c r="N3572" s="616"/>
      <c r="O3572" s="616"/>
      <c r="P3572" s="615"/>
      <c r="Q3572" s="616"/>
      <c r="R3572" s="663"/>
      <c r="S3572" s="459"/>
      <c r="T3572" s="459"/>
      <c r="U3572" s="459"/>
      <c r="V3572" s="459"/>
      <c r="W3572" s="459"/>
      <c r="X3572" s="459"/>
      <c r="Y3572" s="666"/>
      <c r="Z3572" s="664"/>
      <c r="AA3572" s="665"/>
      <c r="AB3572" s="665"/>
      <c r="AC3572" s="665"/>
      <c r="AD3572" s="665"/>
      <c r="AE3572" s="665"/>
      <c r="AF3572" s="649"/>
      <c r="AG3572" s="650"/>
      <c r="AH3572" s="650"/>
      <c r="AI3572" s="667"/>
    </row>
    <row r="3573" spans="12:35" ht="45" customHeight="1" thickBot="1" x14ac:dyDescent="0.25">
      <c r="L3573" s="645"/>
      <c r="M3573" s="616"/>
      <c r="N3573" s="616"/>
      <c r="O3573" s="616"/>
      <c r="P3573" s="615"/>
      <c r="Q3573" s="616"/>
      <c r="R3573" s="663"/>
      <c r="S3573" s="459"/>
      <c r="T3573" s="459"/>
      <c r="U3573" s="459"/>
      <c r="V3573" s="459"/>
      <c r="W3573" s="459"/>
      <c r="X3573" s="459"/>
      <c r="Y3573" s="666"/>
      <c r="Z3573" s="664"/>
      <c r="AA3573" s="665"/>
      <c r="AB3573" s="665"/>
      <c r="AC3573" s="665"/>
      <c r="AD3573" s="665"/>
      <c r="AE3573" s="665"/>
      <c r="AF3573" s="649"/>
      <c r="AG3573" s="650"/>
      <c r="AH3573" s="650"/>
      <c r="AI3573" s="667"/>
    </row>
    <row r="3574" spans="12:35" ht="45" customHeight="1" thickBot="1" x14ac:dyDescent="0.25">
      <c r="L3574" s="645"/>
      <c r="M3574" s="616"/>
      <c r="N3574" s="616"/>
      <c r="O3574" s="616"/>
      <c r="P3574" s="615"/>
      <c r="Q3574" s="616"/>
      <c r="R3574" s="663"/>
      <c r="S3574" s="459"/>
      <c r="T3574" s="459"/>
      <c r="U3574" s="459"/>
      <c r="V3574" s="459"/>
      <c r="W3574" s="459"/>
      <c r="X3574" s="459"/>
      <c r="Y3574" s="666"/>
      <c r="Z3574" s="664"/>
      <c r="AA3574" s="665"/>
      <c r="AB3574" s="665"/>
      <c r="AC3574" s="665"/>
      <c r="AD3574" s="665"/>
      <c r="AE3574" s="665"/>
      <c r="AF3574" s="649"/>
      <c r="AG3574" s="650"/>
      <c r="AH3574" s="650"/>
      <c r="AI3574" s="667"/>
    </row>
    <row r="3575" spans="12:35" ht="45" customHeight="1" thickBot="1" x14ac:dyDescent="0.25">
      <c r="L3575" s="645"/>
      <c r="M3575" s="616"/>
      <c r="N3575" s="616"/>
      <c r="O3575" s="616"/>
      <c r="P3575" s="615"/>
      <c r="Q3575" s="616"/>
      <c r="R3575" s="663"/>
      <c r="S3575" s="459"/>
      <c r="T3575" s="459"/>
      <c r="U3575" s="459"/>
      <c r="V3575" s="459"/>
      <c r="W3575" s="459"/>
      <c r="X3575" s="459"/>
      <c r="Y3575" s="666"/>
      <c r="Z3575" s="664"/>
      <c r="AA3575" s="665"/>
      <c r="AB3575" s="665"/>
      <c r="AC3575" s="665"/>
      <c r="AD3575" s="665"/>
      <c r="AE3575" s="665"/>
      <c r="AF3575" s="649"/>
      <c r="AG3575" s="650"/>
      <c r="AH3575" s="650"/>
      <c r="AI3575" s="667"/>
    </row>
    <row r="3576" spans="12:35" ht="45" customHeight="1" thickBot="1" x14ac:dyDescent="0.25">
      <c r="L3576" s="645"/>
      <c r="M3576" s="616"/>
      <c r="N3576" s="616"/>
      <c r="O3576" s="616"/>
      <c r="P3576" s="615"/>
      <c r="Q3576" s="616"/>
      <c r="R3576" s="663"/>
      <c r="S3576" s="459"/>
      <c r="T3576" s="459"/>
      <c r="U3576" s="459"/>
      <c r="V3576" s="459"/>
      <c r="W3576" s="459"/>
      <c r="X3576" s="459"/>
      <c r="Y3576" s="666"/>
      <c r="Z3576" s="664"/>
      <c r="AA3576" s="665"/>
      <c r="AB3576" s="665"/>
      <c r="AC3576" s="665"/>
      <c r="AD3576" s="665"/>
      <c r="AE3576" s="665"/>
      <c r="AF3576" s="649"/>
      <c r="AG3576" s="650"/>
      <c r="AH3576" s="650"/>
      <c r="AI3576" s="667"/>
    </row>
    <row r="3577" spans="12:35" ht="45" customHeight="1" thickBot="1" x14ac:dyDescent="0.25">
      <c r="L3577" s="645"/>
      <c r="M3577" s="616"/>
      <c r="N3577" s="616"/>
      <c r="O3577" s="616"/>
      <c r="P3577" s="615"/>
      <c r="Q3577" s="616"/>
      <c r="R3577" s="663"/>
      <c r="S3577" s="459"/>
      <c r="T3577" s="459"/>
      <c r="U3577" s="459"/>
      <c r="V3577" s="459"/>
      <c r="W3577" s="459"/>
      <c r="X3577" s="459"/>
      <c r="Y3577" s="666"/>
      <c r="Z3577" s="664"/>
      <c r="AA3577" s="665"/>
      <c r="AB3577" s="665"/>
      <c r="AC3577" s="665"/>
      <c r="AD3577" s="665"/>
      <c r="AE3577" s="665"/>
      <c r="AF3577" s="649"/>
      <c r="AG3577" s="650"/>
      <c r="AH3577" s="650"/>
      <c r="AI3577" s="667"/>
    </row>
    <row r="3578" spans="12:35" ht="45" customHeight="1" thickBot="1" x14ac:dyDescent="0.25">
      <c r="L3578" s="645"/>
      <c r="M3578" s="616"/>
      <c r="N3578" s="616"/>
      <c r="O3578" s="616"/>
      <c r="P3578" s="615"/>
      <c r="Q3578" s="616"/>
      <c r="R3578" s="663"/>
      <c r="S3578" s="459"/>
      <c r="T3578" s="459"/>
      <c r="U3578" s="459"/>
      <c r="V3578" s="459"/>
      <c r="W3578" s="459"/>
      <c r="X3578" s="459"/>
      <c r="Y3578" s="666"/>
      <c r="Z3578" s="664"/>
      <c r="AA3578" s="665"/>
      <c r="AB3578" s="665"/>
      <c r="AC3578" s="665"/>
      <c r="AD3578" s="665"/>
      <c r="AE3578" s="665"/>
      <c r="AF3578" s="649"/>
      <c r="AG3578" s="650"/>
      <c r="AH3578" s="650"/>
      <c r="AI3578" s="667"/>
    </row>
    <row r="3579" spans="12:35" ht="45" customHeight="1" thickBot="1" x14ac:dyDescent="0.25">
      <c r="L3579" s="645"/>
      <c r="M3579" s="616"/>
      <c r="N3579" s="616"/>
      <c r="O3579" s="616"/>
      <c r="P3579" s="615"/>
      <c r="Q3579" s="616"/>
      <c r="R3579" s="663"/>
      <c r="S3579" s="459"/>
      <c r="T3579" s="459"/>
      <c r="U3579" s="459"/>
      <c r="V3579" s="459"/>
      <c r="W3579" s="459"/>
      <c r="X3579" s="459"/>
      <c r="Y3579" s="666"/>
      <c r="Z3579" s="664"/>
      <c r="AA3579" s="665"/>
      <c r="AB3579" s="665"/>
      <c r="AC3579" s="665"/>
      <c r="AD3579" s="665"/>
      <c r="AE3579" s="665"/>
      <c r="AF3579" s="649"/>
      <c r="AG3579" s="650"/>
      <c r="AH3579" s="650"/>
      <c r="AI3579" s="667"/>
    </row>
    <row r="3580" spans="12:35" ht="45" customHeight="1" thickBot="1" x14ac:dyDescent="0.25">
      <c r="L3580" s="645"/>
      <c r="M3580" s="616"/>
      <c r="N3580" s="616"/>
      <c r="O3580" s="616"/>
      <c r="P3580" s="615"/>
      <c r="Q3580" s="616"/>
      <c r="R3580" s="663"/>
      <c r="S3580" s="459"/>
      <c r="T3580" s="459"/>
      <c r="U3580" s="459"/>
      <c r="V3580" s="459"/>
      <c r="W3580" s="459"/>
      <c r="X3580" s="459"/>
      <c r="Y3580" s="666"/>
      <c r="Z3580" s="664"/>
      <c r="AA3580" s="665"/>
      <c r="AB3580" s="665"/>
      <c r="AC3580" s="665"/>
      <c r="AD3580" s="665"/>
      <c r="AE3580" s="665"/>
      <c r="AF3580" s="649"/>
      <c r="AG3580" s="650"/>
      <c r="AH3580" s="650"/>
      <c r="AI3580" s="667"/>
    </row>
    <row r="3581" spans="12:35" ht="45" customHeight="1" thickBot="1" x14ac:dyDescent="0.25">
      <c r="L3581" s="645"/>
      <c r="M3581" s="616"/>
      <c r="N3581" s="616"/>
      <c r="O3581" s="616"/>
      <c r="P3581" s="615"/>
      <c r="Q3581" s="616"/>
      <c r="R3581" s="663"/>
      <c r="S3581" s="459"/>
      <c r="T3581" s="459"/>
      <c r="U3581" s="459"/>
      <c r="V3581" s="459"/>
      <c r="W3581" s="459"/>
      <c r="X3581" s="459"/>
      <c r="Y3581" s="666"/>
      <c r="Z3581" s="664"/>
      <c r="AA3581" s="665"/>
      <c r="AB3581" s="665"/>
      <c r="AC3581" s="665"/>
      <c r="AD3581" s="665"/>
      <c r="AE3581" s="665"/>
      <c r="AF3581" s="649"/>
      <c r="AG3581" s="650"/>
      <c r="AH3581" s="650"/>
      <c r="AI3581" s="667"/>
    </row>
    <row r="3582" spans="12:35" ht="45" customHeight="1" thickBot="1" x14ac:dyDescent="0.25">
      <c r="L3582" s="645"/>
      <c r="M3582" s="616"/>
      <c r="N3582" s="616"/>
      <c r="O3582" s="616"/>
      <c r="P3582" s="615"/>
      <c r="Q3582" s="616"/>
      <c r="R3582" s="663"/>
      <c r="S3582" s="459"/>
      <c r="T3582" s="459"/>
      <c r="U3582" s="459"/>
      <c r="V3582" s="459"/>
      <c r="W3582" s="459"/>
      <c r="X3582" s="459"/>
      <c r="Y3582" s="666"/>
      <c r="Z3582" s="664"/>
      <c r="AA3582" s="665"/>
      <c r="AB3582" s="665"/>
      <c r="AC3582" s="665"/>
      <c r="AD3582" s="665"/>
      <c r="AE3582" s="665"/>
      <c r="AF3582" s="649"/>
      <c r="AG3582" s="650"/>
      <c r="AH3582" s="650"/>
      <c r="AI3582" s="667"/>
    </row>
    <row r="3583" spans="12:35" ht="45" customHeight="1" thickBot="1" x14ac:dyDescent="0.25">
      <c r="L3583" s="645"/>
      <c r="M3583" s="616"/>
      <c r="N3583" s="616"/>
      <c r="O3583" s="616"/>
      <c r="P3583" s="615"/>
      <c r="Q3583" s="616"/>
      <c r="R3583" s="663"/>
      <c r="S3583" s="459"/>
      <c r="T3583" s="459"/>
      <c r="U3583" s="459"/>
      <c r="V3583" s="459"/>
      <c r="W3583" s="459"/>
      <c r="X3583" s="459"/>
      <c r="Y3583" s="666"/>
      <c r="Z3583" s="664"/>
      <c r="AA3583" s="665"/>
      <c r="AB3583" s="665"/>
      <c r="AC3583" s="665"/>
      <c r="AD3583" s="665"/>
      <c r="AE3583" s="665"/>
      <c r="AF3583" s="649"/>
      <c r="AG3583" s="650"/>
      <c r="AH3583" s="650"/>
      <c r="AI3583" s="667"/>
    </row>
    <row r="3584" spans="12:35" ht="45" customHeight="1" thickBot="1" x14ac:dyDescent="0.25">
      <c r="L3584" s="645"/>
      <c r="M3584" s="616"/>
      <c r="N3584" s="616"/>
      <c r="O3584" s="616"/>
      <c r="P3584" s="615"/>
      <c r="Q3584" s="616"/>
      <c r="R3584" s="663"/>
      <c r="S3584" s="459"/>
      <c r="T3584" s="459"/>
      <c r="U3584" s="459"/>
      <c r="V3584" s="459"/>
      <c r="W3584" s="459"/>
      <c r="X3584" s="459"/>
      <c r="Y3584" s="666"/>
      <c r="Z3584" s="664"/>
      <c r="AA3584" s="665"/>
      <c r="AB3584" s="665"/>
      <c r="AC3584" s="665"/>
      <c r="AD3584" s="665"/>
      <c r="AE3584" s="665"/>
      <c r="AF3584" s="649"/>
      <c r="AG3584" s="650"/>
      <c r="AH3584" s="650"/>
      <c r="AI3584" s="667"/>
    </row>
    <row r="3585" spans="12:35" ht="45" customHeight="1" thickBot="1" x14ac:dyDescent="0.25">
      <c r="L3585" s="645"/>
      <c r="M3585" s="616"/>
      <c r="N3585" s="616"/>
      <c r="O3585" s="616"/>
      <c r="P3585" s="615"/>
      <c r="Q3585" s="616"/>
      <c r="R3585" s="663"/>
      <c r="S3585" s="459"/>
      <c r="T3585" s="459"/>
      <c r="U3585" s="459"/>
      <c r="V3585" s="459"/>
      <c r="W3585" s="459"/>
      <c r="X3585" s="459"/>
      <c r="Y3585" s="666"/>
      <c r="Z3585" s="664"/>
      <c r="AA3585" s="665"/>
      <c r="AB3585" s="665"/>
      <c r="AC3585" s="665"/>
      <c r="AD3585" s="665"/>
      <c r="AE3585" s="665"/>
      <c r="AF3585" s="649"/>
      <c r="AG3585" s="650"/>
      <c r="AH3585" s="650"/>
      <c r="AI3585" s="667"/>
    </row>
    <row r="3586" spans="12:35" ht="45" customHeight="1" thickBot="1" x14ac:dyDescent="0.25">
      <c r="L3586" s="645"/>
      <c r="M3586" s="616"/>
      <c r="N3586" s="616"/>
      <c r="O3586" s="616"/>
      <c r="P3586" s="615"/>
      <c r="Q3586" s="616"/>
      <c r="R3586" s="663"/>
      <c r="S3586" s="459"/>
      <c r="T3586" s="459"/>
      <c r="U3586" s="459"/>
      <c r="V3586" s="459"/>
      <c r="W3586" s="459"/>
      <c r="X3586" s="459"/>
      <c r="Y3586" s="666"/>
      <c r="Z3586" s="664"/>
      <c r="AA3586" s="665"/>
      <c r="AB3586" s="665"/>
      <c r="AC3586" s="665"/>
      <c r="AD3586" s="665"/>
      <c r="AE3586" s="665"/>
      <c r="AF3586" s="649"/>
      <c r="AG3586" s="650"/>
      <c r="AH3586" s="650"/>
      <c r="AI3586" s="667"/>
    </row>
    <row r="3587" spans="12:35" ht="45" customHeight="1" thickBot="1" x14ac:dyDescent="0.25">
      <c r="L3587" s="645"/>
      <c r="M3587" s="616"/>
      <c r="N3587" s="616"/>
      <c r="O3587" s="616"/>
      <c r="P3587" s="615"/>
      <c r="Q3587" s="616"/>
      <c r="R3587" s="663"/>
      <c r="S3587" s="459"/>
      <c r="T3587" s="459"/>
      <c r="U3587" s="459"/>
      <c r="V3587" s="459"/>
      <c r="W3587" s="459"/>
      <c r="X3587" s="459"/>
      <c r="Y3587" s="666"/>
      <c r="Z3587" s="664"/>
      <c r="AA3587" s="665"/>
      <c r="AB3587" s="665"/>
      <c r="AC3587" s="665"/>
      <c r="AD3587" s="665"/>
      <c r="AE3587" s="665"/>
      <c r="AF3587" s="649"/>
      <c r="AG3587" s="650"/>
      <c r="AH3587" s="650"/>
      <c r="AI3587" s="667"/>
    </row>
    <row r="3588" spans="12:35" ht="45" customHeight="1" thickBot="1" x14ac:dyDescent="0.25">
      <c r="L3588" s="645"/>
      <c r="M3588" s="616"/>
      <c r="N3588" s="616"/>
      <c r="O3588" s="616"/>
      <c r="P3588" s="615"/>
      <c r="Q3588" s="616"/>
      <c r="R3588" s="663"/>
      <c r="S3588" s="459"/>
      <c r="T3588" s="459"/>
      <c r="U3588" s="459"/>
      <c r="V3588" s="459"/>
      <c r="W3588" s="459"/>
      <c r="X3588" s="459"/>
      <c r="Y3588" s="666"/>
      <c r="Z3588" s="664"/>
      <c r="AA3588" s="665"/>
      <c r="AB3588" s="665"/>
      <c r="AC3588" s="665"/>
      <c r="AD3588" s="665"/>
      <c r="AE3588" s="665"/>
      <c r="AF3588" s="649"/>
      <c r="AG3588" s="650"/>
      <c r="AH3588" s="650"/>
      <c r="AI3588" s="667"/>
    </row>
    <row r="3589" spans="12:35" ht="45" customHeight="1" thickBot="1" x14ac:dyDescent="0.25">
      <c r="L3589" s="645"/>
      <c r="M3589" s="616"/>
      <c r="N3589" s="616"/>
      <c r="O3589" s="616"/>
      <c r="P3589" s="615"/>
      <c r="Q3589" s="616"/>
      <c r="R3589" s="663"/>
      <c r="S3589" s="459"/>
      <c r="T3589" s="459"/>
      <c r="U3589" s="459"/>
      <c r="V3589" s="459"/>
      <c r="W3589" s="459"/>
      <c r="X3589" s="459"/>
      <c r="Y3589" s="666"/>
      <c r="Z3589" s="664"/>
      <c r="AA3589" s="665"/>
      <c r="AB3589" s="665"/>
      <c r="AC3589" s="665"/>
      <c r="AD3589" s="665"/>
      <c r="AE3589" s="665"/>
      <c r="AF3589" s="649"/>
      <c r="AG3589" s="650"/>
      <c r="AH3589" s="650"/>
      <c r="AI3589" s="667"/>
    </row>
    <row r="3590" spans="12:35" ht="45" customHeight="1" thickBot="1" x14ac:dyDescent="0.25">
      <c r="L3590" s="645"/>
      <c r="M3590" s="616"/>
      <c r="N3590" s="616"/>
      <c r="O3590" s="616"/>
      <c r="P3590" s="615"/>
      <c r="Q3590" s="616"/>
      <c r="R3590" s="663"/>
      <c r="S3590" s="459"/>
      <c r="T3590" s="459"/>
      <c r="U3590" s="459"/>
      <c r="V3590" s="459"/>
      <c r="W3590" s="459"/>
      <c r="X3590" s="459"/>
      <c r="Y3590" s="666"/>
      <c r="Z3590" s="664"/>
      <c r="AA3590" s="665"/>
      <c r="AB3590" s="665"/>
      <c r="AC3590" s="665"/>
      <c r="AD3590" s="665"/>
      <c r="AE3590" s="665"/>
      <c r="AF3590" s="649"/>
      <c r="AG3590" s="650"/>
      <c r="AH3590" s="650"/>
      <c r="AI3590" s="667"/>
    </row>
    <row r="3591" spans="12:35" ht="45" customHeight="1" thickBot="1" x14ac:dyDescent="0.25">
      <c r="L3591" s="645"/>
      <c r="M3591" s="616"/>
      <c r="N3591" s="616"/>
      <c r="O3591" s="616"/>
      <c r="P3591" s="615"/>
      <c r="Q3591" s="616"/>
      <c r="R3591" s="663"/>
      <c r="S3591" s="459"/>
      <c r="T3591" s="459"/>
      <c r="U3591" s="459"/>
      <c r="V3591" s="459"/>
      <c r="W3591" s="459"/>
      <c r="X3591" s="459"/>
      <c r="Y3591" s="666"/>
      <c r="Z3591" s="664"/>
      <c r="AA3591" s="665"/>
      <c r="AB3591" s="665"/>
      <c r="AC3591" s="665"/>
      <c r="AD3591" s="665"/>
      <c r="AE3591" s="665"/>
      <c r="AF3591" s="649"/>
      <c r="AG3591" s="650"/>
      <c r="AH3591" s="650"/>
      <c r="AI3591" s="667"/>
    </row>
    <row r="3592" spans="12:35" ht="45" customHeight="1" thickBot="1" x14ac:dyDescent="0.25">
      <c r="L3592" s="645"/>
      <c r="M3592" s="616"/>
      <c r="N3592" s="616"/>
      <c r="O3592" s="616"/>
      <c r="P3592" s="615"/>
      <c r="Q3592" s="616"/>
      <c r="R3592" s="663"/>
      <c r="S3592" s="459"/>
      <c r="T3592" s="459"/>
      <c r="U3592" s="459"/>
      <c r="V3592" s="459"/>
      <c r="W3592" s="459"/>
      <c r="X3592" s="459"/>
      <c r="Y3592" s="666"/>
      <c r="Z3592" s="664"/>
      <c r="AA3592" s="665"/>
      <c r="AB3592" s="665"/>
      <c r="AC3592" s="665"/>
      <c r="AD3592" s="665"/>
      <c r="AE3592" s="665"/>
      <c r="AF3592" s="649"/>
      <c r="AG3592" s="650"/>
      <c r="AH3592" s="650"/>
      <c r="AI3592" s="667"/>
    </row>
    <row r="3593" spans="12:35" ht="45" customHeight="1" thickBot="1" x14ac:dyDescent="0.25">
      <c r="L3593" s="645"/>
      <c r="M3593" s="616"/>
      <c r="N3593" s="616"/>
      <c r="O3593" s="616"/>
      <c r="P3593" s="615"/>
      <c r="Q3593" s="616"/>
      <c r="R3593" s="663"/>
      <c r="S3593" s="459"/>
      <c r="T3593" s="459"/>
      <c r="U3593" s="459"/>
      <c r="V3593" s="459"/>
      <c r="W3593" s="459"/>
      <c r="X3593" s="459"/>
      <c r="Y3593" s="666"/>
      <c r="Z3593" s="664"/>
      <c r="AA3593" s="665"/>
      <c r="AB3593" s="665"/>
      <c r="AC3593" s="665"/>
      <c r="AD3593" s="665"/>
      <c r="AE3593" s="665"/>
      <c r="AF3593" s="649"/>
      <c r="AG3593" s="650"/>
      <c r="AH3593" s="650"/>
      <c r="AI3593" s="667"/>
    </row>
    <row r="3594" spans="12:35" ht="45" customHeight="1" thickBot="1" x14ac:dyDescent="0.25">
      <c r="L3594" s="645"/>
      <c r="M3594" s="616"/>
      <c r="N3594" s="616"/>
      <c r="O3594" s="616"/>
      <c r="P3594" s="615"/>
      <c r="Q3594" s="616"/>
      <c r="R3594" s="663"/>
      <c r="S3594" s="459"/>
      <c r="T3594" s="459"/>
      <c r="U3594" s="459"/>
      <c r="V3594" s="459"/>
      <c r="W3594" s="459"/>
      <c r="X3594" s="459"/>
      <c r="Y3594" s="666"/>
      <c r="Z3594" s="664"/>
      <c r="AA3594" s="665"/>
      <c r="AB3594" s="665"/>
      <c r="AC3594" s="665"/>
      <c r="AD3594" s="665"/>
      <c r="AE3594" s="665"/>
      <c r="AF3594" s="649"/>
      <c r="AG3594" s="650"/>
      <c r="AH3594" s="650"/>
      <c r="AI3594" s="667"/>
    </row>
    <row r="3595" spans="12:35" ht="45" customHeight="1" thickBot="1" x14ac:dyDescent="0.25">
      <c r="L3595" s="645"/>
      <c r="M3595" s="616"/>
      <c r="N3595" s="616"/>
      <c r="O3595" s="616"/>
      <c r="P3595" s="615"/>
      <c r="Q3595" s="616"/>
      <c r="R3595" s="663"/>
      <c r="S3595" s="459"/>
      <c r="T3595" s="459"/>
      <c r="U3595" s="459"/>
      <c r="V3595" s="459"/>
      <c r="W3595" s="459"/>
      <c r="X3595" s="459"/>
      <c r="Y3595" s="666"/>
      <c r="Z3595" s="664"/>
      <c r="AA3595" s="665"/>
      <c r="AB3595" s="665"/>
      <c r="AC3595" s="665"/>
      <c r="AD3595" s="665"/>
      <c r="AE3595" s="665"/>
      <c r="AF3595" s="649"/>
      <c r="AG3595" s="650"/>
      <c r="AH3595" s="650"/>
      <c r="AI3595" s="667"/>
    </row>
    <row r="3596" spans="12:35" ht="45" customHeight="1" thickBot="1" x14ac:dyDescent="0.25">
      <c r="L3596" s="645"/>
      <c r="M3596" s="616"/>
      <c r="N3596" s="616"/>
      <c r="O3596" s="616"/>
      <c r="P3596" s="615"/>
      <c r="Q3596" s="616"/>
      <c r="R3596" s="663"/>
      <c r="S3596" s="459"/>
      <c r="T3596" s="459"/>
      <c r="U3596" s="459"/>
      <c r="V3596" s="459"/>
      <c r="W3596" s="459"/>
      <c r="X3596" s="459"/>
      <c r="Y3596" s="666"/>
      <c r="Z3596" s="664"/>
      <c r="AA3596" s="665"/>
      <c r="AB3596" s="665"/>
      <c r="AC3596" s="665"/>
      <c r="AD3596" s="665"/>
      <c r="AE3596" s="665"/>
      <c r="AF3596" s="649"/>
      <c r="AG3596" s="650"/>
      <c r="AH3596" s="650"/>
      <c r="AI3596" s="667"/>
    </row>
    <row r="3597" spans="12:35" ht="45" customHeight="1" thickBot="1" x14ac:dyDescent="0.25">
      <c r="L3597" s="645"/>
      <c r="M3597" s="616"/>
      <c r="N3597" s="616"/>
      <c r="O3597" s="616"/>
      <c r="P3597" s="615"/>
      <c r="Q3597" s="616"/>
      <c r="R3597" s="663"/>
      <c r="S3597" s="459"/>
      <c r="T3597" s="459"/>
      <c r="U3597" s="459"/>
      <c r="V3597" s="459"/>
      <c r="W3597" s="459"/>
      <c r="X3597" s="459"/>
      <c r="Y3597" s="666"/>
      <c r="Z3597" s="664"/>
      <c r="AA3597" s="665"/>
      <c r="AB3597" s="665"/>
      <c r="AC3597" s="665"/>
      <c r="AD3597" s="665"/>
      <c r="AE3597" s="665"/>
      <c r="AF3597" s="649"/>
      <c r="AG3597" s="650"/>
      <c r="AH3597" s="650"/>
      <c r="AI3597" s="667"/>
    </row>
    <row r="3598" spans="12:35" ht="45" customHeight="1" thickBot="1" x14ac:dyDescent="0.25">
      <c r="L3598" s="645"/>
      <c r="M3598" s="616"/>
      <c r="N3598" s="616"/>
      <c r="O3598" s="616"/>
      <c r="P3598" s="615"/>
      <c r="Q3598" s="616"/>
      <c r="R3598" s="663"/>
      <c r="S3598" s="459"/>
      <c r="T3598" s="459"/>
      <c r="U3598" s="459"/>
      <c r="V3598" s="459"/>
      <c r="W3598" s="459"/>
      <c r="X3598" s="459"/>
      <c r="Y3598" s="666"/>
      <c r="Z3598" s="664"/>
      <c r="AA3598" s="665"/>
      <c r="AB3598" s="665"/>
      <c r="AC3598" s="665"/>
      <c r="AD3598" s="665"/>
      <c r="AE3598" s="665"/>
      <c r="AF3598" s="649"/>
      <c r="AG3598" s="650"/>
      <c r="AH3598" s="650"/>
      <c r="AI3598" s="667"/>
    </row>
    <row r="3599" spans="12:35" ht="45" customHeight="1" thickBot="1" x14ac:dyDescent="0.25">
      <c r="L3599" s="645"/>
      <c r="M3599" s="616"/>
      <c r="N3599" s="616"/>
      <c r="O3599" s="616"/>
      <c r="P3599" s="615"/>
      <c r="Q3599" s="616"/>
      <c r="R3599" s="663"/>
      <c r="S3599" s="459"/>
      <c r="T3599" s="459"/>
      <c r="U3599" s="459"/>
      <c r="V3599" s="459"/>
      <c r="W3599" s="459"/>
      <c r="X3599" s="459"/>
      <c r="Y3599" s="666"/>
      <c r="Z3599" s="664"/>
      <c r="AA3599" s="665"/>
      <c r="AB3599" s="665"/>
      <c r="AC3599" s="665"/>
      <c r="AD3599" s="665"/>
      <c r="AE3599" s="665"/>
      <c r="AF3599" s="649"/>
      <c r="AG3599" s="650"/>
      <c r="AH3599" s="650"/>
      <c r="AI3599" s="667"/>
    </row>
    <row r="3600" spans="12:35" ht="45" customHeight="1" thickBot="1" x14ac:dyDescent="0.25">
      <c r="L3600" s="645"/>
      <c r="M3600" s="616"/>
      <c r="N3600" s="616"/>
      <c r="O3600" s="616"/>
      <c r="P3600" s="615"/>
      <c r="Q3600" s="616"/>
      <c r="R3600" s="663"/>
      <c r="S3600" s="459"/>
      <c r="T3600" s="459"/>
      <c r="U3600" s="459"/>
      <c r="V3600" s="459"/>
      <c r="W3600" s="459"/>
      <c r="X3600" s="459"/>
      <c r="Y3600" s="666"/>
      <c r="Z3600" s="664"/>
      <c r="AA3600" s="665"/>
      <c r="AB3600" s="665"/>
      <c r="AC3600" s="665"/>
      <c r="AD3600" s="665"/>
      <c r="AE3600" s="665"/>
      <c r="AF3600" s="649"/>
      <c r="AG3600" s="650"/>
      <c r="AH3600" s="650"/>
      <c r="AI3600" s="667"/>
    </row>
    <row r="3601" spans="12:35" ht="45" customHeight="1" thickBot="1" x14ac:dyDescent="0.25">
      <c r="L3601" s="645"/>
      <c r="M3601" s="616"/>
      <c r="N3601" s="616"/>
      <c r="O3601" s="616"/>
      <c r="P3601" s="615"/>
      <c r="Q3601" s="616"/>
      <c r="R3601" s="663"/>
      <c r="S3601" s="459"/>
      <c r="T3601" s="459"/>
      <c r="U3601" s="459"/>
      <c r="V3601" s="459"/>
      <c r="W3601" s="459"/>
      <c r="X3601" s="459"/>
      <c r="Y3601" s="666"/>
      <c r="Z3601" s="664"/>
      <c r="AA3601" s="665"/>
      <c r="AB3601" s="665"/>
      <c r="AC3601" s="665"/>
      <c r="AD3601" s="665"/>
      <c r="AE3601" s="665"/>
      <c r="AF3601" s="649"/>
      <c r="AG3601" s="650"/>
      <c r="AH3601" s="650"/>
      <c r="AI3601" s="667"/>
    </row>
    <row r="3602" spans="12:35" ht="45" customHeight="1" thickBot="1" x14ac:dyDescent="0.25">
      <c r="L3602" s="645"/>
      <c r="M3602" s="616"/>
      <c r="N3602" s="616"/>
      <c r="O3602" s="616"/>
      <c r="P3602" s="615"/>
      <c r="Q3602" s="616"/>
      <c r="R3602" s="663"/>
      <c r="S3602" s="459"/>
      <c r="T3602" s="459"/>
      <c r="U3602" s="459"/>
      <c r="V3602" s="459"/>
      <c r="W3602" s="459"/>
      <c r="X3602" s="459"/>
      <c r="Y3602" s="666"/>
      <c r="Z3602" s="664"/>
      <c r="AA3602" s="665"/>
      <c r="AB3602" s="665"/>
      <c r="AC3602" s="665"/>
      <c r="AD3602" s="665"/>
      <c r="AE3602" s="665"/>
      <c r="AF3602" s="649"/>
      <c r="AG3602" s="650"/>
      <c r="AH3602" s="650"/>
      <c r="AI3602" s="667"/>
    </row>
    <row r="3603" spans="12:35" ht="45" customHeight="1" thickBot="1" x14ac:dyDescent="0.25">
      <c r="L3603" s="645"/>
      <c r="M3603" s="616"/>
      <c r="N3603" s="616"/>
      <c r="O3603" s="616"/>
      <c r="P3603" s="615"/>
      <c r="Q3603" s="616"/>
      <c r="R3603" s="663"/>
      <c r="S3603" s="459"/>
      <c r="T3603" s="459"/>
      <c r="U3603" s="459"/>
      <c r="V3603" s="459"/>
      <c r="W3603" s="459"/>
      <c r="X3603" s="459"/>
      <c r="Y3603" s="666"/>
      <c r="Z3603" s="664"/>
      <c r="AA3603" s="665"/>
      <c r="AB3603" s="665"/>
      <c r="AC3603" s="665"/>
      <c r="AD3603" s="665"/>
      <c r="AE3603" s="665"/>
      <c r="AF3603" s="649"/>
      <c r="AG3603" s="650"/>
      <c r="AH3603" s="650"/>
      <c r="AI3603" s="667"/>
    </row>
    <row r="3604" spans="12:35" ht="45" customHeight="1" thickBot="1" x14ac:dyDescent="0.25">
      <c r="L3604" s="645"/>
      <c r="M3604" s="616"/>
      <c r="N3604" s="616"/>
      <c r="O3604" s="616"/>
      <c r="P3604" s="615"/>
      <c r="Q3604" s="616"/>
      <c r="R3604" s="663"/>
      <c r="S3604" s="459"/>
      <c r="T3604" s="459"/>
      <c r="U3604" s="459"/>
      <c r="V3604" s="459"/>
      <c r="W3604" s="459"/>
      <c r="X3604" s="459"/>
      <c r="Y3604" s="666"/>
      <c r="Z3604" s="664"/>
      <c r="AA3604" s="665"/>
      <c r="AB3604" s="665"/>
      <c r="AC3604" s="665"/>
      <c r="AD3604" s="665"/>
      <c r="AE3604" s="665"/>
      <c r="AF3604" s="649"/>
      <c r="AG3604" s="650"/>
      <c r="AH3604" s="650"/>
      <c r="AI3604" s="667"/>
    </row>
    <row r="3605" spans="12:35" ht="45" customHeight="1" thickBot="1" x14ac:dyDescent="0.25">
      <c r="L3605" s="645"/>
      <c r="M3605" s="616"/>
      <c r="N3605" s="616"/>
      <c r="O3605" s="616"/>
      <c r="P3605" s="615"/>
      <c r="Q3605" s="616"/>
      <c r="R3605" s="663"/>
      <c r="S3605" s="459"/>
      <c r="T3605" s="459"/>
      <c r="U3605" s="459"/>
      <c r="V3605" s="459"/>
      <c r="W3605" s="459"/>
      <c r="X3605" s="459"/>
      <c r="Y3605" s="666"/>
      <c r="Z3605" s="664"/>
      <c r="AA3605" s="665"/>
      <c r="AB3605" s="665"/>
      <c r="AC3605" s="665"/>
      <c r="AD3605" s="665"/>
      <c r="AE3605" s="665"/>
      <c r="AF3605" s="649"/>
      <c r="AG3605" s="650"/>
      <c r="AH3605" s="650"/>
      <c r="AI3605" s="667"/>
    </row>
    <row r="3606" spans="12:35" ht="45" customHeight="1" thickBot="1" x14ac:dyDescent="0.25">
      <c r="L3606" s="645"/>
      <c r="M3606" s="616"/>
      <c r="N3606" s="616"/>
      <c r="O3606" s="616"/>
      <c r="P3606" s="615"/>
      <c r="Q3606" s="616"/>
      <c r="R3606" s="663"/>
      <c r="S3606" s="459"/>
      <c r="T3606" s="459"/>
      <c r="U3606" s="459"/>
      <c r="V3606" s="459"/>
      <c r="W3606" s="459"/>
      <c r="X3606" s="459"/>
      <c r="Y3606" s="666"/>
      <c r="Z3606" s="664"/>
      <c r="AA3606" s="665"/>
      <c r="AB3606" s="665"/>
      <c r="AC3606" s="665"/>
      <c r="AD3606" s="665"/>
      <c r="AE3606" s="665"/>
      <c r="AF3606" s="649"/>
      <c r="AG3606" s="650"/>
      <c r="AH3606" s="650"/>
      <c r="AI3606" s="667"/>
    </row>
    <row r="3607" spans="12:35" ht="45" customHeight="1" thickBot="1" x14ac:dyDescent="0.25">
      <c r="L3607" s="645"/>
      <c r="M3607" s="616"/>
      <c r="N3607" s="616"/>
      <c r="O3607" s="616"/>
      <c r="P3607" s="615"/>
      <c r="Q3607" s="616"/>
      <c r="R3607" s="663"/>
      <c r="S3607" s="459"/>
      <c r="T3607" s="459"/>
      <c r="U3607" s="459"/>
      <c r="V3607" s="459"/>
      <c r="W3607" s="459"/>
      <c r="X3607" s="459"/>
      <c r="Y3607" s="666"/>
      <c r="Z3607" s="664"/>
      <c r="AA3607" s="665"/>
      <c r="AB3607" s="665"/>
      <c r="AC3607" s="665"/>
      <c r="AD3607" s="665"/>
      <c r="AE3607" s="665"/>
      <c r="AF3607" s="649"/>
      <c r="AG3607" s="650"/>
      <c r="AH3607" s="650"/>
      <c r="AI3607" s="667"/>
    </row>
    <row r="3608" spans="12:35" ht="45" customHeight="1" thickBot="1" x14ac:dyDescent="0.25">
      <c r="L3608" s="645"/>
      <c r="M3608" s="616"/>
      <c r="N3608" s="616"/>
      <c r="O3608" s="616"/>
      <c r="P3608" s="615"/>
      <c r="Q3608" s="616"/>
      <c r="R3608" s="663"/>
      <c r="S3608" s="459"/>
      <c r="T3608" s="459"/>
      <c r="U3608" s="459"/>
      <c r="V3608" s="459"/>
      <c r="W3608" s="459"/>
      <c r="X3608" s="459"/>
      <c r="Y3608" s="666"/>
      <c r="Z3608" s="664"/>
      <c r="AA3608" s="665"/>
      <c r="AB3608" s="665"/>
      <c r="AC3608" s="665"/>
      <c r="AD3608" s="665"/>
      <c r="AE3608" s="665"/>
      <c r="AF3608" s="649"/>
      <c r="AG3608" s="650"/>
      <c r="AH3608" s="650"/>
      <c r="AI3608" s="667"/>
    </row>
    <row r="3609" spans="12:35" ht="45" customHeight="1" thickBot="1" x14ac:dyDescent="0.25">
      <c r="L3609" s="645"/>
      <c r="M3609" s="616"/>
      <c r="N3609" s="616"/>
      <c r="O3609" s="616"/>
      <c r="P3609" s="615"/>
      <c r="Q3609" s="616"/>
      <c r="R3609" s="663"/>
      <c r="S3609" s="459"/>
      <c r="T3609" s="459"/>
      <c r="U3609" s="459"/>
      <c r="V3609" s="459"/>
      <c r="W3609" s="459"/>
      <c r="X3609" s="459"/>
      <c r="Y3609" s="666"/>
      <c r="Z3609" s="664"/>
      <c r="AA3609" s="665"/>
      <c r="AB3609" s="665"/>
      <c r="AC3609" s="665"/>
      <c r="AD3609" s="665"/>
      <c r="AE3609" s="665"/>
      <c r="AF3609" s="649"/>
      <c r="AG3609" s="650"/>
      <c r="AH3609" s="650"/>
      <c r="AI3609" s="667"/>
    </row>
    <row r="3610" spans="12:35" ht="45" customHeight="1" thickBot="1" x14ac:dyDescent="0.25">
      <c r="L3610" s="645"/>
      <c r="M3610" s="616"/>
      <c r="N3610" s="616"/>
      <c r="O3610" s="616"/>
      <c r="P3610" s="615"/>
      <c r="Q3610" s="616"/>
      <c r="R3610" s="663"/>
      <c r="S3610" s="459"/>
      <c r="T3610" s="459"/>
      <c r="U3610" s="459"/>
      <c r="V3610" s="459"/>
      <c r="W3610" s="459"/>
      <c r="X3610" s="459"/>
      <c r="Y3610" s="666"/>
      <c r="Z3610" s="664"/>
      <c r="AA3610" s="665"/>
      <c r="AB3610" s="665"/>
      <c r="AC3610" s="665"/>
      <c r="AD3610" s="665"/>
      <c r="AE3610" s="665"/>
      <c r="AF3610" s="649"/>
      <c r="AG3610" s="650"/>
      <c r="AH3610" s="650"/>
      <c r="AI3610" s="667"/>
    </row>
    <row r="3611" spans="12:35" ht="45" customHeight="1" thickBot="1" x14ac:dyDescent="0.25">
      <c r="L3611" s="645"/>
      <c r="M3611" s="616"/>
      <c r="N3611" s="616"/>
      <c r="O3611" s="616"/>
      <c r="P3611" s="615"/>
      <c r="Q3611" s="616"/>
      <c r="R3611" s="663"/>
      <c r="S3611" s="459"/>
      <c r="T3611" s="459"/>
      <c r="U3611" s="459"/>
      <c r="V3611" s="459"/>
      <c r="W3611" s="459"/>
      <c r="X3611" s="459"/>
      <c r="Y3611" s="666"/>
      <c r="Z3611" s="664"/>
      <c r="AA3611" s="665"/>
      <c r="AB3611" s="665"/>
      <c r="AC3611" s="665"/>
      <c r="AD3611" s="665"/>
      <c r="AE3611" s="665"/>
      <c r="AF3611" s="649"/>
      <c r="AG3611" s="650"/>
      <c r="AH3611" s="650"/>
      <c r="AI3611" s="667"/>
    </row>
    <row r="3612" spans="12:35" ht="45" customHeight="1" thickBot="1" x14ac:dyDescent="0.25">
      <c r="L3612" s="645"/>
      <c r="M3612" s="616"/>
      <c r="N3612" s="616"/>
      <c r="O3612" s="616"/>
      <c r="P3612" s="615"/>
      <c r="Q3612" s="616"/>
      <c r="R3612" s="663"/>
      <c r="S3612" s="459"/>
      <c r="T3612" s="459"/>
      <c r="U3612" s="459"/>
      <c r="V3612" s="459"/>
      <c r="W3612" s="459"/>
      <c r="X3612" s="459"/>
      <c r="Y3612" s="666"/>
      <c r="Z3612" s="664"/>
      <c r="AA3612" s="665"/>
      <c r="AB3612" s="665"/>
      <c r="AC3612" s="665"/>
      <c r="AD3612" s="665"/>
      <c r="AE3612" s="665"/>
      <c r="AF3612" s="649"/>
      <c r="AG3612" s="650"/>
      <c r="AH3612" s="650"/>
      <c r="AI3612" s="667"/>
    </row>
    <row r="3613" spans="12:35" ht="45" customHeight="1" thickBot="1" x14ac:dyDescent="0.25">
      <c r="L3613" s="645"/>
      <c r="M3613" s="616"/>
      <c r="N3613" s="616"/>
      <c r="O3613" s="616"/>
      <c r="P3613" s="615"/>
      <c r="Q3613" s="616"/>
      <c r="R3613" s="663"/>
      <c r="S3613" s="459"/>
      <c r="T3613" s="459"/>
      <c r="U3613" s="459"/>
      <c r="V3613" s="459"/>
      <c r="W3613" s="459"/>
      <c r="X3613" s="459"/>
      <c r="Y3613" s="666"/>
      <c r="Z3613" s="664"/>
      <c r="AA3613" s="665"/>
      <c r="AB3613" s="665"/>
      <c r="AC3613" s="665"/>
      <c r="AD3613" s="665"/>
      <c r="AE3613" s="665"/>
      <c r="AF3613" s="649"/>
      <c r="AG3613" s="650"/>
      <c r="AH3613" s="650"/>
      <c r="AI3613" s="667"/>
    </row>
    <row r="3614" spans="12:35" ht="45" customHeight="1" thickBot="1" x14ac:dyDescent="0.25">
      <c r="L3614" s="645"/>
      <c r="M3614" s="616"/>
      <c r="N3614" s="616"/>
      <c r="O3614" s="616"/>
      <c r="P3614" s="615"/>
      <c r="Q3614" s="616"/>
      <c r="R3614" s="663"/>
      <c r="S3614" s="459"/>
      <c r="T3614" s="459"/>
      <c r="U3614" s="459"/>
      <c r="V3614" s="459"/>
      <c r="W3614" s="459"/>
      <c r="X3614" s="459"/>
      <c r="Y3614" s="666"/>
      <c r="Z3614" s="664"/>
      <c r="AA3614" s="665"/>
      <c r="AB3614" s="665"/>
      <c r="AC3614" s="665"/>
      <c r="AD3614" s="665"/>
      <c r="AE3614" s="665"/>
      <c r="AF3614" s="649"/>
      <c r="AG3614" s="650"/>
      <c r="AH3614" s="650"/>
      <c r="AI3614" s="667"/>
    </row>
    <row r="3615" spans="12:35" ht="45" customHeight="1" thickBot="1" x14ac:dyDescent="0.25">
      <c r="L3615" s="645"/>
      <c r="M3615" s="616"/>
      <c r="N3615" s="616"/>
      <c r="O3615" s="616"/>
      <c r="P3615" s="615"/>
      <c r="Q3615" s="616"/>
      <c r="R3615" s="663"/>
      <c r="S3615" s="459"/>
      <c r="T3615" s="459"/>
      <c r="U3615" s="459"/>
      <c r="V3615" s="459"/>
      <c r="W3615" s="459"/>
      <c r="X3615" s="459"/>
      <c r="Y3615" s="666"/>
      <c r="Z3615" s="664"/>
      <c r="AA3615" s="665"/>
      <c r="AB3615" s="665"/>
      <c r="AC3615" s="665"/>
      <c r="AD3615" s="665"/>
      <c r="AE3615" s="665"/>
      <c r="AF3615" s="649"/>
      <c r="AG3615" s="650"/>
      <c r="AH3615" s="650"/>
      <c r="AI3615" s="667"/>
    </row>
    <row r="3616" spans="12:35" ht="45" customHeight="1" thickBot="1" x14ac:dyDescent="0.25">
      <c r="L3616" s="645"/>
      <c r="M3616" s="616"/>
      <c r="N3616" s="616"/>
      <c r="O3616" s="616"/>
      <c r="P3616" s="615"/>
      <c r="Q3616" s="616"/>
      <c r="R3616" s="663"/>
      <c r="S3616" s="459"/>
      <c r="T3616" s="459"/>
      <c r="U3616" s="459"/>
      <c r="V3616" s="459"/>
      <c r="W3616" s="459"/>
      <c r="X3616" s="459"/>
      <c r="Y3616" s="666"/>
      <c r="Z3616" s="664"/>
      <c r="AA3616" s="665"/>
      <c r="AB3616" s="665"/>
      <c r="AC3616" s="665"/>
      <c r="AD3616" s="665"/>
      <c r="AE3616" s="665"/>
      <c r="AF3616" s="649"/>
      <c r="AG3616" s="650"/>
      <c r="AH3616" s="650"/>
      <c r="AI3616" s="667"/>
    </row>
    <row r="3617" spans="12:35" ht="45" customHeight="1" thickBot="1" x14ac:dyDescent="0.25">
      <c r="L3617" s="645"/>
      <c r="M3617" s="616"/>
      <c r="N3617" s="616"/>
      <c r="O3617" s="616"/>
      <c r="P3617" s="615"/>
      <c r="Q3617" s="616"/>
      <c r="R3617" s="663"/>
      <c r="S3617" s="459"/>
      <c r="T3617" s="459"/>
      <c r="U3617" s="459"/>
      <c r="V3617" s="459"/>
      <c r="W3617" s="459"/>
      <c r="X3617" s="459"/>
      <c r="Y3617" s="666"/>
      <c r="Z3617" s="664"/>
      <c r="AA3617" s="665"/>
      <c r="AB3617" s="665"/>
      <c r="AC3617" s="665"/>
      <c r="AD3617" s="665"/>
      <c r="AE3617" s="665"/>
      <c r="AF3617" s="649"/>
      <c r="AG3617" s="650"/>
      <c r="AH3617" s="650"/>
      <c r="AI3617" s="667"/>
    </row>
    <row r="3618" spans="12:35" ht="45" customHeight="1" thickBot="1" x14ac:dyDescent="0.25">
      <c r="L3618" s="645"/>
      <c r="M3618" s="616"/>
      <c r="N3618" s="616"/>
      <c r="O3618" s="616"/>
      <c r="P3618" s="615"/>
      <c r="Q3618" s="616"/>
      <c r="R3618" s="663"/>
      <c r="S3618" s="459"/>
      <c r="T3618" s="459"/>
      <c r="U3618" s="459"/>
      <c r="V3618" s="459"/>
      <c r="W3618" s="459"/>
      <c r="X3618" s="459"/>
      <c r="Y3618" s="666"/>
      <c r="Z3618" s="664"/>
      <c r="AA3618" s="665"/>
      <c r="AB3618" s="665"/>
      <c r="AC3618" s="665"/>
      <c r="AD3618" s="665"/>
      <c r="AE3618" s="665"/>
      <c r="AF3618" s="649"/>
      <c r="AG3618" s="650"/>
      <c r="AH3618" s="650"/>
      <c r="AI3618" s="667"/>
    </row>
    <row r="3619" spans="12:35" ht="45" customHeight="1" thickBot="1" x14ac:dyDescent="0.25">
      <c r="L3619" s="645"/>
      <c r="M3619" s="616"/>
      <c r="N3619" s="616"/>
      <c r="O3619" s="616"/>
      <c r="P3619" s="615"/>
      <c r="Q3619" s="616"/>
      <c r="R3619" s="663"/>
      <c r="S3619" s="459"/>
      <c r="T3619" s="459"/>
      <c r="U3619" s="459"/>
      <c r="V3619" s="459"/>
      <c r="W3619" s="459"/>
      <c r="X3619" s="459"/>
      <c r="Y3619" s="666"/>
      <c r="Z3619" s="664"/>
      <c r="AA3619" s="665"/>
      <c r="AB3619" s="665"/>
      <c r="AC3619" s="665"/>
      <c r="AD3619" s="665"/>
      <c r="AE3619" s="665"/>
      <c r="AF3619" s="649"/>
      <c r="AG3619" s="650"/>
      <c r="AH3619" s="650"/>
      <c r="AI3619" s="667"/>
    </row>
    <row r="3620" spans="12:35" ht="45" customHeight="1" thickBot="1" x14ac:dyDescent="0.25">
      <c r="L3620" s="645"/>
      <c r="M3620" s="616"/>
      <c r="N3620" s="616"/>
      <c r="O3620" s="616"/>
      <c r="P3620" s="615"/>
      <c r="Q3620" s="616"/>
      <c r="R3620" s="663"/>
      <c r="S3620" s="459"/>
      <c r="T3620" s="459"/>
      <c r="U3620" s="459"/>
      <c r="V3620" s="459"/>
      <c r="W3620" s="459"/>
      <c r="X3620" s="459"/>
      <c r="Y3620" s="666"/>
      <c r="Z3620" s="664"/>
      <c r="AA3620" s="665"/>
      <c r="AB3620" s="665"/>
      <c r="AC3620" s="665"/>
      <c r="AD3620" s="665"/>
      <c r="AE3620" s="665"/>
      <c r="AF3620" s="649"/>
      <c r="AG3620" s="650"/>
      <c r="AH3620" s="650"/>
      <c r="AI3620" s="667"/>
    </row>
    <row r="3621" spans="12:35" ht="45" customHeight="1" thickBot="1" x14ac:dyDescent="0.25">
      <c r="L3621" s="645"/>
      <c r="M3621" s="616"/>
      <c r="N3621" s="616"/>
      <c r="O3621" s="616"/>
      <c r="P3621" s="615"/>
      <c r="Q3621" s="616"/>
      <c r="R3621" s="663"/>
      <c r="S3621" s="459"/>
      <c r="T3621" s="459"/>
      <c r="U3621" s="459"/>
      <c r="V3621" s="459"/>
      <c r="W3621" s="459"/>
      <c r="X3621" s="459"/>
      <c r="Y3621" s="666"/>
      <c r="Z3621" s="664"/>
      <c r="AA3621" s="665"/>
      <c r="AB3621" s="665"/>
      <c r="AC3621" s="665"/>
      <c r="AD3621" s="665"/>
      <c r="AE3621" s="665"/>
      <c r="AF3621" s="649"/>
      <c r="AG3621" s="650"/>
      <c r="AH3621" s="650"/>
      <c r="AI3621" s="667"/>
    </row>
    <row r="3622" spans="12:35" ht="45" customHeight="1" thickBot="1" x14ac:dyDescent="0.25">
      <c r="L3622" s="645"/>
      <c r="M3622" s="616"/>
      <c r="N3622" s="616"/>
      <c r="O3622" s="616"/>
      <c r="P3622" s="615"/>
      <c r="Q3622" s="616"/>
      <c r="R3622" s="663"/>
      <c r="S3622" s="459"/>
      <c r="T3622" s="459"/>
      <c r="U3622" s="459"/>
      <c r="V3622" s="459"/>
      <c r="W3622" s="459"/>
      <c r="X3622" s="459"/>
      <c r="Y3622" s="666"/>
      <c r="Z3622" s="664"/>
      <c r="AA3622" s="665"/>
      <c r="AB3622" s="665"/>
      <c r="AC3622" s="665"/>
      <c r="AD3622" s="665"/>
      <c r="AE3622" s="665"/>
      <c r="AF3622" s="649"/>
      <c r="AG3622" s="650"/>
      <c r="AH3622" s="650"/>
      <c r="AI3622" s="667"/>
    </row>
    <row r="3623" spans="12:35" ht="45" customHeight="1" thickBot="1" x14ac:dyDescent="0.25">
      <c r="L3623" s="645"/>
      <c r="M3623" s="616"/>
      <c r="N3623" s="616"/>
      <c r="O3623" s="616"/>
      <c r="P3623" s="615"/>
      <c r="Q3623" s="616"/>
      <c r="R3623" s="663"/>
      <c r="S3623" s="459"/>
      <c r="T3623" s="459"/>
      <c r="U3623" s="459"/>
      <c r="V3623" s="459"/>
      <c r="W3623" s="459"/>
      <c r="X3623" s="459"/>
      <c r="Y3623" s="666"/>
      <c r="Z3623" s="664"/>
      <c r="AA3623" s="665"/>
      <c r="AB3623" s="665"/>
      <c r="AC3623" s="665"/>
      <c r="AD3623" s="665"/>
      <c r="AE3623" s="665"/>
      <c r="AF3623" s="649"/>
      <c r="AG3623" s="650"/>
      <c r="AH3623" s="650"/>
      <c r="AI3623" s="667"/>
    </row>
    <row r="3624" spans="12:35" ht="45" customHeight="1" thickBot="1" x14ac:dyDescent="0.25">
      <c r="L3624" s="645"/>
      <c r="M3624" s="616"/>
      <c r="N3624" s="616"/>
      <c r="O3624" s="616"/>
      <c r="P3624" s="615"/>
      <c r="Q3624" s="616"/>
      <c r="R3624" s="663"/>
      <c r="S3624" s="459"/>
      <c r="T3624" s="459"/>
      <c r="U3624" s="459"/>
      <c r="V3624" s="459"/>
      <c r="W3624" s="459"/>
      <c r="X3624" s="459"/>
      <c r="Y3624" s="666"/>
      <c r="Z3624" s="664"/>
      <c r="AA3624" s="665"/>
      <c r="AB3624" s="665"/>
      <c r="AC3624" s="665"/>
      <c r="AD3624" s="665"/>
      <c r="AE3624" s="665"/>
      <c r="AF3624" s="649"/>
      <c r="AG3624" s="650"/>
      <c r="AH3624" s="650"/>
      <c r="AI3624" s="667"/>
    </row>
    <row r="3625" spans="12:35" ht="45" customHeight="1" thickBot="1" x14ac:dyDescent="0.25">
      <c r="L3625" s="645"/>
      <c r="M3625" s="616"/>
      <c r="N3625" s="616"/>
      <c r="O3625" s="616"/>
      <c r="P3625" s="615"/>
      <c r="Q3625" s="616"/>
      <c r="R3625" s="663"/>
      <c r="S3625" s="459"/>
      <c r="T3625" s="459"/>
      <c r="U3625" s="459"/>
      <c r="V3625" s="459"/>
      <c r="W3625" s="459"/>
      <c r="X3625" s="459"/>
      <c r="Y3625" s="666"/>
      <c r="Z3625" s="664"/>
      <c r="AA3625" s="665"/>
      <c r="AB3625" s="665"/>
      <c r="AC3625" s="665"/>
      <c r="AD3625" s="665"/>
      <c r="AE3625" s="665"/>
      <c r="AF3625" s="649"/>
      <c r="AG3625" s="650"/>
      <c r="AH3625" s="650"/>
      <c r="AI3625" s="667"/>
    </row>
    <row r="3626" spans="12:35" ht="45" customHeight="1" thickBot="1" x14ac:dyDescent="0.25">
      <c r="L3626" s="645"/>
      <c r="M3626" s="616"/>
      <c r="N3626" s="616"/>
      <c r="O3626" s="616"/>
      <c r="P3626" s="615"/>
      <c r="Q3626" s="616"/>
      <c r="R3626" s="663"/>
      <c r="S3626" s="459"/>
      <c r="T3626" s="459"/>
      <c r="U3626" s="459"/>
      <c r="V3626" s="459"/>
      <c r="W3626" s="459"/>
      <c r="X3626" s="459"/>
      <c r="Y3626" s="666"/>
      <c r="Z3626" s="664"/>
      <c r="AA3626" s="665"/>
      <c r="AB3626" s="665"/>
      <c r="AC3626" s="665"/>
      <c r="AD3626" s="665"/>
      <c r="AE3626" s="665"/>
      <c r="AF3626" s="649"/>
      <c r="AG3626" s="650"/>
      <c r="AH3626" s="650"/>
      <c r="AI3626" s="667"/>
    </row>
    <row r="3627" spans="12:35" ht="45" customHeight="1" thickBot="1" x14ac:dyDescent="0.25">
      <c r="L3627" s="645"/>
      <c r="M3627" s="616"/>
      <c r="N3627" s="616"/>
      <c r="O3627" s="616"/>
      <c r="P3627" s="615"/>
      <c r="Q3627" s="616"/>
      <c r="R3627" s="663"/>
      <c r="S3627" s="459"/>
      <c r="T3627" s="459"/>
      <c r="U3627" s="459"/>
      <c r="V3627" s="459"/>
      <c r="W3627" s="459"/>
      <c r="X3627" s="459"/>
      <c r="Y3627" s="666"/>
      <c r="Z3627" s="664"/>
      <c r="AA3627" s="665"/>
      <c r="AB3627" s="665"/>
      <c r="AC3627" s="665"/>
      <c r="AD3627" s="665"/>
      <c r="AE3627" s="665"/>
      <c r="AF3627" s="649"/>
      <c r="AG3627" s="650"/>
      <c r="AH3627" s="650"/>
      <c r="AI3627" s="667"/>
    </row>
    <row r="3628" spans="12:35" ht="45" customHeight="1" thickBot="1" x14ac:dyDescent="0.25">
      <c r="L3628" s="645"/>
      <c r="M3628" s="616"/>
      <c r="N3628" s="616"/>
      <c r="O3628" s="616"/>
      <c r="P3628" s="615"/>
      <c r="Q3628" s="616"/>
      <c r="R3628" s="663"/>
      <c r="S3628" s="459"/>
      <c r="T3628" s="459"/>
      <c r="U3628" s="459"/>
      <c r="V3628" s="459"/>
      <c r="W3628" s="459"/>
      <c r="X3628" s="459"/>
      <c r="Y3628" s="666"/>
      <c r="Z3628" s="664"/>
      <c r="AA3628" s="665"/>
      <c r="AB3628" s="665"/>
      <c r="AC3628" s="665"/>
      <c r="AD3628" s="665"/>
      <c r="AE3628" s="665"/>
      <c r="AF3628" s="649"/>
      <c r="AG3628" s="650"/>
      <c r="AH3628" s="650"/>
      <c r="AI3628" s="667"/>
    </row>
    <row r="3629" spans="12:35" ht="45" customHeight="1" thickBot="1" x14ac:dyDescent="0.25">
      <c r="L3629" s="645"/>
      <c r="M3629" s="616"/>
      <c r="N3629" s="616"/>
      <c r="O3629" s="616"/>
      <c r="P3629" s="615"/>
      <c r="Q3629" s="616"/>
      <c r="R3629" s="663"/>
      <c r="S3629" s="459"/>
      <c r="T3629" s="459"/>
      <c r="U3629" s="459"/>
      <c r="V3629" s="459"/>
      <c r="W3629" s="459"/>
      <c r="X3629" s="459"/>
      <c r="Y3629" s="666"/>
      <c r="Z3629" s="664"/>
      <c r="AA3629" s="665"/>
      <c r="AB3629" s="665"/>
      <c r="AC3629" s="665"/>
      <c r="AD3629" s="665"/>
      <c r="AE3629" s="665"/>
      <c r="AF3629" s="649"/>
      <c r="AG3629" s="650"/>
      <c r="AH3629" s="650"/>
      <c r="AI3629" s="667"/>
    </row>
    <row r="3630" spans="12:35" ht="45" customHeight="1" thickBot="1" x14ac:dyDescent="0.25">
      <c r="L3630" s="645"/>
      <c r="M3630" s="616"/>
      <c r="N3630" s="616"/>
      <c r="O3630" s="616"/>
      <c r="P3630" s="615"/>
      <c r="Q3630" s="616"/>
      <c r="R3630" s="663"/>
      <c r="S3630" s="459"/>
      <c r="T3630" s="459"/>
      <c r="U3630" s="459"/>
      <c r="V3630" s="459"/>
      <c r="W3630" s="459"/>
      <c r="X3630" s="459"/>
      <c r="Y3630" s="666"/>
      <c r="Z3630" s="664"/>
      <c r="AA3630" s="665"/>
      <c r="AB3630" s="665"/>
      <c r="AC3630" s="665"/>
      <c r="AD3630" s="665"/>
      <c r="AE3630" s="665"/>
      <c r="AF3630" s="649"/>
      <c r="AG3630" s="650"/>
      <c r="AH3630" s="650"/>
      <c r="AI3630" s="667"/>
    </row>
    <row r="3631" spans="12:35" ht="45" customHeight="1" thickBot="1" x14ac:dyDescent="0.25">
      <c r="L3631" s="645"/>
      <c r="M3631" s="616"/>
      <c r="N3631" s="616"/>
      <c r="O3631" s="616"/>
      <c r="P3631" s="615"/>
      <c r="Q3631" s="616"/>
      <c r="R3631" s="663"/>
      <c r="S3631" s="459"/>
      <c r="T3631" s="459"/>
      <c r="U3631" s="459"/>
      <c r="V3631" s="459"/>
      <c r="W3631" s="459"/>
      <c r="X3631" s="459"/>
      <c r="Y3631" s="666"/>
      <c r="Z3631" s="664"/>
      <c r="AA3631" s="665"/>
      <c r="AB3631" s="665"/>
      <c r="AC3631" s="665"/>
      <c r="AD3631" s="665"/>
      <c r="AE3631" s="665"/>
      <c r="AF3631" s="649"/>
      <c r="AG3631" s="650"/>
      <c r="AH3631" s="650"/>
      <c r="AI3631" s="667"/>
    </row>
    <row r="3632" spans="12:35" ht="45" customHeight="1" thickBot="1" x14ac:dyDescent="0.25">
      <c r="L3632" s="645"/>
      <c r="M3632" s="616"/>
      <c r="N3632" s="616"/>
      <c r="O3632" s="616"/>
      <c r="P3632" s="615"/>
      <c r="Q3632" s="616"/>
      <c r="R3632" s="663"/>
      <c r="S3632" s="459"/>
      <c r="T3632" s="459"/>
      <c r="U3632" s="459"/>
      <c r="V3632" s="459"/>
      <c r="W3632" s="459"/>
      <c r="X3632" s="459"/>
      <c r="Y3632" s="666"/>
      <c r="Z3632" s="664"/>
      <c r="AA3632" s="665"/>
      <c r="AB3632" s="665"/>
      <c r="AC3632" s="665"/>
      <c r="AD3632" s="665"/>
      <c r="AE3632" s="665"/>
      <c r="AF3632" s="649"/>
      <c r="AG3632" s="650"/>
      <c r="AH3632" s="650"/>
      <c r="AI3632" s="667"/>
    </row>
    <row r="3633" spans="12:35" ht="45" customHeight="1" thickBot="1" x14ac:dyDescent="0.25">
      <c r="L3633" s="645"/>
      <c r="M3633" s="616"/>
      <c r="N3633" s="616"/>
      <c r="O3633" s="616"/>
      <c r="P3633" s="615"/>
      <c r="Q3633" s="616"/>
      <c r="R3633" s="663"/>
      <c r="S3633" s="459"/>
      <c r="T3633" s="459"/>
      <c r="U3633" s="459"/>
      <c r="V3633" s="459"/>
      <c r="W3633" s="459"/>
      <c r="X3633" s="459"/>
      <c r="Y3633" s="666"/>
      <c r="Z3633" s="664"/>
      <c r="AA3633" s="665"/>
      <c r="AB3633" s="665"/>
      <c r="AC3633" s="665"/>
      <c r="AD3633" s="665"/>
      <c r="AE3633" s="665"/>
      <c r="AF3633" s="649"/>
      <c r="AG3633" s="650"/>
      <c r="AH3633" s="650"/>
      <c r="AI3633" s="667"/>
    </row>
    <row r="3634" spans="12:35" ht="45" customHeight="1" thickBot="1" x14ac:dyDescent="0.25">
      <c r="L3634" s="645"/>
      <c r="M3634" s="616"/>
      <c r="N3634" s="616"/>
      <c r="O3634" s="616"/>
      <c r="P3634" s="615"/>
      <c r="Q3634" s="616"/>
      <c r="R3634" s="663"/>
      <c r="S3634" s="459"/>
      <c r="T3634" s="459"/>
      <c r="U3634" s="459"/>
      <c r="V3634" s="459"/>
      <c r="W3634" s="459"/>
      <c r="X3634" s="459"/>
      <c r="Y3634" s="666"/>
      <c r="Z3634" s="664"/>
      <c r="AA3634" s="665"/>
      <c r="AB3634" s="665"/>
      <c r="AC3634" s="665"/>
      <c r="AD3634" s="665"/>
      <c r="AE3634" s="665"/>
      <c r="AF3634" s="649"/>
      <c r="AG3634" s="650"/>
      <c r="AH3634" s="650"/>
      <c r="AI3634" s="667"/>
    </row>
    <row r="3635" spans="12:35" ht="45" customHeight="1" thickBot="1" x14ac:dyDescent="0.25">
      <c r="L3635" s="645"/>
      <c r="M3635" s="616"/>
      <c r="N3635" s="616"/>
      <c r="O3635" s="616"/>
      <c r="P3635" s="615"/>
      <c r="Q3635" s="616"/>
      <c r="R3635" s="663"/>
      <c r="S3635" s="459"/>
      <c r="T3635" s="459"/>
      <c r="U3635" s="459"/>
      <c r="V3635" s="459"/>
      <c r="W3635" s="459"/>
      <c r="X3635" s="459"/>
      <c r="Y3635" s="666"/>
      <c r="Z3635" s="664"/>
      <c r="AA3635" s="665"/>
      <c r="AB3635" s="665"/>
      <c r="AC3635" s="665"/>
      <c r="AD3635" s="665"/>
      <c r="AE3635" s="665"/>
      <c r="AF3635" s="649"/>
      <c r="AG3635" s="650"/>
      <c r="AH3635" s="650"/>
      <c r="AI3635" s="667"/>
    </row>
    <row r="3636" spans="12:35" ht="45" customHeight="1" thickBot="1" x14ac:dyDescent="0.25">
      <c r="L3636" s="645"/>
      <c r="M3636" s="616"/>
      <c r="N3636" s="616"/>
      <c r="O3636" s="616"/>
      <c r="P3636" s="615"/>
      <c r="Q3636" s="616"/>
      <c r="R3636" s="663"/>
      <c r="S3636" s="459"/>
      <c r="T3636" s="459"/>
      <c r="U3636" s="459"/>
      <c r="V3636" s="459"/>
      <c r="W3636" s="459"/>
      <c r="X3636" s="459"/>
      <c r="Y3636" s="666"/>
      <c r="Z3636" s="664"/>
      <c r="AA3636" s="665"/>
      <c r="AB3636" s="665"/>
      <c r="AC3636" s="665"/>
      <c r="AD3636" s="665"/>
      <c r="AE3636" s="665"/>
      <c r="AF3636" s="649"/>
      <c r="AG3636" s="650"/>
      <c r="AH3636" s="650"/>
      <c r="AI3636" s="667"/>
    </row>
    <row r="3637" spans="12:35" ht="45" customHeight="1" thickBot="1" x14ac:dyDescent="0.25">
      <c r="L3637" s="645"/>
      <c r="M3637" s="616"/>
      <c r="N3637" s="616"/>
      <c r="O3637" s="616"/>
      <c r="P3637" s="615"/>
      <c r="Q3637" s="616"/>
      <c r="R3637" s="663"/>
      <c r="S3637" s="459"/>
      <c r="T3637" s="459"/>
      <c r="U3637" s="459"/>
      <c r="V3637" s="459"/>
      <c r="W3637" s="459"/>
      <c r="X3637" s="459"/>
      <c r="Y3637" s="666"/>
      <c r="Z3637" s="664"/>
      <c r="AA3637" s="665"/>
      <c r="AB3637" s="665"/>
      <c r="AC3637" s="665"/>
      <c r="AD3637" s="665"/>
      <c r="AE3637" s="665"/>
      <c r="AF3637" s="649"/>
      <c r="AG3637" s="650"/>
      <c r="AH3637" s="650"/>
      <c r="AI3637" s="667"/>
    </row>
    <row r="3638" spans="12:35" ht="45" customHeight="1" thickBot="1" x14ac:dyDescent="0.25">
      <c r="L3638" s="645"/>
      <c r="M3638" s="616"/>
      <c r="N3638" s="616"/>
      <c r="O3638" s="616"/>
      <c r="P3638" s="615"/>
      <c r="Q3638" s="616"/>
      <c r="R3638" s="663"/>
      <c r="S3638" s="459"/>
      <c r="T3638" s="459"/>
      <c r="U3638" s="459"/>
      <c r="V3638" s="459"/>
      <c r="W3638" s="459"/>
      <c r="X3638" s="459"/>
      <c r="Y3638" s="666"/>
      <c r="Z3638" s="664"/>
      <c r="AA3638" s="665"/>
      <c r="AB3638" s="665"/>
      <c r="AC3638" s="665"/>
      <c r="AD3638" s="665"/>
      <c r="AE3638" s="665"/>
      <c r="AF3638" s="649"/>
      <c r="AG3638" s="650"/>
      <c r="AH3638" s="650"/>
      <c r="AI3638" s="667"/>
    </row>
    <row r="3639" spans="12:35" ht="45" customHeight="1" thickBot="1" x14ac:dyDescent="0.25">
      <c r="L3639" s="645"/>
      <c r="M3639" s="616"/>
      <c r="N3639" s="616"/>
      <c r="O3639" s="616"/>
      <c r="P3639" s="615"/>
      <c r="Q3639" s="616"/>
      <c r="R3639" s="663"/>
      <c r="S3639" s="459"/>
      <c r="T3639" s="459"/>
      <c r="U3639" s="459"/>
      <c r="V3639" s="459"/>
      <c r="W3639" s="459"/>
      <c r="X3639" s="459"/>
      <c r="Y3639" s="666"/>
      <c r="Z3639" s="664"/>
      <c r="AA3639" s="665"/>
      <c r="AB3639" s="665"/>
      <c r="AC3639" s="665"/>
      <c r="AD3639" s="665"/>
      <c r="AE3639" s="665"/>
      <c r="AF3639" s="649"/>
      <c r="AG3639" s="650"/>
      <c r="AH3639" s="650"/>
      <c r="AI3639" s="667"/>
    </row>
    <row r="3640" spans="12:35" ht="45" customHeight="1" thickBot="1" x14ac:dyDescent="0.25">
      <c r="L3640" s="645"/>
      <c r="M3640" s="616"/>
      <c r="N3640" s="616"/>
      <c r="O3640" s="616"/>
      <c r="P3640" s="615"/>
      <c r="Q3640" s="616"/>
      <c r="R3640" s="663"/>
      <c r="S3640" s="459"/>
      <c r="T3640" s="459"/>
      <c r="U3640" s="459"/>
      <c r="V3640" s="459"/>
      <c r="W3640" s="459"/>
      <c r="X3640" s="459"/>
      <c r="Y3640" s="666"/>
      <c r="Z3640" s="664"/>
      <c r="AA3640" s="665"/>
      <c r="AB3640" s="665"/>
      <c r="AC3640" s="665"/>
      <c r="AD3640" s="665"/>
      <c r="AE3640" s="665"/>
      <c r="AF3640" s="649"/>
      <c r="AG3640" s="650"/>
      <c r="AH3640" s="650"/>
      <c r="AI3640" s="667"/>
    </row>
    <row r="3641" spans="12:35" ht="45" customHeight="1" thickBot="1" x14ac:dyDescent="0.25">
      <c r="L3641" s="645"/>
      <c r="M3641" s="616"/>
      <c r="N3641" s="616"/>
      <c r="O3641" s="616"/>
      <c r="P3641" s="615"/>
      <c r="Q3641" s="616"/>
      <c r="R3641" s="663"/>
      <c r="S3641" s="459"/>
      <c r="T3641" s="459"/>
      <c r="U3641" s="459"/>
      <c r="V3641" s="459"/>
      <c r="W3641" s="459"/>
      <c r="X3641" s="459"/>
      <c r="Y3641" s="666"/>
      <c r="Z3641" s="664"/>
      <c r="AA3641" s="665"/>
      <c r="AB3641" s="665"/>
      <c r="AC3641" s="665"/>
      <c r="AD3641" s="665"/>
      <c r="AE3641" s="665"/>
      <c r="AF3641" s="649"/>
      <c r="AG3641" s="650"/>
      <c r="AH3641" s="650"/>
      <c r="AI3641" s="667"/>
    </row>
    <row r="3642" spans="12:35" ht="45" customHeight="1" thickBot="1" x14ac:dyDescent="0.25">
      <c r="L3642" s="645"/>
      <c r="M3642" s="616"/>
      <c r="N3642" s="616"/>
      <c r="O3642" s="616"/>
      <c r="P3642" s="615"/>
      <c r="Q3642" s="616"/>
      <c r="R3642" s="663"/>
      <c r="S3642" s="459"/>
      <c r="T3642" s="459"/>
      <c r="U3642" s="459"/>
      <c r="V3642" s="459"/>
      <c r="W3642" s="459"/>
      <c r="X3642" s="459"/>
      <c r="Y3642" s="666"/>
      <c r="Z3642" s="664"/>
      <c r="AA3642" s="665"/>
      <c r="AB3642" s="665"/>
      <c r="AC3642" s="665"/>
      <c r="AD3642" s="665"/>
      <c r="AE3642" s="665"/>
      <c r="AF3642" s="649"/>
      <c r="AG3642" s="650"/>
      <c r="AH3642" s="650"/>
      <c r="AI3642" s="667"/>
    </row>
    <row r="3643" spans="12:35" ht="45" customHeight="1" thickBot="1" x14ac:dyDescent="0.25">
      <c r="L3643" s="645"/>
      <c r="M3643" s="616"/>
      <c r="N3643" s="616"/>
      <c r="O3643" s="616"/>
      <c r="P3643" s="615"/>
      <c r="Q3643" s="616"/>
      <c r="R3643" s="663"/>
      <c r="S3643" s="459"/>
      <c r="T3643" s="459"/>
      <c r="U3643" s="459"/>
      <c r="V3643" s="459"/>
      <c r="W3643" s="459"/>
      <c r="X3643" s="459"/>
      <c r="Y3643" s="666"/>
      <c r="Z3643" s="664"/>
      <c r="AA3643" s="665"/>
      <c r="AB3643" s="665"/>
      <c r="AC3643" s="665"/>
      <c r="AD3643" s="665"/>
      <c r="AE3643" s="665"/>
      <c r="AF3643" s="649"/>
      <c r="AG3643" s="650"/>
      <c r="AH3643" s="650"/>
      <c r="AI3643" s="667"/>
    </row>
    <row r="3644" spans="12:35" ht="45" customHeight="1" thickBot="1" x14ac:dyDescent="0.25">
      <c r="L3644" s="645"/>
      <c r="M3644" s="616"/>
      <c r="N3644" s="616"/>
      <c r="O3644" s="616"/>
      <c r="P3644" s="615"/>
      <c r="Q3644" s="616"/>
      <c r="R3644" s="663"/>
      <c r="S3644" s="459"/>
      <c r="T3644" s="459"/>
      <c r="U3644" s="459"/>
      <c r="V3644" s="459"/>
      <c r="W3644" s="459"/>
      <c r="X3644" s="459"/>
      <c r="Y3644" s="666"/>
      <c r="Z3644" s="664"/>
      <c r="AA3644" s="665"/>
      <c r="AB3644" s="665"/>
      <c r="AC3644" s="665"/>
      <c r="AD3644" s="665"/>
      <c r="AE3644" s="665"/>
      <c r="AF3644" s="649"/>
      <c r="AG3644" s="650"/>
      <c r="AH3644" s="650"/>
      <c r="AI3644" s="667"/>
    </row>
    <row r="3645" spans="12:35" ht="45" customHeight="1" thickBot="1" x14ac:dyDescent="0.25">
      <c r="L3645" s="645"/>
      <c r="M3645" s="616"/>
      <c r="N3645" s="616"/>
      <c r="O3645" s="616"/>
      <c r="P3645" s="615"/>
      <c r="Q3645" s="616"/>
      <c r="R3645" s="663"/>
      <c r="S3645" s="459"/>
      <c r="T3645" s="459"/>
      <c r="U3645" s="459"/>
      <c r="V3645" s="459"/>
      <c r="W3645" s="459"/>
      <c r="X3645" s="459"/>
      <c r="Y3645" s="666"/>
      <c r="Z3645" s="664"/>
      <c r="AA3645" s="665"/>
      <c r="AB3645" s="665"/>
      <c r="AC3645" s="665"/>
      <c r="AD3645" s="665"/>
      <c r="AE3645" s="665"/>
      <c r="AF3645" s="649"/>
      <c r="AG3645" s="650"/>
      <c r="AH3645" s="650"/>
      <c r="AI3645" s="667"/>
    </row>
    <row r="3646" spans="12:35" ht="45" customHeight="1" thickBot="1" x14ac:dyDescent="0.25">
      <c r="L3646" s="645"/>
      <c r="M3646" s="616"/>
      <c r="N3646" s="616"/>
      <c r="O3646" s="616"/>
      <c r="P3646" s="615"/>
      <c r="Q3646" s="616"/>
      <c r="R3646" s="663"/>
      <c r="S3646" s="459"/>
      <c r="T3646" s="459"/>
      <c r="U3646" s="459"/>
      <c r="V3646" s="459"/>
      <c r="W3646" s="459"/>
      <c r="X3646" s="459"/>
      <c r="Y3646" s="666"/>
      <c r="Z3646" s="664"/>
      <c r="AA3646" s="665"/>
      <c r="AB3646" s="665"/>
      <c r="AC3646" s="665"/>
      <c r="AD3646" s="665"/>
      <c r="AE3646" s="665"/>
      <c r="AF3646" s="649"/>
      <c r="AG3646" s="650"/>
      <c r="AH3646" s="650"/>
      <c r="AI3646" s="667"/>
    </row>
    <row r="3647" spans="12:35" ht="45" customHeight="1" thickBot="1" x14ac:dyDescent="0.25">
      <c r="L3647" s="645"/>
      <c r="M3647" s="616"/>
      <c r="N3647" s="616"/>
      <c r="O3647" s="616"/>
      <c r="P3647" s="615"/>
      <c r="Q3647" s="616"/>
      <c r="R3647" s="663"/>
      <c r="S3647" s="459"/>
      <c r="T3647" s="459"/>
      <c r="U3647" s="459"/>
      <c r="V3647" s="459"/>
      <c r="W3647" s="459"/>
      <c r="X3647" s="459"/>
      <c r="Y3647" s="666"/>
      <c r="Z3647" s="664"/>
      <c r="AA3647" s="665"/>
      <c r="AB3647" s="665"/>
      <c r="AC3647" s="665"/>
      <c r="AD3647" s="665"/>
      <c r="AE3647" s="665"/>
      <c r="AF3647" s="649"/>
      <c r="AG3647" s="650"/>
      <c r="AH3647" s="650"/>
      <c r="AI3647" s="667"/>
    </row>
    <row r="3648" spans="12:35" ht="45" customHeight="1" thickBot="1" x14ac:dyDescent="0.25">
      <c r="L3648" s="645"/>
      <c r="M3648" s="616"/>
      <c r="N3648" s="616"/>
      <c r="O3648" s="616"/>
      <c r="P3648" s="615"/>
      <c r="Q3648" s="616"/>
      <c r="R3648" s="663"/>
      <c r="S3648" s="459"/>
      <c r="T3648" s="459"/>
      <c r="U3648" s="459"/>
      <c r="V3648" s="459"/>
      <c r="W3648" s="459"/>
      <c r="X3648" s="459"/>
      <c r="Y3648" s="666"/>
      <c r="Z3648" s="664"/>
      <c r="AA3648" s="665"/>
      <c r="AB3648" s="665"/>
      <c r="AC3648" s="665"/>
      <c r="AD3648" s="665"/>
      <c r="AE3648" s="665"/>
      <c r="AF3648" s="649"/>
      <c r="AG3648" s="650"/>
      <c r="AH3648" s="650"/>
      <c r="AI3648" s="667"/>
    </row>
    <row r="3649" spans="12:35" ht="45" customHeight="1" thickBot="1" x14ac:dyDescent="0.25">
      <c r="L3649" s="645"/>
      <c r="M3649" s="616"/>
      <c r="N3649" s="616"/>
      <c r="O3649" s="616"/>
      <c r="P3649" s="615"/>
      <c r="Q3649" s="616"/>
      <c r="R3649" s="663"/>
      <c r="S3649" s="459"/>
      <c r="T3649" s="459"/>
      <c r="U3649" s="459"/>
      <c r="V3649" s="459"/>
      <c r="W3649" s="459"/>
      <c r="X3649" s="459"/>
      <c r="Y3649" s="666"/>
      <c r="Z3649" s="664"/>
      <c r="AA3649" s="665"/>
      <c r="AB3649" s="665"/>
      <c r="AC3649" s="665"/>
      <c r="AD3649" s="665"/>
      <c r="AE3649" s="665"/>
      <c r="AF3649" s="649"/>
      <c r="AG3649" s="650"/>
      <c r="AH3649" s="650"/>
      <c r="AI3649" s="667"/>
    </row>
    <row r="3650" spans="12:35" ht="45" customHeight="1" thickBot="1" x14ac:dyDescent="0.25">
      <c r="L3650" s="645"/>
      <c r="M3650" s="616"/>
      <c r="N3650" s="616"/>
      <c r="O3650" s="616"/>
      <c r="P3650" s="615"/>
      <c r="Q3650" s="616"/>
      <c r="R3650" s="663"/>
      <c r="S3650" s="459"/>
      <c r="T3650" s="459"/>
      <c r="U3650" s="459"/>
      <c r="V3650" s="459"/>
      <c r="W3650" s="459"/>
      <c r="X3650" s="459"/>
      <c r="Y3650" s="666"/>
      <c r="Z3650" s="664"/>
      <c r="AA3650" s="665"/>
      <c r="AB3650" s="665"/>
      <c r="AC3650" s="665"/>
      <c r="AD3650" s="665"/>
      <c r="AE3650" s="665"/>
      <c r="AF3650" s="649"/>
      <c r="AG3650" s="650"/>
      <c r="AH3650" s="650"/>
      <c r="AI3650" s="667"/>
    </row>
    <row r="3651" spans="12:35" ht="45" customHeight="1" thickBot="1" x14ac:dyDescent="0.25">
      <c r="L3651" s="645"/>
      <c r="M3651" s="616"/>
      <c r="N3651" s="616"/>
      <c r="O3651" s="616"/>
      <c r="P3651" s="615"/>
      <c r="Q3651" s="616"/>
      <c r="R3651" s="663"/>
      <c r="S3651" s="459"/>
      <c r="T3651" s="459"/>
      <c r="U3651" s="459"/>
      <c r="V3651" s="459"/>
      <c r="W3651" s="459"/>
      <c r="X3651" s="459"/>
      <c r="Y3651" s="666"/>
      <c r="Z3651" s="664"/>
      <c r="AA3651" s="665"/>
      <c r="AB3651" s="665"/>
      <c r="AC3651" s="665"/>
      <c r="AD3651" s="665"/>
      <c r="AE3651" s="665"/>
      <c r="AF3651" s="649"/>
      <c r="AG3651" s="650"/>
      <c r="AH3651" s="650"/>
      <c r="AI3651" s="667"/>
    </row>
    <row r="3652" spans="12:35" ht="45" customHeight="1" thickBot="1" x14ac:dyDescent="0.25">
      <c r="L3652" s="645"/>
      <c r="M3652" s="616"/>
      <c r="N3652" s="616"/>
      <c r="O3652" s="616"/>
      <c r="P3652" s="615"/>
      <c r="Q3652" s="616"/>
      <c r="R3652" s="663"/>
      <c r="S3652" s="459"/>
      <c r="T3652" s="459"/>
      <c r="U3652" s="459"/>
      <c r="V3652" s="459"/>
      <c r="W3652" s="459"/>
      <c r="X3652" s="459"/>
      <c r="Y3652" s="666"/>
      <c r="Z3652" s="664"/>
      <c r="AA3652" s="665"/>
      <c r="AB3652" s="665"/>
      <c r="AC3652" s="665"/>
      <c r="AD3652" s="665"/>
      <c r="AE3652" s="665"/>
      <c r="AF3652" s="649"/>
      <c r="AG3652" s="650"/>
      <c r="AH3652" s="650"/>
      <c r="AI3652" s="667"/>
    </row>
    <row r="3653" spans="12:35" ht="45" customHeight="1" thickBot="1" x14ac:dyDescent="0.25">
      <c r="L3653" s="645"/>
      <c r="M3653" s="616"/>
      <c r="N3653" s="616"/>
      <c r="O3653" s="616"/>
      <c r="P3653" s="615"/>
      <c r="Q3653" s="616"/>
      <c r="R3653" s="663"/>
      <c r="S3653" s="459"/>
      <c r="T3653" s="459"/>
      <c r="U3653" s="459"/>
      <c r="V3653" s="459"/>
      <c r="W3653" s="459"/>
      <c r="X3653" s="459"/>
      <c r="Y3653" s="666"/>
      <c r="Z3653" s="664"/>
      <c r="AA3653" s="665"/>
      <c r="AB3653" s="665"/>
      <c r="AC3653" s="665"/>
      <c r="AD3653" s="665"/>
      <c r="AE3653" s="665"/>
      <c r="AF3653" s="649"/>
      <c r="AG3653" s="650"/>
      <c r="AH3653" s="650"/>
      <c r="AI3653" s="667"/>
    </row>
    <row r="3654" spans="12:35" ht="45" customHeight="1" thickBot="1" x14ac:dyDescent="0.25">
      <c r="L3654" s="645"/>
      <c r="M3654" s="616"/>
      <c r="N3654" s="616"/>
      <c r="O3654" s="616"/>
      <c r="P3654" s="615"/>
      <c r="Q3654" s="616"/>
      <c r="R3654" s="663"/>
      <c r="S3654" s="459"/>
      <c r="T3654" s="459"/>
      <c r="U3654" s="459"/>
      <c r="V3654" s="459"/>
      <c r="W3654" s="459"/>
      <c r="X3654" s="459"/>
      <c r="Y3654" s="666"/>
      <c r="Z3654" s="664"/>
      <c r="AA3654" s="665"/>
      <c r="AB3654" s="665"/>
      <c r="AC3654" s="665"/>
      <c r="AD3654" s="665"/>
      <c r="AE3654" s="665"/>
      <c r="AF3654" s="649"/>
      <c r="AG3654" s="650"/>
      <c r="AH3654" s="650"/>
      <c r="AI3654" s="667"/>
    </row>
    <row r="3655" spans="12:35" ht="45" customHeight="1" thickBot="1" x14ac:dyDescent="0.25">
      <c r="L3655" s="645"/>
      <c r="M3655" s="616"/>
      <c r="N3655" s="616"/>
      <c r="O3655" s="616"/>
      <c r="P3655" s="615"/>
      <c r="Q3655" s="616"/>
      <c r="R3655" s="663"/>
      <c r="S3655" s="459"/>
      <c r="T3655" s="459"/>
      <c r="U3655" s="459"/>
      <c r="V3655" s="459"/>
      <c r="W3655" s="459"/>
      <c r="X3655" s="459"/>
      <c r="Y3655" s="666"/>
      <c r="Z3655" s="664"/>
      <c r="AA3655" s="665"/>
      <c r="AB3655" s="665"/>
      <c r="AC3655" s="665"/>
      <c r="AD3655" s="665"/>
      <c r="AE3655" s="665"/>
      <c r="AF3655" s="649"/>
      <c r="AG3655" s="650"/>
      <c r="AH3655" s="650"/>
      <c r="AI3655" s="667"/>
    </row>
    <row r="3656" spans="12:35" ht="45" customHeight="1" thickBot="1" x14ac:dyDescent="0.25">
      <c r="L3656" s="645"/>
      <c r="M3656" s="616"/>
      <c r="N3656" s="616"/>
      <c r="O3656" s="616"/>
      <c r="P3656" s="615"/>
      <c r="Q3656" s="616"/>
      <c r="R3656" s="663"/>
      <c r="S3656" s="459"/>
      <c r="T3656" s="459"/>
      <c r="U3656" s="459"/>
      <c r="V3656" s="459"/>
      <c r="W3656" s="459"/>
      <c r="X3656" s="459"/>
      <c r="Y3656" s="666"/>
      <c r="Z3656" s="664"/>
      <c r="AA3656" s="665"/>
      <c r="AB3656" s="665"/>
      <c r="AC3656" s="665"/>
      <c r="AD3656" s="665"/>
      <c r="AE3656" s="665"/>
      <c r="AF3656" s="649"/>
      <c r="AG3656" s="650"/>
      <c r="AH3656" s="650"/>
      <c r="AI3656" s="667"/>
    </row>
    <row r="3657" spans="12:35" ht="45" customHeight="1" thickBot="1" x14ac:dyDescent="0.25">
      <c r="L3657" s="645"/>
      <c r="M3657" s="616"/>
      <c r="N3657" s="616"/>
      <c r="O3657" s="616"/>
      <c r="P3657" s="615"/>
      <c r="Q3657" s="616"/>
      <c r="R3657" s="663"/>
      <c r="S3657" s="459"/>
      <c r="T3657" s="459"/>
      <c r="U3657" s="459"/>
      <c r="V3657" s="459"/>
      <c r="W3657" s="459"/>
      <c r="X3657" s="459"/>
      <c r="Y3657" s="666"/>
      <c r="Z3657" s="664"/>
      <c r="AA3657" s="665"/>
      <c r="AB3657" s="665"/>
      <c r="AC3657" s="665"/>
      <c r="AD3657" s="665"/>
      <c r="AE3657" s="665"/>
      <c r="AF3657" s="649"/>
      <c r="AG3657" s="650"/>
      <c r="AH3657" s="650"/>
      <c r="AI3657" s="667"/>
    </row>
    <row r="3658" spans="12:35" ht="45" customHeight="1" thickBot="1" x14ac:dyDescent="0.25">
      <c r="L3658" s="645"/>
      <c r="M3658" s="616"/>
      <c r="N3658" s="616"/>
      <c r="O3658" s="616"/>
      <c r="P3658" s="615"/>
      <c r="Q3658" s="616"/>
      <c r="R3658" s="663"/>
      <c r="S3658" s="459"/>
      <c r="T3658" s="459"/>
      <c r="U3658" s="459"/>
      <c r="V3658" s="459"/>
      <c r="W3658" s="459"/>
      <c r="X3658" s="459"/>
      <c r="Y3658" s="666"/>
      <c r="Z3658" s="664"/>
      <c r="AA3658" s="665"/>
      <c r="AB3658" s="665"/>
      <c r="AC3658" s="665"/>
      <c r="AD3658" s="665"/>
      <c r="AE3658" s="665"/>
      <c r="AF3658" s="649"/>
      <c r="AG3658" s="650"/>
      <c r="AH3658" s="650"/>
      <c r="AI3658" s="667"/>
    </row>
    <row r="3659" spans="12:35" ht="45" customHeight="1" thickBot="1" x14ac:dyDescent="0.25">
      <c r="L3659" s="645"/>
      <c r="M3659" s="616"/>
      <c r="N3659" s="616"/>
      <c r="O3659" s="616"/>
      <c r="P3659" s="615"/>
      <c r="Q3659" s="616"/>
      <c r="R3659" s="663"/>
      <c r="S3659" s="459"/>
      <c r="T3659" s="459"/>
      <c r="U3659" s="459"/>
      <c r="V3659" s="459"/>
      <c r="W3659" s="459"/>
      <c r="X3659" s="459"/>
      <c r="Y3659" s="666"/>
      <c r="Z3659" s="664"/>
      <c r="AA3659" s="665"/>
      <c r="AB3659" s="665"/>
      <c r="AC3659" s="665"/>
      <c r="AD3659" s="665"/>
      <c r="AE3659" s="665"/>
      <c r="AF3659" s="649"/>
      <c r="AG3659" s="650"/>
      <c r="AH3659" s="650"/>
      <c r="AI3659" s="667"/>
    </row>
    <row r="3660" spans="12:35" ht="45" customHeight="1" thickBot="1" x14ac:dyDescent="0.25">
      <c r="L3660" s="645"/>
      <c r="M3660" s="616"/>
      <c r="N3660" s="616"/>
      <c r="O3660" s="616"/>
      <c r="P3660" s="615"/>
      <c r="Q3660" s="616"/>
      <c r="R3660" s="663"/>
      <c r="S3660" s="459"/>
      <c r="T3660" s="459"/>
      <c r="U3660" s="459"/>
      <c r="V3660" s="459"/>
      <c r="W3660" s="459"/>
      <c r="X3660" s="459"/>
      <c r="Y3660" s="666"/>
      <c r="Z3660" s="664"/>
      <c r="AA3660" s="665"/>
      <c r="AB3660" s="665"/>
      <c r="AC3660" s="665"/>
      <c r="AD3660" s="665"/>
      <c r="AE3660" s="665"/>
      <c r="AF3660" s="649"/>
      <c r="AG3660" s="650"/>
      <c r="AH3660" s="650"/>
      <c r="AI3660" s="667"/>
    </row>
    <row r="3661" spans="12:35" ht="45" customHeight="1" thickBot="1" x14ac:dyDescent="0.25">
      <c r="L3661" s="645"/>
      <c r="M3661" s="616"/>
      <c r="N3661" s="616"/>
      <c r="O3661" s="616"/>
      <c r="P3661" s="615"/>
      <c r="Q3661" s="616"/>
      <c r="R3661" s="663"/>
      <c r="S3661" s="459"/>
      <c r="T3661" s="459"/>
      <c r="U3661" s="459"/>
      <c r="V3661" s="459"/>
      <c r="W3661" s="459"/>
      <c r="X3661" s="459"/>
      <c r="Y3661" s="666"/>
      <c r="Z3661" s="664"/>
      <c r="AA3661" s="665"/>
      <c r="AB3661" s="665"/>
      <c r="AC3661" s="665"/>
      <c r="AD3661" s="665"/>
      <c r="AE3661" s="665"/>
      <c r="AF3661" s="649"/>
      <c r="AG3661" s="650"/>
      <c r="AH3661" s="650"/>
      <c r="AI3661" s="667"/>
    </row>
    <row r="3662" spans="12:35" ht="45" customHeight="1" thickBot="1" x14ac:dyDescent="0.25">
      <c r="L3662" s="645"/>
      <c r="M3662" s="616"/>
      <c r="N3662" s="616"/>
      <c r="O3662" s="616"/>
      <c r="P3662" s="615"/>
      <c r="Q3662" s="616"/>
      <c r="R3662" s="663"/>
      <c r="S3662" s="459"/>
      <c r="T3662" s="459"/>
      <c r="U3662" s="459"/>
      <c r="V3662" s="459"/>
      <c r="W3662" s="459"/>
      <c r="X3662" s="459"/>
      <c r="Y3662" s="666"/>
      <c r="Z3662" s="664"/>
      <c r="AA3662" s="665"/>
      <c r="AB3662" s="665"/>
      <c r="AC3662" s="665"/>
      <c r="AD3662" s="665"/>
      <c r="AE3662" s="665"/>
      <c r="AF3662" s="649"/>
      <c r="AG3662" s="650"/>
      <c r="AH3662" s="650"/>
      <c r="AI3662" s="667"/>
    </row>
    <row r="3663" spans="12:35" ht="45" customHeight="1" thickBot="1" x14ac:dyDescent="0.25">
      <c r="L3663" s="645"/>
      <c r="M3663" s="616"/>
      <c r="N3663" s="616"/>
      <c r="O3663" s="616"/>
      <c r="P3663" s="615"/>
      <c r="Q3663" s="616"/>
      <c r="R3663" s="663"/>
      <c r="S3663" s="459"/>
      <c r="T3663" s="459"/>
      <c r="U3663" s="459"/>
      <c r="V3663" s="459"/>
      <c r="W3663" s="459"/>
      <c r="X3663" s="459"/>
      <c r="Y3663" s="666"/>
      <c r="Z3663" s="664"/>
      <c r="AA3663" s="665"/>
      <c r="AB3663" s="665"/>
      <c r="AC3663" s="665"/>
      <c r="AD3663" s="665"/>
      <c r="AE3663" s="665"/>
      <c r="AF3663" s="649"/>
      <c r="AG3663" s="650"/>
      <c r="AH3663" s="650"/>
      <c r="AI3663" s="667"/>
    </row>
    <row r="3664" spans="12:35" ht="45" customHeight="1" thickBot="1" x14ac:dyDescent="0.25">
      <c r="L3664" s="645"/>
      <c r="M3664" s="616"/>
      <c r="N3664" s="616"/>
      <c r="O3664" s="616"/>
      <c r="P3664" s="615"/>
      <c r="Q3664" s="616"/>
      <c r="R3664" s="663"/>
      <c r="S3664" s="459"/>
      <c r="T3664" s="459"/>
      <c r="U3664" s="459"/>
      <c r="V3664" s="459"/>
      <c r="W3664" s="459"/>
      <c r="X3664" s="459"/>
      <c r="Y3664" s="666"/>
      <c r="Z3664" s="664"/>
      <c r="AA3664" s="665"/>
      <c r="AB3664" s="665"/>
      <c r="AC3664" s="665"/>
      <c r="AD3664" s="665"/>
      <c r="AE3664" s="665"/>
      <c r="AF3664" s="649"/>
      <c r="AG3664" s="650"/>
      <c r="AH3664" s="650"/>
      <c r="AI3664" s="667"/>
    </row>
    <row r="3665" spans="12:35" ht="45" customHeight="1" thickBot="1" x14ac:dyDescent="0.25">
      <c r="L3665" s="645"/>
      <c r="M3665" s="616"/>
      <c r="N3665" s="616"/>
      <c r="O3665" s="616"/>
      <c r="P3665" s="615"/>
      <c r="Q3665" s="616"/>
      <c r="R3665" s="663"/>
      <c r="S3665" s="459"/>
      <c r="T3665" s="459"/>
      <c r="U3665" s="459"/>
      <c r="V3665" s="459"/>
      <c r="W3665" s="459"/>
      <c r="X3665" s="459"/>
      <c r="Y3665" s="666"/>
      <c r="Z3665" s="664"/>
      <c r="AA3665" s="665"/>
      <c r="AB3665" s="665"/>
      <c r="AC3665" s="665"/>
      <c r="AD3665" s="665"/>
      <c r="AE3665" s="665"/>
      <c r="AF3665" s="649"/>
      <c r="AG3665" s="650"/>
      <c r="AH3665" s="650"/>
      <c r="AI3665" s="667"/>
    </row>
    <row r="3666" spans="12:35" ht="45" customHeight="1" thickBot="1" x14ac:dyDescent="0.25">
      <c r="L3666" s="645"/>
      <c r="M3666" s="616"/>
      <c r="N3666" s="616"/>
      <c r="O3666" s="616"/>
      <c r="P3666" s="615"/>
      <c r="Q3666" s="616"/>
      <c r="R3666" s="663"/>
      <c r="S3666" s="459"/>
      <c r="T3666" s="459"/>
      <c r="U3666" s="459"/>
      <c r="V3666" s="459"/>
      <c r="W3666" s="459"/>
      <c r="X3666" s="459"/>
      <c r="Y3666" s="666"/>
      <c r="Z3666" s="664"/>
      <c r="AA3666" s="665"/>
      <c r="AB3666" s="665"/>
      <c r="AC3666" s="665"/>
      <c r="AD3666" s="665"/>
      <c r="AE3666" s="665"/>
      <c r="AF3666" s="649"/>
      <c r="AG3666" s="650"/>
      <c r="AH3666" s="650"/>
      <c r="AI3666" s="667"/>
    </row>
    <row r="3667" spans="12:35" ht="45" customHeight="1" thickBot="1" x14ac:dyDescent="0.25">
      <c r="L3667" s="645"/>
      <c r="M3667" s="616"/>
      <c r="N3667" s="616"/>
      <c r="O3667" s="616"/>
      <c r="P3667" s="615"/>
      <c r="Q3667" s="616"/>
      <c r="R3667" s="663"/>
      <c r="S3667" s="459"/>
      <c r="T3667" s="459"/>
      <c r="U3667" s="459"/>
      <c r="V3667" s="459"/>
      <c r="W3667" s="459"/>
      <c r="X3667" s="459"/>
      <c r="Y3667" s="666"/>
      <c r="Z3667" s="664"/>
      <c r="AA3667" s="665"/>
      <c r="AB3667" s="665"/>
      <c r="AC3667" s="665"/>
      <c r="AD3667" s="665"/>
      <c r="AE3667" s="665"/>
      <c r="AF3667" s="649"/>
      <c r="AG3667" s="650"/>
      <c r="AH3667" s="650"/>
      <c r="AI3667" s="667"/>
    </row>
    <row r="3668" spans="12:35" ht="45" customHeight="1" thickBot="1" x14ac:dyDescent="0.25">
      <c r="L3668" s="645"/>
      <c r="M3668" s="616"/>
      <c r="N3668" s="616"/>
      <c r="O3668" s="616"/>
      <c r="P3668" s="615"/>
      <c r="Q3668" s="616"/>
      <c r="R3668" s="663"/>
      <c r="S3668" s="459"/>
      <c r="T3668" s="459"/>
      <c r="U3668" s="459"/>
      <c r="V3668" s="459"/>
      <c r="W3668" s="459"/>
      <c r="X3668" s="459"/>
      <c r="Y3668" s="666"/>
      <c r="Z3668" s="664"/>
      <c r="AA3668" s="665"/>
      <c r="AB3668" s="665"/>
      <c r="AC3668" s="665"/>
      <c r="AD3668" s="665"/>
      <c r="AE3668" s="665"/>
      <c r="AF3668" s="649"/>
      <c r="AG3668" s="650"/>
      <c r="AH3668" s="650"/>
      <c r="AI3668" s="667"/>
    </row>
    <row r="3669" spans="12:35" ht="45" customHeight="1" thickBot="1" x14ac:dyDescent="0.25">
      <c r="L3669" s="645"/>
      <c r="M3669" s="616"/>
      <c r="N3669" s="616"/>
      <c r="O3669" s="616"/>
      <c r="P3669" s="615"/>
      <c r="Q3669" s="616"/>
      <c r="R3669" s="663"/>
      <c r="S3669" s="459"/>
      <c r="T3669" s="459"/>
      <c r="U3669" s="459"/>
      <c r="V3669" s="459"/>
      <c r="W3669" s="459"/>
      <c r="X3669" s="459"/>
      <c r="Y3669" s="666"/>
      <c r="Z3669" s="664"/>
      <c r="AA3669" s="665"/>
      <c r="AB3669" s="665"/>
      <c r="AC3669" s="665"/>
      <c r="AD3669" s="665"/>
      <c r="AE3669" s="665"/>
      <c r="AF3669" s="649"/>
      <c r="AG3669" s="650"/>
      <c r="AH3669" s="650"/>
      <c r="AI3669" s="667"/>
    </row>
    <row r="3670" spans="12:35" ht="45" customHeight="1" thickBot="1" x14ac:dyDescent="0.25">
      <c r="L3670" s="645"/>
      <c r="M3670" s="616"/>
      <c r="N3670" s="616"/>
      <c r="O3670" s="616"/>
      <c r="P3670" s="615"/>
      <c r="Q3670" s="616"/>
      <c r="R3670" s="663"/>
      <c r="S3670" s="459"/>
      <c r="T3670" s="459"/>
      <c r="U3670" s="459"/>
      <c r="V3670" s="459"/>
      <c r="W3670" s="459"/>
      <c r="X3670" s="459"/>
      <c r="Y3670" s="666"/>
      <c r="Z3670" s="664"/>
      <c r="AA3670" s="665"/>
      <c r="AB3670" s="665"/>
      <c r="AC3670" s="665"/>
      <c r="AD3670" s="665"/>
      <c r="AE3670" s="665"/>
      <c r="AF3670" s="649"/>
      <c r="AG3670" s="650"/>
      <c r="AH3670" s="650"/>
      <c r="AI3670" s="667"/>
    </row>
    <row r="3671" spans="12:35" ht="45" customHeight="1" thickBot="1" x14ac:dyDescent="0.25">
      <c r="L3671" s="645"/>
      <c r="M3671" s="616"/>
      <c r="N3671" s="616"/>
      <c r="O3671" s="616"/>
      <c r="P3671" s="615"/>
      <c r="Q3671" s="616"/>
      <c r="R3671" s="663"/>
      <c r="S3671" s="459"/>
      <c r="T3671" s="459"/>
      <c r="U3671" s="459"/>
      <c r="V3671" s="459"/>
      <c r="W3671" s="459"/>
      <c r="X3671" s="459"/>
      <c r="Y3671" s="666"/>
      <c r="Z3671" s="664"/>
      <c r="AA3671" s="665"/>
      <c r="AB3671" s="665"/>
      <c r="AC3671" s="665"/>
      <c r="AD3671" s="665"/>
      <c r="AE3671" s="665"/>
      <c r="AF3671" s="649"/>
      <c r="AG3671" s="650"/>
      <c r="AH3671" s="650"/>
      <c r="AI3671" s="667"/>
    </row>
    <row r="3672" spans="12:35" ht="45" customHeight="1" thickBot="1" x14ac:dyDescent="0.25">
      <c r="L3672" s="645"/>
      <c r="M3672" s="616"/>
      <c r="N3672" s="616"/>
      <c r="O3672" s="616"/>
      <c r="P3672" s="615"/>
      <c r="Q3672" s="616"/>
      <c r="R3672" s="663"/>
      <c r="S3672" s="459"/>
      <c r="T3672" s="459"/>
      <c r="U3672" s="459"/>
      <c r="V3672" s="459"/>
      <c r="W3672" s="459"/>
      <c r="X3672" s="459"/>
      <c r="Y3672" s="666"/>
      <c r="Z3672" s="664"/>
      <c r="AA3672" s="665"/>
      <c r="AB3672" s="665"/>
      <c r="AC3672" s="665"/>
      <c r="AD3672" s="665"/>
      <c r="AE3672" s="665"/>
      <c r="AF3672" s="649"/>
      <c r="AG3672" s="650"/>
      <c r="AH3672" s="650"/>
      <c r="AI3672" s="667"/>
    </row>
    <row r="3673" spans="12:35" ht="45" customHeight="1" thickBot="1" x14ac:dyDescent="0.25">
      <c r="L3673" s="645"/>
      <c r="M3673" s="616"/>
      <c r="N3673" s="616"/>
      <c r="O3673" s="616"/>
      <c r="P3673" s="615"/>
      <c r="Q3673" s="616"/>
      <c r="R3673" s="663"/>
      <c r="S3673" s="459"/>
      <c r="T3673" s="459"/>
      <c r="U3673" s="459"/>
      <c r="V3673" s="459"/>
      <c r="W3673" s="459"/>
      <c r="X3673" s="459"/>
      <c r="Y3673" s="666"/>
      <c r="Z3673" s="664"/>
      <c r="AA3673" s="665"/>
      <c r="AB3673" s="665"/>
      <c r="AC3673" s="665"/>
      <c r="AD3673" s="665"/>
      <c r="AE3673" s="665"/>
      <c r="AF3673" s="649"/>
      <c r="AG3673" s="650"/>
      <c r="AH3673" s="650"/>
      <c r="AI3673" s="667"/>
    </row>
    <row r="3674" spans="12:35" ht="45" customHeight="1" thickBot="1" x14ac:dyDescent="0.25">
      <c r="L3674" s="645"/>
      <c r="M3674" s="616"/>
      <c r="N3674" s="616"/>
      <c r="O3674" s="616"/>
      <c r="P3674" s="615"/>
      <c r="Q3674" s="616"/>
      <c r="R3674" s="663"/>
      <c r="S3674" s="459"/>
      <c r="T3674" s="459"/>
      <c r="U3674" s="459"/>
      <c r="V3674" s="459"/>
      <c r="W3674" s="459"/>
      <c r="X3674" s="459"/>
      <c r="Y3674" s="666"/>
      <c r="Z3674" s="664"/>
      <c r="AA3674" s="665"/>
      <c r="AB3674" s="665"/>
      <c r="AC3674" s="665"/>
      <c r="AD3674" s="665"/>
      <c r="AE3674" s="665"/>
      <c r="AF3674" s="649"/>
      <c r="AG3674" s="650"/>
      <c r="AH3674" s="650"/>
      <c r="AI3674" s="667"/>
    </row>
    <row r="3675" spans="12:35" ht="45" customHeight="1" thickBot="1" x14ac:dyDescent="0.25">
      <c r="L3675" s="645"/>
      <c r="M3675" s="616"/>
      <c r="N3675" s="616"/>
      <c r="O3675" s="616"/>
      <c r="P3675" s="615"/>
      <c r="Q3675" s="616"/>
      <c r="R3675" s="663"/>
      <c r="S3675" s="459"/>
      <c r="T3675" s="459"/>
      <c r="U3675" s="459"/>
      <c r="V3675" s="459"/>
      <c r="W3675" s="459"/>
      <c r="X3675" s="459"/>
      <c r="Y3675" s="666"/>
      <c r="Z3675" s="664"/>
      <c r="AA3675" s="665"/>
      <c r="AB3675" s="665"/>
      <c r="AC3675" s="665"/>
      <c r="AD3675" s="665"/>
      <c r="AE3675" s="665"/>
      <c r="AF3675" s="649"/>
      <c r="AG3675" s="650"/>
      <c r="AH3675" s="650"/>
      <c r="AI3675" s="667"/>
    </row>
    <row r="3676" spans="12:35" ht="45" customHeight="1" thickBot="1" x14ac:dyDescent="0.25">
      <c r="L3676" s="645"/>
      <c r="M3676" s="616"/>
      <c r="N3676" s="616"/>
      <c r="O3676" s="616"/>
      <c r="P3676" s="615"/>
      <c r="Q3676" s="616"/>
      <c r="R3676" s="663"/>
      <c r="S3676" s="459"/>
      <c r="T3676" s="459"/>
      <c r="U3676" s="459"/>
      <c r="V3676" s="459"/>
      <c r="W3676" s="459"/>
      <c r="X3676" s="459"/>
      <c r="Y3676" s="666"/>
      <c r="Z3676" s="664"/>
      <c r="AA3676" s="665"/>
      <c r="AB3676" s="665"/>
      <c r="AC3676" s="665"/>
      <c r="AD3676" s="665"/>
      <c r="AE3676" s="665"/>
      <c r="AF3676" s="649"/>
      <c r="AG3676" s="650"/>
      <c r="AH3676" s="650"/>
      <c r="AI3676" s="667"/>
    </row>
    <row r="3677" spans="12:35" ht="45" customHeight="1" thickBot="1" x14ac:dyDescent="0.25">
      <c r="L3677" s="645"/>
      <c r="M3677" s="616"/>
      <c r="N3677" s="616"/>
      <c r="O3677" s="616"/>
      <c r="P3677" s="615"/>
      <c r="Q3677" s="616"/>
      <c r="R3677" s="663"/>
      <c r="S3677" s="459"/>
      <c r="T3677" s="459"/>
      <c r="U3677" s="459"/>
      <c r="V3677" s="459"/>
      <c r="W3677" s="459"/>
      <c r="X3677" s="459"/>
      <c r="Y3677" s="666"/>
      <c r="Z3677" s="664"/>
      <c r="AA3677" s="665"/>
      <c r="AB3677" s="665"/>
      <c r="AC3677" s="665"/>
      <c r="AD3677" s="665"/>
      <c r="AE3677" s="665"/>
      <c r="AF3677" s="649"/>
      <c r="AG3677" s="650"/>
      <c r="AH3677" s="650"/>
      <c r="AI3677" s="667"/>
    </row>
    <row r="3678" spans="12:35" ht="45" customHeight="1" thickBot="1" x14ac:dyDescent="0.25">
      <c r="L3678" s="645"/>
      <c r="M3678" s="616"/>
      <c r="N3678" s="616"/>
      <c r="O3678" s="616"/>
      <c r="P3678" s="615"/>
      <c r="Q3678" s="616"/>
      <c r="R3678" s="663"/>
      <c r="S3678" s="459"/>
      <c r="T3678" s="459"/>
      <c r="U3678" s="459"/>
      <c r="V3678" s="459"/>
      <c r="W3678" s="459"/>
      <c r="X3678" s="459"/>
      <c r="Y3678" s="666"/>
      <c r="Z3678" s="664"/>
      <c r="AA3678" s="665"/>
      <c r="AB3678" s="665"/>
      <c r="AC3678" s="665"/>
      <c r="AD3678" s="665"/>
      <c r="AE3678" s="665"/>
      <c r="AF3678" s="649"/>
      <c r="AG3678" s="650"/>
      <c r="AH3678" s="650"/>
      <c r="AI3678" s="667"/>
    </row>
    <row r="3679" spans="12:35" ht="45" customHeight="1" thickBot="1" x14ac:dyDescent="0.25">
      <c r="L3679" s="645"/>
      <c r="M3679" s="616"/>
      <c r="N3679" s="616"/>
      <c r="O3679" s="616"/>
      <c r="P3679" s="615"/>
      <c r="Q3679" s="616"/>
      <c r="R3679" s="663"/>
      <c r="S3679" s="459"/>
      <c r="T3679" s="459"/>
      <c r="U3679" s="459"/>
      <c r="V3679" s="459"/>
      <c r="W3679" s="459"/>
      <c r="X3679" s="459"/>
      <c r="Y3679" s="666"/>
      <c r="Z3679" s="664"/>
      <c r="AA3679" s="665"/>
      <c r="AB3679" s="665"/>
      <c r="AC3679" s="665"/>
      <c r="AD3679" s="665"/>
      <c r="AE3679" s="665"/>
      <c r="AF3679" s="649"/>
      <c r="AG3679" s="650"/>
      <c r="AH3679" s="650"/>
      <c r="AI3679" s="667"/>
    </row>
    <row r="3680" spans="12:35" ht="45" customHeight="1" thickBot="1" x14ac:dyDescent="0.25">
      <c r="L3680" s="645"/>
      <c r="M3680" s="616"/>
      <c r="N3680" s="616"/>
      <c r="O3680" s="616"/>
      <c r="P3680" s="615"/>
      <c r="Q3680" s="616"/>
      <c r="R3680" s="663"/>
      <c r="S3680" s="459"/>
      <c r="T3680" s="459"/>
      <c r="U3680" s="459"/>
      <c r="V3680" s="459"/>
      <c r="W3680" s="459"/>
      <c r="X3680" s="459"/>
      <c r="Y3680" s="666"/>
      <c r="Z3680" s="664"/>
      <c r="AA3680" s="665"/>
      <c r="AB3680" s="665"/>
      <c r="AC3680" s="665"/>
      <c r="AD3680" s="665"/>
      <c r="AE3680" s="665"/>
      <c r="AF3680" s="649"/>
      <c r="AG3680" s="650"/>
      <c r="AH3680" s="650"/>
      <c r="AI3680" s="667"/>
    </row>
    <row r="3681" spans="12:35" ht="45" customHeight="1" thickBot="1" x14ac:dyDescent="0.25">
      <c r="L3681" s="645"/>
      <c r="M3681" s="616"/>
      <c r="N3681" s="616"/>
      <c r="O3681" s="616"/>
      <c r="P3681" s="615"/>
      <c r="Q3681" s="616"/>
      <c r="R3681" s="663"/>
      <c r="S3681" s="459"/>
      <c r="T3681" s="459"/>
      <c r="U3681" s="459"/>
      <c r="V3681" s="459"/>
      <c r="W3681" s="459"/>
      <c r="X3681" s="459"/>
      <c r="Y3681" s="666"/>
      <c r="Z3681" s="664"/>
      <c r="AA3681" s="665"/>
      <c r="AB3681" s="665"/>
      <c r="AC3681" s="665"/>
      <c r="AD3681" s="665"/>
      <c r="AE3681" s="665"/>
      <c r="AF3681" s="649"/>
      <c r="AG3681" s="650"/>
      <c r="AH3681" s="650"/>
      <c r="AI3681" s="667"/>
    </row>
    <row r="3682" spans="12:35" ht="45" customHeight="1" thickBot="1" x14ac:dyDescent="0.25">
      <c r="L3682" s="645"/>
      <c r="M3682" s="616"/>
      <c r="N3682" s="616"/>
      <c r="O3682" s="616"/>
      <c r="P3682" s="615"/>
      <c r="Q3682" s="616"/>
      <c r="R3682" s="663"/>
      <c r="S3682" s="459"/>
      <c r="T3682" s="459"/>
      <c r="U3682" s="459"/>
      <c r="V3682" s="459"/>
      <c r="W3682" s="459"/>
      <c r="X3682" s="459"/>
      <c r="Y3682" s="666"/>
      <c r="Z3682" s="664"/>
      <c r="AA3682" s="665"/>
      <c r="AB3682" s="665"/>
      <c r="AC3682" s="665"/>
      <c r="AD3682" s="665"/>
      <c r="AE3682" s="665"/>
      <c r="AF3682" s="649"/>
      <c r="AG3682" s="650"/>
      <c r="AH3682" s="650"/>
      <c r="AI3682" s="667"/>
    </row>
    <row r="3683" spans="12:35" ht="45" customHeight="1" thickBot="1" x14ac:dyDescent="0.25">
      <c r="L3683" s="645"/>
      <c r="M3683" s="616"/>
      <c r="N3683" s="616"/>
      <c r="O3683" s="616"/>
      <c r="P3683" s="615"/>
      <c r="Q3683" s="616"/>
      <c r="R3683" s="663"/>
      <c r="S3683" s="459"/>
      <c r="T3683" s="459"/>
      <c r="U3683" s="459"/>
      <c r="V3683" s="459"/>
      <c r="W3683" s="459"/>
      <c r="X3683" s="459"/>
      <c r="Y3683" s="666"/>
      <c r="Z3683" s="664"/>
      <c r="AA3683" s="665"/>
      <c r="AB3683" s="665"/>
      <c r="AC3683" s="665"/>
      <c r="AD3683" s="665"/>
      <c r="AE3683" s="665"/>
      <c r="AF3683" s="649"/>
      <c r="AG3683" s="650"/>
      <c r="AH3683" s="650"/>
      <c r="AI3683" s="667"/>
    </row>
    <row r="3684" spans="12:35" ht="45" customHeight="1" thickBot="1" x14ac:dyDescent="0.25">
      <c r="L3684" s="645"/>
      <c r="M3684" s="616"/>
      <c r="N3684" s="616"/>
      <c r="O3684" s="616"/>
      <c r="P3684" s="615"/>
      <c r="Q3684" s="616"/>
      <c r="R3684" s="663"/>
      <c r="S3684" s="459"/>
      <c r="T3684" s="459"/>
      <c r="U3684" s="459"/>
      <c r="V3684" s="459"/>
      <c r="W3684" s="459"/>
      <c r="X3684" s="459"/>
      <c r="Y3684" s="666"/>
      <c r="Z3684" s="664"/>
      <c r="AA3684" s="665"/>
      <c r="AB3684" s="665"/>
      <c r="AC3684" s="665"/>
      <c r="AD3684" s="665"/>
      <c r="AE3684" s="665"/>
      <c r="AF3684" s="649"/>
      <c r="AG3684" s="650"/>
      <c r="AH3684" s="650"/>
      <c r="AI3684" s="667"/>
    </row>
    <row r="3685" spans="12:35" ht="45" customHeight="1" thickBot="1" x14ac:dyDescent="0.25">
      <c r="L3685" s="645"/>
      <c r="M3685" s="616"/>
      <c r="N3685" s="616"/>
      <c r="O3685" s="616"/>
      <c r="P3685" s="615"/>
      <c r="Q3685" s="616"/>
      <c r="R3685" s="663"/>
      <c r="S3685" s="459"/>
      <c r="T3685" s="459"/>
      <c r="U3685" s="459"/>
      <c r="V3685" s="459"/>
      <c r="W3685" s="459"/>
      <c r="X3685" s="459"/>
      <c r="Y3685" s="666"/>
      <c r="Z3685" s="664"/>
      <c r="AA3685" s="665"/>
      <c r="AB3685" s="665"/>
      <c r="AC3685" s="665"/>
      <c r="AD3685" s="665"/>
      <c r="AE3685" s="665"/>
      <c r="AF3685" s="649"/>
      <c r="AG3685" s="650"/>
      <c r="AH3685" s="650"/>
      <c r="AI3685" s="667"/>
    </row>
    <row r="3686" spans="12:35" ht="45" customHeight="1" thickBot="1" x14ac:dyDescent="0.25">
      <c r="L3686" s="645"/>
      <c r="M3686" s="616"/>
      <c r="N3686" s="616"/>
      <c r="O3686" s="616"/>
      <c r="P3686" s="615"/>
      <c r="Q3686" s="616"/>
      <c r="R3686" s="663"/>
      <c r="S3686" s="459"/>
      <c r="T3686" s="459"/>
      <c r="U3686" s="459"/>
      <c r="V3686" s="459"/>
      <c r="W3686" s="459"/>
      <c r="X3686" s="459"/>
      <c r="Y3686" s="666"/>
      <c r="Z3686" s="664"/>
      <c r="AA3686" s="665"/>
      <c r="AB3686" s="665"/>
      <c r="AC3686" s="665"/>
      <c r="AD3686" s="665"/>
      <c r="AE3686" s="665"/>
      <c r="AF3686" s="649"/>
      <c r="AG3686" s="650"/>
      <c r="AH3686" s="650"/>
      <c r="AI3686" s="667"/>
    </row>
    <row r="3687" spans="12:35" ht="45" customHeight="1" thickBot="1" x14ac:dyDescent="0.25">
      <c r="L3687" s="645"/>
      <c r="M3687" s="616"/>
      <c r="N3687" s="616"/>
      <c r="O3687" s="616"/>
      <c r="P3687" s="615"/>
      <c r="Q3687" s="616"/>
      <c r="R3687" s="663"/>
      <c r="S3687" s="459"/>
      <c r="T3687" s="459"/>
      <c r="U3687" s="459"/>
      <c r="V3687" s="459"/>
      <c r="W3687" s="459"/>
      <c r="X3687" s="459"/>
      <c r="Y3687" s="666"/>
      <c r="Z3687" s="664"/>
      <c r="AA3687" s="665"/>
      <c r="AB3687" s="665"/>
      <c r="AC3687" s="665"/>
      <c r="AD3687" s="665"/>
      <c r="AE3687" s="665"/>
      <c r="AF3687" s="649"/>
      <c r="AG3687" s="650"/>
      <c r="AH3687" s="650"/>
      <c r="AI3687" s="667"/>
    </row>
    <row r="3688" spans="12:35" ht="45" customHeight="1" thickBot="1" x14ac:dyDescent="0.25">
      <c r="L3688" s="645"/>
      <c r="M3688" s="616"/>
      <c r="N3688" s="616"/>
      <c r="O3688" s="616"/>
      <c r="P3688" s="615"/>
      <c r="Q3688" s="616"/>
      <c r="R3688" s="663"/>
      <c r="S3688" s="459"/>
      <c r="T3688" s="459"/>
      <c r="U3688" s="459"/>
      <c r="V3688" s="459"/>
      <c r="W3688" s="459"/>
      <c r="X3688" s="459"/>
      <c r="Y3688" s="666"/>
      <c r="Z3688" s="664"/>
      <c r="AA3688" s="665"/>
      <c r="AB3688" s="665"/>
      <c r="AC3688" s="665"/>
      <c r="AD3688" s="665"/>
      <c r="AE3688" s="665"/>
      <c r="AF3688" s="649"/>
      <c r="AG3688" s="650"/>
      <c r="AH3688" s="650"/>
      <c r="AI3688" s="667"/>
    </row>
    <row r="3689" spans="12:35" ht="45" customHeight="1" thickBot="1" x14ac:dyDescent="0.25">
      <c r="L3689" s="645"/>
      <c r="M3689" s="616"/>
      <c r="N3689" s="616"/>
      <c r="O3689" s="616"/>
      <c r="P3689" s="615"/>
      <c r="Q3689" s="616"/>
      <c r="R3689" s="663"/>
      <c r="S3689" s="459"/>
      <c r="T3689" s="459"/>
      <c r="U3689" s="459"/>
      <c r="V3689" s="459"/>
      <c r="W3689" s="459"/>
      <c r="X3689" s="459"/>
      <c r="Y3689" s="666"/>
      <c r="Z3689" s="664"/>
      <c r="AA3689" s="665"/>
      <c r="AB3689" s="665"/>
      <c r="AC3689" s="665"/>
      <c r="AD3689" s="665"/>
      <c r="AE3689" s="665"/>
      <c r="AF3689" s="649"/>
      <c r="AG3689" s="650"/>
      <c r="AH3689" s="650"/>
      <c r="AI3689" s="667"/>
    </row>
    <row r="3690" spans="12:35" ht="45" customHeight="1" thickBot="1" x14ac:dyDescent="0.25">
      <c r="L3690" s="645"/>
      <c r="M3690" s="616"/>
      <c r="N3690" s="616"/>
      <c r="O3690" s="616"/>
      <c r="P3690" s="615"/>
      <c r="Q3690" s="616"/>
      <c r="R3690" s="663"/>
      <c r="S3690" s="459"/>
      <c r="T3690" s="459"/>
      <c r="U3690" s="459"/>
      <c r="V3690" s="459"/>
      <c r="W3690" s="459"/>
      <c r="X3690" s="459"/>
      <c r="Y3690" s="666"/>
      <c r="Z3690" s="664"/>
      <c r="AA3690" s="665"/>
      <c r="AB3690" s="665"/>
      <c r="AC3690" s="665"/>
      <c r="AD3690" s="665"/>
      <c r="AE3690" s="665"/>
      <c r="AF3690" s="649"/>
      <c r="AG3690" s="650"/>
      <c r="AH3690" s="650"/>
      <c r="AI3690" s="667"/>
    </row>
    <row r="3691" spans="12:35" ht="45" customHeight="1" thickBot="1" x14ac:dyDescent="0.25">
      <c r="L3691" s="645"/>
      <c r="M3691" s="616"/>
      <c r="N3691" s="616"/>
      <c r="O3691" s="616"/>
      <c r="P3691" s="615"/>
      <c r="Q3691" s="616"/>
      <c r="R3691" s="663"/>
      <c r="S3691" s="459"/>
      <c r="T3691" s="459"/>
      <c r="U3691" s="459"/>
      <c r="V3691" s="459"/>
      <c r="W3691" s="459"/>
      <c r="X3691" s="459"/>
      <c r="Y3691" s="666"/>
      <c r="Z3691" s="664"/>
      <c r="AA3691" s="665"/>
      <c r="AB3691" s="665"/>
      <c r="AC3691" s="665"/>
      <c r="AD3691" s="665"/>
      <c r="AE3691" s="665"/>
      <c r="AF3691" s="649"/>
      <c r="AG3691" s="650"/>
      <c r="AH3691" s="650"/>
      <c r="AI3691" s="667"/>
    </row>
    <row r="3692" spans="12:35" ht="45" customHeight="1" thickBot="1" x14ac:dyDescent="0.25">
      <c r="L3692" s="645"/>
      <c r="M3692" s="616"/>
      <c r="N3692" s="616"/>
      <c r="O3692" s="616"/>
      <c r="P3692" s="615"/>
      <c r="Q3692" s="616"/>
      <c r="R3692" s="663"/>
      <c r="S3692" s="459"/>
      <c r="T3692" s="459"/>
      <c r="U3692" s="459"/>
      <c r="V3692" s="459"/>
      <c r="W3692" s="459"/>
      <c r="X3692" s="459"/>
      <c r="Y3692" s="666"/>
      <c r="Z3692" s="664"/>
      <c r="AA3692" s="665"/>
      <c r="AB3692" s="665"/>
      <c r="AC3692" s="665"/>
      <c r="AD3692" s="665"/>
      <c r="AE3692" s="665"/>
      <c r="AF3692" s="649"/>
      <c r="AG3692" s="650"/>
      <c r="AH3692" s="650"/>
      <c r="AI3692" s="667"/>
    </row>
    <row r="3693" spans="12:35" ht="45" customHeight="1" thickBot="1" x14ac:dyDescent="0.25">
      <c r="L3693" s="645"/>
      <c r="M3693" s="616"/>
      <c r="N3693" s="616"/>
      <c r="O3693" s="616"/>
      <c r="P3693" s="615"/>
      <c r="Q3693" s="616"/>
      <c r="R3693" s="663"/>
      <c r="S3693" s="459"/>
      <c r="T3693" s="459"/>
      <c r="U3693" s="459"/>
      <c r="V3693" s="459"/>
      <c r="W3693" s="459"/>
      <c r="X3693" s="459"/>
      <c r="Y3693" s="666"/>
      <c r="Z3693" s="664"/>
      <c r="AA3693" s="665"/>
      <c r="AB3693" s="665"/>
      <c r="AC3693" s="665"/>
      <c r="AD3693" s="665"/>
      <c r="AE3693" s="665"/>
      <c r="AF3693" s="649"/>
      <c r="AG3693" s="650"/>
      <c r="AH3693" s="650"/>
      <c r="AI3693" s="667"/>
    </row>
    <row r="3694" spans="12:35" ht="45" customHeight="1" thickBot="1" x14ac:dyDescent="0.25">
      <c r="L3694" s="645"/>
      <c r="M3694" s="616"/>
      <c r="N3694" s="616"/>
      <c r="O3694" s="616"/>
      <c r="P3694" s="615"/>
      <c r="Q3694" s="616"/>
      <c r="R3694" s="663"/>
      <c r="S3694" s="459"/>
      <c r="T3694" s="459"/>
      <c r="U3694" s="459"/>
      <c r="V3694" s="459"/>
      <c r="W3694" s="459"/>
      <c r="X3694" s="459"/>
      <c r="Y3694" s="666"/>
      <c r="Z3694" s="664"/>
      <c r="AA3694" s="665"/>
      <c r="AB3694" s="665"/>
      <c r="AC3694" s="665"/>
      <c r="AD3694" s="665"/>
      <c r="AE3694" s="665"/>
      <c r="AF3694" s="649"/>
      <c r="AG3694" s="650"/>
      <c r="AH3694" s="650"/>
      <c r="AI3694" s="667"/>
    </row>
    <row r="3695" spans="12:35" ht="45" customHeight="1" thickBot="1" x14ac:dyDescent="0.25">
      <c r="L3695" s="645"/>
      <c r="M3695" s="616"/>
      <c r="N3695" s="616"/>
      <c r="O3695" s="616"/>
      <c r="P3695" s="615"/>
      <c r="Q3695" s="616"/>
      <c r="R3695" s="663"/>
      <c r="S3695" s="459"/>
      <c r="T3695" s="459"/>
      <c r="U3695" s="459"/>
      <c r="V3695" s="459"/>
      <c r="W3695" s="459"/>
      <c r="X3695" s="459"/>
      <c r="Y3695" s="666"/>
      <c r="Z3695" s="664"/>
      <c r="AA3695" s="665"/>
      <c r="AB3695" s="665"/>
      <c r="AC3695" s="665"/>
      <c r="AD3695" s="665"/>
      <c r="AE3695" s="665"/>
      <c r="AF3695" s="649"/>
      <c r="AG3695" s="650"/>
      <c r="AH3695" s="650"/>
      <c r="AI3695" s="667"/>
    </row>
    <row r="3696" spans="12:35" ht="45" customHeight="1" thickBot="1" x14ac:dyDescent="0.25">
      <c r="L3696" s="645"/>
      <c r="M3696" s="616"/>
      <c r="N3696" s="616"/>
      <c r="O3696" s="616"/>
      <c r="P3696" s="615"/>
      <c r="Q3696" s="616"/>
      <c r="R3696" s="663"/>
      <c r="S3696" s="459"/>
      <c r="T3696" s="459"/>
      <c r="U3696" s="459"/>
      <c r="V3696" s="459"/>
      <c r="W3696" s="459"/>
      <c r="X3696" s="459"/>
      <c r="Y3696" s="666"/>
      <c r="Z3696" s="664"/>
      <c r="AA3696" s="665"/>
      <c r="AB3696" s="665"/>
      <c r="AC3696" s="665"/>
      <c r="AD3696" s="665"/>
      <c r="AE3696" s="665"/>
      <c r="AF3696" s="649"/>
      <c r="AG3696" s="650"/>
      <c r="AH3696" s="650"/>
      <c r="AI3696" s="667"/>
    </row>
    <row r="3697" spans="12:35" ht="45" customHeight="1" thickBot="1" x14ac:dyDescent="0.25">
      <c r="L3697" s="645"/>
      <c r="M3697" s="616"/>
      <c r="N3697" s="616"/>
      <c r="O3697" s="616"/>
      <c r="P3697" s="615"/>
      <c r="Q3697" s="616"/>
      <c r="R3697" s="663"/>
      <c r="S3697" s="459"/>
      <c r="T3697" s="459"/>
      <c r="U3697" s="459"/>
      <c r="V3697" s="459"/>
      <c r="W3697" s="459"/>
      <c r="X3697" s="459"/>
      <c r="Y3697" s="666"/>
      <c r="Z3697" s="664"/>
      <c r="AA3697" s="665"/>
      <c r="AB3697" s="665"/>
      <c r="AC3697" s="665"/>
      <c r="AD3697" s="665"/>
      <c r="AE3697" s="665"/>
      <c r="AF3697" s="649"/>
      <c r="AG3697" s="650"/>
      <c r="AH3697" s="650"/>
      <c r="AI3697" s="667"/>
    </row>
    <row r="3698" spans="12:35" ht="45" customHeight="1" thickBot="1" x14ac:dyDescent="0.25">
      <c r="L3698" s="645"/>
      <c r="M3698" s="616"/>
      <c r="N3698" s="616"/>
      <c r="O3698" s="616"/>
      <c r="P3698" s="615"/>
      <c r="Q3698" s="616"/>
      <c r="R3698" s="663"/>
      <c r="S3698" s="459"/>
      <c r="T3698" s="459"/>
      <c r="U3698" s="459"/>
      <c r="V3698" s="459"/>
      <c r="W3698" s="459"/>
      <c r="X3698" s="459"/>
      <c r="Y3698" s="666"/>
      <c r="Z3698" s="664"/>
      <c r="AA3698" s="665"/>
      <c r="AB3698" s="665"/>
      <c r="AC3698" s="665"/>
      <c r="AD3698" s="665"/>
      <c r="AE3698" s="665"/>
      <c r="AF3698" s="649"/>
      <c r="AG3698" s="650"/>
      <c r="AH3698" s="650"/>
      <c r="AI3698" s="667"/>
    </row>
    <row r="3699" spans="12:35" ht="45" customHeight="1" thickBot="1" x14ac:dyDescent="0.25">
      <c r="L3699" s="645"/>
      <c r="M3699" s="616"/>
      <c r="N3699" s="616"/>
      <c r="O3699" s="616"/>
      <c r="P3699" s="615"/>
      <c r="Q3699" s="616"/>
      <c r="R3699" s="663"/>
      <c r="S3699" s="459"/>
      <c r="T3699" s="459"/>
      <c r="U3699" s="459"/>
      <c r="V3699" s="459"/>
      <c r="W3699" s="459"/>
      <c r="X3699" s="459"/>
      <c r="Y3699" s="666"/>
      <c r="Z3699" s="664"/>
      <c r="AA3699" s="665"/>
      <c r="AB3699" s="665"/>
      <c r="AC3699" s="665"/>
      <c r="AD3699" s="665"/>
      <c r="AE3699" s="665"/>
      <c r="AF3699" s="649"/>
      <c r="AG3699" s="650"/>
      <c r="AH3699" s="650"/>
      <c r="AI3699" s="667"/>
    </row>
    <row r="3700" spans="12:35" ht="45" customHeight="1" thickBot="1" x14ac:dyDescent="0.25">
      <c r="L3700" s="645"/>
      <c r="M3700" s="616"/>
      <c r="N3700" s="616"/>
      <c r="O3700" s="616"/>
      <c r="P3700" s="615"/>
      <c r="Q3700" s="616"/>
      <c r="R3700" s="663"/>
      <c r="S3700" s="459"/>
      <c r="T3700" s="459"/>
      <c r="U3700" s="459"/>
      <c r="V3700" s="459"/>
      <c r="W3700" s="459"/>
      <c r="X3700" s="459"/>
      <c r="Y3700" s="666"/>
      <c r="Z3700" s="664"/>
      <c r="AA3700" s="665"/>
      <c r="AB3700" s="665"/>
      <c r="AC3700" s="665"/>
      <c r="AD3700" s="665"/>
      <c r="AE3700" s="665"/>
      <c r="AF3700" s="649"/>
      <c r="AG3700" s="650"/>
      <c r="AH3700" s="650"/>
      <c r="AI3700" s="667"/>
    </row>
    <row r="3701" spans="12:35" ht="45" customHeight="1" thickBot="1" x14ac:dyDescent="0.25">
      <c r="L3701" s="645"/>
      <c r="M3701" s="616"/>
      <c r="N3701" s="616"/>
      <c r="O3701" s="616"/>
      <c r="P3701" s="615"/>
      <c r="Q3701" s="616"/>
      <c r="R3701" s="663"/>
      <c r="S3701" s="459"/>
      <c r="T3701" s="459"/>
      <c r="U3701" s="459"/>
      <c r="V3701" s="459"/>
      <c r="W3701" s="459"/>
      <c r="X3701" s="459"/>
      <c r="Y3701" s="666"/>
      <c r="Z3701" s="664"/>
      <c r="AA3701" s="665"/>
      <c r="AB3701" s="665"/>
      <c r="AC3701" s="665"/>
      <c r="AD3701" s="665"/>
      <c r="AE3701" s="665"/>
      <c r="AF3701" s="649"/>
      <c r="AG3701" s="650"/>
      <c r="AH3701" s="650"/>
      <c r="AI3701" s="667"/>
    </row>
    <row r="3702" spans="12:35" ht="45" customHeight="1" thickBot="1" x14ac:dyDescent="0.25">
      <c r="L3702" s="645"/>
      <c r="M3702" s="616"/>
      <c r="N3702" s="616"/>
      <c r="O3702" s="616"/>
      <c r="P3702" s="615"/>
      <c r="Q3702" s="616"/>
      <c r="R3702" s="663"/>
      <c r="S3702" s="459"/>
      <c r="T3702" s="459"/>
      <c r="U3702" s="459"/>
      <c r="V3702" s="459"/>
      <c r="W3702" s="459"/>
      <c r="X3702" s="459"/>
      <c r="Y3702" s="666"/>
      <c r="Z3702" s="664"/>
      <c r="AA3702" s="665"/>
      <c r="AB3702" s="665"/>
      <c r="AC3702" s="665"/>
      <c r="AD3702" s="665"/>
      <c r="AE3702" s="665"/>
      <c r="AF3702" s="649"/>
      <c r="AG3702" s="650"/>
      <c r="AH3702" s="650"/>
      <c r="AI3702" s="667"/>
    </row>
    <row r="3703" spans="12:35" ht="45" customHeight="1" thickBot="1" x14ac:dyDescent="0.25">
      <c r="L3703" s="645"/>
      <c r="M3703" s="616"/>
      <c r="N3703" s="616"/>
      <c r="O3703" s="616"/>
      <c r="P3703" s="615"/>
      <c r="Q3703" s="616"/>
      <c r="R3703" s="663"/>
      <c r="S3703" s="459"/>
      <c r="T3703" s="459"/>
      <c r="U3703" s="459"/>
      <c r="V3703" s="459"/>
      <c r="W3703" s="459"/>
      <c r="X3703" s="459"/>
      <c r="Y3703" s="666"/>
      <c r="Z3703" s="664"/>
      <c r="AA3703" s="665"/>
      <c r="AB3703" s="665"/>
      <c r="AC3703" s="665"/>
      <c r="AD3703" s="665"/>
      <c r="AE3703" s="665"/>
      <c r="AF3703" s="649"/>
      <c r="AG3703" s="650"/>
      <c r="AH3703" s="650"/>
      <c r="AI3703" s="667"/>
    </row>
    <row r="3704" spans="12:35" ht="45" customHeight="1" thickBot="1" x14ac:dyDescent="0.25">
      <c r="L3704" s="645"/>
      <c r="M3704" s="616"/>
      <c r="N3704" s="616"/>
      <c r="O3704" s="616"/>
      <c r="P3704" s="615"/>
      <c r="Q3704" s="616"/>
      <c r="R3704" s="663"/>
      <c r="S3704" s="459"/>
      <c r="T3704" s="459"/>
      <c r="U3704" s="459"/>
      <c r="V3704" s="459"/>
      <c r="W3704" s="459"/>
      <c r="X3704" s="459"/>
      <c r="Y3704" s="666"/>
      <c r="Z3704" s="664"/>
      <c r="AA3704" s="665"/>
      <c r="AB3704" s="665"/>
      <c r="AC3704" s="665"/>
      <c r="AD3704" s="665"/>
      <c r="AE3704" s="665"/>
      <c r="AF3704" s="649"/>
      <c r="AG3704" s="650"/>
      <c r="AH3704" s="650"/>
      <c r="AI3704" s="667"/>
    </row>
    <row r="3705" spans="12:35" ht="45" customHeight="1" thickBot="1" x14ac:dyDescent="0.25">
      <c r="L3705" s="645"/>
      <c r="M3705" s="616"/>
      <c r="N3705" s="616"/>
      <c r="O3705" s="616"/>
      <c r="P3705" s="615"/>
      <c r="Q3705" s="616"/>
      <c r="R3705" s="663"/>
      <c r="S3705" s="459"/>
      <c r="T3705" s="459"/>
      <c r="U3705" s="459"/>
      <c r="V3705" s="459"/>
      <c r="W3705" s="459"/>
      <c r="X3705" s="459"/>
      <c r="Y3705" s="666"/>
      <c r="Z3705" s="664"/>
      <c r="AA3705" s="665"/>
      <c r="AB3705" s="665"/>
      <c r="AC3705" s="665"/>
      <c r="AD3705" s="665"/>
      <c r="AE3705" s="665"/>
      <c r="AF3705" s="649"/>
      <c r="AG3705" s="650"/>
      <c r="AH3705" s="650"/>
      <c r="AI3705" s="667"/>
    </row>
    <row r="3706" spans="12:35" ht="45" customHeight="1" thickBot="1" x14ac:dyDescent="0.25">
      <c r="L3706" s="645"/>
      <c r="M3706" s="616"/>
      <c r="N3706" s="616"/>
      <c r="O3706" s="616"/>
      <c r="P3706" s="615"/>
      <c r="Q3706" s="616"/>
      <c r="R3706" s="663"/>
      <c r="S3706" s="459"/>
      <c r="T3706" s="459"/>
      <c r="U3706" s="459"/>
      <c r="V3706" s="459"/>
      <c r="W3706" s="459"/>
      <c r="X3706" s="459"/>
      <c r="Y3706" s="666"/>
      <c r="Z3706" s="664"/>
      <c r="AA3706" s="665"/>
      <c r="AB3706" s="665"/>
      <c r="AC3706" s="665"/>
      <c r="AD3706" s="665"/>
      <c r="AE3706" s="665"/>
      <c r="AF3706" s="649"/>
      <c r="AG3706" s="650"/>
      <c r="AH3706" s="650"/>
      <c r="AI3706" s="667"/>
    </row>
    <row r="3707" spans="12:35" ht="45" customHeight="1" thickBot="1" x14ac:dyDescent="0.25">
      <c r="L3707" s="645"/>
      <c r="M3707" s="616"/>
      <c r="N3707" s="616"/>
      <c r="O3707" s="616"/>
      <c r="P3707" s="615"/>
      <c r="Q3707" s="616"/>
      <c r="R3707" s="663"/>
      <c r="S3707" s="459"/>
      <c r="T3707" s="459"/>
      <c r="U3707" s="459"/>
      <c r="V3707" s="459"/>
      <c r="W3707" s="459"/>
      <c r="X3707" s="459"/>
      <c r="Y3707" s="666"/>
      <c r="Z3707" s="664"/>
      <c r="AA3707" s="665"/>
      <c r="AB3707" s="665"/>
      <c r="AC3707" s="665"/>
      <c r="AD3707" s="665"/>
      <c r="AE3707" s="665"/>
      <c r="AF3707" s="649"/>
      <c r="AG3707" s="650"/>
      <c r="AH3707" s="650"/>
      <c r="AI3707" s="667"/>
    </row>
    <row r="3708" spans="12:35" ht="45" customHeight="1" thickBot="1" x14ac:dyDescent="0.25">
      <c r="L3708" s="645"/>
      <c r="M3708" s="616"/>
      <c r="N3708" s="616"/>
      <c r="O3708" s="616"/>
      <c r="P3708" s="615"/>
      <c r="Q3708" s="616"/>
      <c r="R3708" s="663"/>
      <c r="S3708" s="459"/>
      <c r="T3708" s="459"/>
      <c r="U3708" s="459"/>
      <c r="V3708" s="459"/>
      <c r="W3708" s="459"/>
      <c r="X3708" s="459"/>
      <c r="Y3708" s="666"/>
      <c r="Z3708" s="664"/>
      <c r="AA3708" s="665"/>
      <c r="AB3708" s="665"/>
      <c r="AC3708" s="665"/>
      <c r="AD3708" s="665"/>
      <c r="AE3708" s="665"/>
      <c r="AF3708" s="649"/>
      <c r="AG3708" s="650"/>
      <c r="AH3708" s="650"/>
      <c r="AI3708" s="667"/>
    </row>
    <row r="3709" spans="12:35" ht="45" customHeight="1" thickBot="1" x14ac:dyDescent="0.25">
      <c r="L3709" s="645"/>
      <c r="M3709" s="616"/>
      <c r="N3709" s="616"/>
      <c r="O3709" s="616"/>
      <c r="P3709" s="615"/>
      <c r="Q3709" s="616"/>
      <c r="R3709" s="663"/>
      <c r="S3709" s="459"/>
      <c r="T3709" s="459"/>
      <c r="U3709" s="459"/>
      <c r="V3709" s="459"/>
      <c r="W3709" s="459"/>
      <c r="X3709" s="459"/>
      <c r="Y3709" s="666"/>
      <c r="Z3709" s="664"/>
      <c r="AA3709" s="665"/>
      <c r="AB3709" s="665"/>
      <c r="AC3709" s="665"/>
      <c r="AD3709" s="665"/>
      <c r="AE3709" s="665"/>
      <c r="AF3709" s="649"/>
      <c r="AG3709" s="650"/>
      <c r="AH3709" s="650"/>
      <c r="AI3709" s="667"/>
    </row>
    <row r="3710" spans="12:35" ht="45" customHeight="1" thickBot="1" x14ac:dyDescent="0.25">
      <c r="L3710" s="645"/>
      <c r="M3710" s="616"/>
      <c r="N3710" s="616"/>
      <c r="O3710" s="616"/>
      <c r="P3710" s="615"/>
      <c r="Q3710" s="616"/>
      <c r="R3710" s="663"/>
      <c r="S3710" s="459"/>
      <c r="T3710" s="459"/>
      <c r="U3710" s="459"/>
      <c r="V3710" s="459"/>
      <c r="W3710" s="459"/>
      <c r="X3710" s="459"/>
      <c r="Y3710" s="666"/>
      <c r="Z3710" s="664"/>
      <c r="AA3710" s="665"/>
      <c r="AB3710" s="665"/>
      <c r="AC3710" s="665"/>
      <c r="AD3710" s="665"/>
      <c r="AE3710" s="665"/>
      <c r="AF3710" s="649"/>
      <c r="AG3710" s="650"/>
      <c r="AH3710" s="650"/>
      <c r="AI3710" s="667"/>
    </row>
    <row r="3711" spans="12:35" ht="45" customHeight="1" thickBot="1" x14ac:dyDescent="0.25">
      <c r="L3711" s="645"/>
      <c r="M3711" s="616"/>
      <c r="N3711" s="616"/>
      <c r="O3711" s="616"/>
      <c r="P3711" s="615"/>
      <c r="Q3711" s="616"/>
      <c r="R3711" s="663"/>
      <c r="S3711" s="459"/>
      <c r="T3711" s="459"/>
      <c r="U3711" s="459"/>
      <c r="V3711" s="459"/>
      <c r="W3711" s="459"/>
      <c r="X3711" s="459"/>
      <c r="Y3711" s="666"/>
      <c r="Z3711" s="664"/>
      <c r="AA3711" s="665"/>
      <c r="AB3711" s="665"/>
      <c r="AC3711" s="665"/>
      <c r="AD3711" s="665"/>
      <c r="AE3711" s="665"/>
      <c r="AF3711" s="649"/>
      <c r="AG3711" s="650"/>
      <c r="AH3711" s="650"/>
      <c r="AI3711" s="667"/>
    </row>
    <row r="3712" spans="12:35" ht="45" customHeight="1" thickBot="1" x14ac:dyDescent="0.25">
      <c r="L3712" s="645"/>
      <c r="M3712" s="616"/>
      <c r="N3712" s="616"/>
      <c r="O3712" s="616"/>
      <c r="P3712" s="615"/>
      <c r="Q3712" s="616"/>
      <c r="R3712" s="663"/>
      <c r="S3712" s="459"/>
      <c r="T3712" s="459"/>
      <c r="U3712" s="459"/>
      <c r="V3712" s="459"/>
      <c r="W3712" s="459"/>
      <c r="X3712" s="459"/>
      <c r="Y3712" s="666"/>
      <c r="Z3712" s="664"/>
      <c r="AA3712" s="665"/>
      <c r="AB3712" s="665"/>
      <c r="AC3712" s="665"/>
      <c r="AD3712" s="665"/>
      <c r="AE3712" s="665"/>
      <c r="AF3712" s="649"/>
      <c r="AG3712" s="650"/>
      <c r="AH3712" s="650"/>
      <c r="AI3712" s="667"/>
    </row>
    <row r="3713" spans="12:35" ht="45" customHeight="1" thickBot="1" x14ac:dyDescent="0.25">
      <c r="L3713" s="645"/>
      <c r="M3713" s="616"/>
      <c r="N3713" s="616"/>
      <c r="O3713" s="616"/>
      <c r="P3713" s="615"/>
      <c r="Q3713" s="616"/>
      <c r="R3713" s="663"/>
      <c r="S3713" s="459"/>
      <c r="T3713" s="459"/>
      <c r="U3713" s="459"/>
      <c r="V3713" s="459"/>
      <c r="W3713" s="459"/>
      <c r="X3713" s="459"/>
      <c r="Y3713" s="666"/>
      <c r="Z3713" s="664"/>
      <c r="AA3713" s="665"/>
      <c r="AB3713" s="665"/>
      <c r="AC3713" s="665"/>
      <c r="AD3713" s="665"/>
      <c r="AE3713" s="665"/>
      <c r="AF3713" s="649"/>
      <c r="AG3713" s="650"/>
      <c r="AH3713" s="650"/>
      <c r="AI3713" s="667"/>
    </row>
    <row r="3714" spans="12:35" ht="45" customHeight="1" thickBot="1" x14ac:dyDescent="0.25">
      <c r="L3714" s="645"/>
      <c r="M3714" s="616"/>
      <c r="N3714" s="616"/>
      <c r="O3714" s="616"/>
      <c r="P3714" s="615"/>
      <c r="Q3714" s="616"/>
      <c r="R3714" s="663"/>
      <c r="S3714" s="459"/>
      <c r="T3714" s="459"/>
      <c r="U3714" s="459"/>
      <c r="V3714" s="459"/>
      <c r="W3714" s="459"/>
      <c r="X3714" s="459"/>
      <c r="Y3714" s="666"/>
      <c r="Z3714" s="664"/>
      <c r="AA3714" s="665"/>
      <c r="AB3714" s="665"/>
      <c r="AC3714" s="665"/>
      <c r="AD3714" s="665"/>
      <c r="AE3714" s="665"/>
      <c r="AF3714" s="649"/>
      <c r="AG3714" s="650"/>
      <c r="AH3714" s="650"/>
      <c r="AI3714" s="667"/>
    </row>
    <row r="3715" spans="12:35" ht="45" customHeight="1" thickBot="1" x14ac:dyDescent="0.25">
      <c r="L3715" s="645"/>
      <c r="M3715" s="616"/>
      <c r="N3715" s="616"/>
      <c r="O3715" s="616"/>
      <c r="P3715" s="615"/>
      <c r="Q3715" s="616"/>
      <c r="R3715" s="663"/>
      <c r="S3715" s="459"/>
      <c r="T3715" s="459"/>
      <c r="U3715" s="459"/>
      <c r="V3715" s="459"/>
      <c r="W3715" s="459"/>
      <c r="X3715" s="459"/>
      <c r="Y3715" s="666"/>
      <c r="Z3715" s="664"/>
      <c r="AA3715" s="665"/>
      <c r="AB3715" s="665"/>
      <c r="AC3715" s="665"/>
      <c r="AD3715" s="665"/>
      <c r="AE3715" s="665"/>
      <c r="AF3715" s="649"/>
      <c r="AG3715" s="650"/>
      <c r="AH3715" s="650"/>
      <c r="AI3715" s="667"/>
    </row>
    <row r="3716" spans="12:35" ht="45" customHeight="1" thickBot="1" x14ac:dyDescent="0.25">
      <c r="L3716" s="645"/>
      <c r="M3716" s="616"/>
      <c r="N3716" s="616"/>
      <c r="O3716" s="616"/>
      <c r="P3716" s="615"/>
      <c r="Q3716" s="616"/>
      <c r="R3716" s="663"/>
      <c r="S3716" s="459"/>
      <c r="T3716" s="459"/>
      <c r="U3716" s="459"/>
      <c r="V3716" s="459"/>
      <c r="W3716" s="459"/>
      <c r="X3716" s="459"/>
      <c r="Y3716" s="666"/>
      <c r="Z3716" s="664"/>
      <c r="AA3716" s="665"/>
      <c r="AB3716" s="665"/>
      <c r="AC3716" s="665"/>
      <c r="AD3716" s="665"/>
      <c r="AE3716" s="665"/>
      <c r="AF3716" s="649"/>
      <c r="AG3716" s="650"/>
      <c r="AH3716" s="650"/>
      <c r="AI3716" s="667"/>
    </row>
    <row r="3717" spans="12:35" ht="45" customHeight="1" thickBot="1" x14ac:dyDescent="0.25">
      <c r="L3717" s="645"/>
      <c r="M3717" s="616"/>
      <c r="N3717" s="616"/>
      <c r="O3717" s="616"/>
      <c r="P3717" s="615"/>
      <c r="Q3717" s="616"/>
      <c r="R3717" s="663"/>
      <c r="S3717" s="459"/>
      <c r="T3717" s="459"/>
      <c r="U3717" s="459"/>
      <c r="V3717" s="459"/>
      <c r="W3717" s="459"/>
      <c r="X3717" s="459"/>
      <c r="Y3717" s="666"/>
      <c r="Z3717" s="664"/>
      <c r="AA3717" s="665"/>
      <c r="AB3717" s="665"/>
      <c r="AC3717" s="665"/>
      <c r="AD3717" s="665"/>
      <c r="AE3717" s="665"/>
      <c r="AF3717" s="649"/>
      <c r="AG3717" s="650"/>
      <c r="AH3717" s="650"/>
      <c r="AI3717" s="667"/>
    </row>
    <row r="3718" spans="12:35" ht="45" customHeight="1" thickBot="1" x14ac:dyDescent="0.25">
      <c r="L3718" s="645"/>
      <c r="M3718" s="616"/>
      <c r="N3718" s="616"/>
      <c r="O3718" s="616"/>
      <c r="P3718" s="615"/>
      <c r="Q3718" s="616"/>
      <c r="R3718" s="663"/>
      <c r="S3718" s="459"/>
      <c r="T3718" s="459"/>
      <c r="U3718" s="459"/>
      <c r="V3718" s="459"/>
      <c r="W3718" s="459"/>
      <c r="X3718" s="459"/>
      <c r="Y3718" s="666"/>
      <c r="Z3718" s="664"/>
      <c r="AA3718" s="665"/>
      <c r="AB3718" s="665"/>
      <c r="AC3718" s="665"/>
      <c r="AD3718" s="665"/>
      <c r="AE3718" s="665"/>
      <c r="AF3718" s="649"/>
      <c r="AG3718" s="650"/>
      <c r="AH3718" s="650"/>
      <c r="AI3718" s="667"/>
    </row>
    <row r="3719" spans="12:35" ht="45" customHeight="1" thickBot="1" x14ac:dyDescent="0.25">
      <c r="L3719" s="645"/>
      <c r="M3719" s="616"/>
      <c r="N3719" s="616"/>
      <c r="O3719" s="616"/>
      <c r="P3719" s="615"/>
      <c r="Q3719" s="616"/>
      <c r="R3719" s="663"/>
      <c r="S3719" s="459"/>
      <c r="T3719" s="459"/>
      <c r="U3719" s="459"/>
      <c r="V3719" s="459"/>
      <c r="W3719" s="459"/>
      <c r="X3719" s="459"/>
      <c r="Y3719" s="666"/>
      <c r="Z3719" s="664"/>
      <c r="AA3719" s="665"/>
      <c r="AB3719" s="665"/>
      <c r="AC3719" s="665"/>
      <c r="AD3719" s="665"/>
      <c r="AE3719" s="665"/>
      <c r="AF3719" s="649"/>
      <c r="AG3719" s="650"/>
      <c r="AH3719" s="650"/>
      <c r="AI3719" s="667"/>
    </row>
    <row r="3720" spans="12:35" ht="45" customHeight="1" thickBot="1" x14ac:dyDescent="0.25">
      <c r="L3720" s="645"/>
      <c r="M3720" s="616"/>
      <c r="N3720" s="616"/>
      <c r="O3720" s="616"/>
      <c r="P3720" s="615"/>
      <c r="Q3720" s="616"/>
      <c r="R3720" s="663"/>
      <c r="S3720" s="459"/>
      <c r="T3720" s="459"/>
      <c r="U3720" s="459"/>
      <c r="V3720" s="459"/>
      <c r="W3720" s="459"/>
      <c r="X3720" s="459"/>
      <c r="Y3720" s="666"/>
      <c r="Z3720" s="664"/>
      <c r="AA3720" s="665"/>
      <c r="AB3720" s="665"/>
      <c r="AC3720" s="665"/>
      <c r="AD3720" s="665"/>
      <c r="AE3720" s="665"/>
      <c r="AF3720" s="649"/>
      <c r="AG3720" s="650"/>
      <c r="AH3720" s="650"/>
      <c r="AI3720" s="667"/>
    </row>
    <row r="3721" spans="12:35" ht="45" customHeight="1" thickBot="1" x14ac:dyDescent="0.25">
      <c r="L3721" s="645"/>
      <c r="M3721" s="616"/>
      <c r="N3721" s="616"/>
      <c r="O3721" s="616"/>
      <c r="P3721" s="615"/>
      <c r="Q3721" s="616"/>
      <c r="R3721" s="663"/>
      <c r="S3721" s="459"/>
      <c r="T3721" s="459"/>
      <c r="U3721" s="459"/>
      <c r="V3721" s="459"/>
      <c r="W3721" s="459"/>
      <c r="X3721" s="459"/>
      <c r="Y3721" s="666"/>
      <c r="Z3721" s="664"/>
      <c r="AA3721" s="665"/>
      <c r="AB3721" s="665"/>
      <c r="AC3721" s="665"/>
      <c r="AD3721" s="665"/>
      <c r="AE3721" s="665"/>
      <c r="AF3721" s="649"/>
      <c r="AG3721" s="650"/>
      <c r="AH3721" s="650"/>
      <c r="AI3721" s="667"/>
    </row>
    <row r="3722" spans="12:35" ht="45" customHeight="1" thickBot="1" x14ac:dyDescent="0.25">
      <c r="L3722" s="645"/>
      <c r="M3722" s="616"/>
      <c r="N3722" s="616"/>
      <c r="O3722" s="616"/>
      <c r="P3722" s="615"/>
      <c r="Q3722" s="616"/>
      <c r="R3722" s="663"/>
      <c r="S3722" s="459"/>
      <c r="T3722" s="459"/>
      <c r="U3722" s="459"/>
      <c r="V3722" s="459"/>
      <c r="W3722" s="459"/>
      <c r="X3722" s="459"/>
      <c r="Y3722" s="666"/>
      <c r="Z3722" s="664"/>
      <c r="AA3722" s="665"/>
      <c r="AB3722" s="665"/>
      <c r="AC3722" s="665"/>
      <c r="AD3722" s="665"/>
      <c r="AE3722" s="665"/>
      <c r="AF3722" s="649"/>
      <c r="AG3722" s="650"/>
      <c r="AH3722" s="650"/>
      <c r="AI3722" s="667"/>
    </row>
    <row r="3723" spans="12:35" ht="45" customHeight="1" thickBot="1" x14ac:dyDescent="0.25">
      <c r="L3723" s="645"/>
      <c r="M3723" s="616"/>
      <c r="N3723" s="616"/>
      <c r="O3723" s="616"/>
      <c r="P3723" s="615"/>
      <c r="Q3723" s="616"/>
      <c r="R3723" s="663"/>
      <c r="S3723" s="459"/>
      <c r="T3723" s="459"/>
      <c r="U3723" s="459"/>
      <c r="V3723" s="459"/>
      <c r="W3723" s="459"/>
      <c r="X3723" s="459"/>
      <c r="Y3723" s="666"/>
      <c r="Z3723" s="664"/>
      <c r="AA3723" s="665"/>
      <c r="AB3723" s="665"/>
      <c r="AC3723" s="665"/>
      <c r="AD3723" s="665"/>
      <c r="AE3723" s="665"/>
      <c r="AF3723" s="649"/>
      <c r="AG3723" s="650"/>
      <c r="AH3723" s="650"/>
      <c r="AI3723" s="667"/>
    </row>
    <row r="3724" spans="12:35" ht="45" customHeight="1" thickBot="1" x14ac:dyDescent="0.25">
      <c r="L3724" s="645"/>
      <c r="M3724" s="616"/>
      <c r="N3724" s="616"/>
      <c r="O3724" s="616"/>
      <c r="P3724" s="615"/>
      <c r="Q3724" s="616"/>
      <c r="R3724" s="663"/>
      <c r="S3724" s="459"/>
      <c r="T3724" s="459"/>
      <c r="U3724" s="459"/>
      <c r="V3724" s="459"/>
      <c r="W3724" s="459"/>
      <c r="X3724" s="459"/>
      <c r="Y3724" s="666"/>
      <c r="Z3724" s="664"/>
      <c r="AA3724" s="665"/>
      <c r="AB3724" s="665"/>
      <c r="AC3724" s="665"/>
      <c r="AD3724" s="665"/>
      <c r="AE3724" s="665"/>
      <c r="AF3724" s="649"/>
      <c r="AG3724" s="650"/>
      <c r="AH3724" s="650"/>
      <c r="AI3724" s="667"/>
    </row>
    <row r="3725" spans="12:35" ht="45" customHeight="1" thickBot="1" x14ac:dyDescent="0.25">
      <c r="L3725" s="645"/>
      <c r="M3725" s="616"/>
      <c r="N3725" s="616"/>
      <c r="O3725" s="616"/>
      <c r="P3725" s="615"/>
      <c r="Q3725" s="616"/>
      <c r="R3725" s="663"/>
      <c r="S3725" s="459"/>
      <c r="T3725" s="459"/>
      <c r="U3725" s="459"/>
      <c r="V3725" s="459"/>
      <c r="W3725" s="459"/>
      <c r="X3725" s="459"/>
      <c r="Y3725" s="666"/>
      <c r="Z3725" s="664"/>
      <c r="AA3725" s="665"/>
      <c r="AB3725" s="665"/>
      <c r="AC3725" s="665"/>
      <c r="AD3725" s="665"/>
      <c r="AE3725" s="665"/>
      <c r="AF3725" s="649"/>
      <c r="AG3725" s="650"/>
      <c r="AH3725" s="650"/>
      <c r="AI3725" s="667"/>
    </row>
    <row r="3726" spans="12:35" ht="45" customHeight="1" thickBot="1" x14ac:dyDescent="0.25">
      <c r="L3726" s="645"/>
      <c r="M3726" s="616"/>
      <c r="N3726" s="616"/>
      <c r="O3726" s="616"/>
      <c r="P3726" s="615"/>
      <c r="Q3726" s="616"/>
      <c r="R3726" s="663"/>
      <c r="S3726" s="459"/>
      <c r="T3726" s="459"/>
      <c r="U3726" s="459"/>
      <c r="V3726" s="459"/>
      <c r="W3726" s="459"/>
      <c r="X3726" s="459"/>
      <c r="Y3726" s="666"/>
      <c r="Z3726" s="664"/>
      <c r="AA3726" s="665"/>
      <c r="AB3726" s="665"/>
      <c r="AC3726" s="665"/>
      <c r="AD3726" s="665"/>
      <c r="AE3726" s="665"/>
      <c r="AF3726" s="649"/>
      <c r="AG3726" s="650"/>
      <c r="AH3726" s="650"/>
      <c r="AI3726" s="667"/>
    </row>
    <row r="3727" spans="12:35" ht="45" customHeight="1" thickBot="1" x14ac:dyDescent="0.25">
      <c r="L3727" s="645"/>
      <c r="M3727" s="616"/>
      <c r="N3727" s="616"/>
      <c r="O3727" s="616"/>
      <c r="P3727" s="615"/>
      <c r="Q3727" s="616"/>
      <c r="R3727" s="663"/>
      <c r="S3727" s="459"/>
      <c r="T3727" s="459"/>
      <c r="U3727" s="459"/>
      <c r="V3727" s="459"/>
      <c r="W3727" s="459"/>
      <c r="X3727" s="459"/>
      <c r="Y3727" s="666"/>
      <c r="Z3727" s="664"/>
      <c r="AA3727" s="665"/>
      <c r="AB3727" s="665"/>
      <c r="AC3727" s="665"/>
      <c r="AD3727" s="665"/>
      <c r="AE3727" s="665"/>
      <c r="AF3727" s="649"/>
      <c r="AG3727" s="650"/>
      <c r="AH3727" s="650"/>
      <c r="AI3727" s="667"/>
    </row>
    <row r="3728" spans="12:35" ht="45" customHeight="1" thickBot="1" x14ac:dyDescent="0.25">
      <c r="L3728" s="645"/>
      <c r="M3728" s="616"/>
      <c r="N3728" s="616"/>
      <c r="O3728" s="616"/>
      <c r="P3728" s="615"/>
      <c r="Q3728" s="616"/>
      <c r="R3728" s="663"/>
      <c r="S3728" s="459"/>
      <c r="T3728" s="459"/>
      <c r="U3728" s="459"/>
      <c r="V3728" s="459"/>
      <c r="W3728" s="459"/>
      <c r="X3728" s="459"/>
      <c r="Y3728" s="666"/>
      <c r="Z3728" s="664"/>
      <c r="AA3728" s="665"/>
      <c r="AB3728" s="665"/>
      <c r="AC3728" s="665"/>
      <c r="AD3728" s="665"/>
      <c r="AE3728" s="665"/>
      <c r="AF3728" s="649"/>
      <c r="AG3728" s="650"/>
      <c r="AH3728" s="650"/>
      <c r="AI3728" s="667"/>
    </row>
    <row r="3729" spans="12:35" ht="45" customHeight="1" thickBot="1" x14ac:dyDescent="0.25">
      <c r="L3729" s="645"/>
      <c r="M3729" s="616"/>
      <c r="N3729" s="616"/>
      <c r="O3729" s="616"/>
      <c r="P3729" s="615"/>
      <c r="Q3729" s="616"/>
      <c r="R3729" s="663"/>
      <c r="S3729" s="459"/>
      <c r="T3729" s="459"/>
      <c r="U3729" s="459"/>
      <c r="V3729" s="459"/>
      <c r="W3729" s="459"/>
      <c r="X3729" s="459"/>
      <c r="Y3729" s="666"/>
      <c r="Z3729" s="664"/>
      <c r="AA3729" s="665"/>
      <c r="AB3729" s="665"/>
      <c r="AC3729" s="665"/>
      <c r="AD3729" s="665"/>
      <c r="AE3729" s="665"/>
      <c r="AF3729" s="649"/>
      <c r="AG3729" s="650"/>
      <c r="AH3729" s="650"/>
      <c r="AI3729" s="667"/>
    </row>
    <row r="3730" spans="12:35" ht="45" customHeight="1" thickBot="1" x14ac:dyDescent="0.25">
      <c r="L3730" s="645"/>
      <c r="M3730" s="616"/>
      <c r="N3730" s="616"/>
      <c r="O3730" s="616"/>
      <c r="P3730" s="615"/>
      <c r="Q3730" s="616"/>
      <c r="R3730" s="663"/>
      <c r="S3730" s="459"/>
      <c r="T3730" s="459"/>
      <c r="U3730" s="459"/>
      <c r="V3730" s="459"/>
      <c r="W3730" s="459"/>
      <c r="X3730" s="459"/>
      <c r="Y3730" s="666"/>
      <c r="Z3730" s="664"/>
      <c r="AA3730" s="665"/>
      <c r="AB3730" s="665"/>
      <c r="AC3730" s="665"/>
      <c r="AD3730" s="665"/>
      <c r="AE3730" s="665"/>
      <c r="AF3730" s="649"/>
      <c r="AG3730" s="650"/>
      <c r="AH3730" s="650"/>
      <c r="AI3730" s="667"/>
    </row>
    <row r="3731" spans="12:35" ht="45" customHeight="1" thickBot="1" x14ac:dyDescent="0.25">
      <c r="L3731" s="645"/>
      <c r="M3731" s="616"/>
      <c r="N3731" s="616"/>
      <c r="O3731" s="616"/>
      <c r="P3731" s="615"/>
      <c r="Q3731" s="616"/>
      <c r="R3731" s="663"/>
      <c r="S3731" s="459"/>
      <c r="T3731" s="459"/>
      <c r="U3731" s="459"/>
      <c r="V3731" s="459"/>
      <c r="W3731" s="459"/>
      <c r="X3731" s="459"/>
      <c r="Y3731" s="666"/>
      <c r="Z3731" s="664"/>
      <c r="AA3731" s="665"/>
      <c r="AB3731" s="665"/>
      <c r="AC3731" s="665"/>
      <c r="AD3731" s="665"/>
      <c r="AE3731" s="665"/>
      <c r="AF3731" s="649"/>
      <c r="AG3731" s="650"/>
      <c r="AH3731" s="650"/>
      <c r="AI3731" s="667"/>
    </row>
    <row r="3732" spans="12:35" ht="45" customHeight="1" thickBot="1" x14ac:dyDescent="0.25">
      <c r="L3732" s="645"/>
      <c r="M3732" s="616"/>
      <c r="N3732" s="616"/>
      <c r="O3732" s="616"/>
      <c r="P3732" s="615"/>
      <c r="Q3732" s="616"/>
      <c r="R3732" s="663"/>
      <c r="S3732" s="459"/>
      <c r="T3732" s="459"/>
      <c r="U3732" s="459"/>
      <c r="V3732" s="459"/>
      <c r="W3732" s="459"/>
      <c r="X3732" s="459"/>
      <c r="Y3732" s="666"/>
      <c r="Z3732" s="664"/>
      <c r="AA3732" s="665"/>
      <c r="AB3732" s="665"/>
      <c r="AC3732" s="665"/>
      <c r="AD3732" s="665"/>
      <c r="AE3732" s="665"/>
      <c r="AF3732" s="649"/>
      <c r="AG3732" s="650"/>
      <c r="AH3732" s="650"/>
      <c r="AI3732" s="667"/>
    </row>
    <row r="3733" spans="12:35" ht="45" customHeight="1" thickBot="1" x14ac:dyDescent="0.25">
      <c r="L3733" s="645"/>
      <c r="M3733" s="616"/>
      <c r="N3733" s="616"/>
      <c r="O3733" s="616"/>
      <c r="P3733" s="615"/>
      <c r="Q3733" s="616"/>
      <c r="R3733" s="663"/>
      <c r="S3733" s="459"/>
      <c r="T3733" s="459"/>
      <c r="U3733" s="459"/>
      <c r="V3733" s="459"/>
      <c r="W3733" s="459"/>
      <c r="X3733" s="459"/>
      <c r="Y3733" s="666"/>
      <c r="Z3733" s="664"/>
      <c r="AA3733" s="665"/>
      <c r="AB3733" s="665"/>
      <c r="AC3733" s="665"/>
      <c r="AD3733" s="665"/>
      <c r="AE3733" s="665"/>
      <c r="AF3733" s="649"/>
      <c r="AG3733" s="650"/>
      <c r="AH3733" s="650"/>
      <c r="AI3733" s="667"/>
    </row>
    <row r="3734" spans="12:35" ht="45" customHeight="1" thickBot="1" x14ac:dyDescent="0.25">
      <c r="L3734" s="645"/>
      <c r="M3734" s="616"/>
      <c r="N3734" s="616"/>
      <c r="O3734" s="616"/>
      <c r="P3734" s="615"/>
      <c r="Q3734" s="616"/>
      <c r="R3734" s="663"/>
      <c r="S3734" s="459"/>
      <c r="T3734" s="459"/>
      <c r="U3734" s="459"/>
      <c r="V3734" s="459"/>
      <c r="W3734" s="459"/>
      <c r="X3734" s="459"/>
      <c r="Y3734" s="666"/>
      <c r="Z3734" s="664"/>
      <c r="AA3734" s="665"/>
      <c r="AB3734" s="665"/>
      <c r="AC3734" s="665"/>
      <c r="AD3734" s="665"/>
      <c r="AE3734" s="665"/>
      <c r="AF3734" s="649"/>
      <c r="AG3734" s="650"/>
      <c r="AH3734" s="650"/>
      <c r="AI3734" s="667"/>
    </row>
    <row r="3735" spans="12:35" ht="45" customHeight="1" thickBot="1" x14ac:dyDescent="0.25">
      <c r="L3735" s="645"/>
      <c r="M3735" s="616"/>
      <c r="N3735" s="616"/>
      <c r="O3735" s="616"/>
      <c r="P3735" s="615"/>
      <c r="Q3735" s="616"/>
      <c r="R3735" s="663"/>
      <c r="S3735" s="459"/>
      <c r="T3735" s="459"/>
      <c r="U3735" s="459"/>
      <c r="V3735" s="459"/>
      <c r="W3735" s="459"/>
      <c r="X3735" s="459"/>
      <c r="Y3735" s="666"/>
      <c r="Z3735" s="664"/>
      <c r="AA3735" s="665"/>
      <c r="AB3735" s="665"/>
      <c r="AC3735" s="665"/>
      <c r="AD3735" s="665"/>
      <c r="AE3735" s="665"/>
      <c r="AF3735" s="649"/>
      <c r="AG3735" s="650"/>
      <c r="AH3735" s="650"/>
      <c r="AI3735" s="667"/>
    </row>
    <row r="3736" spans="12:35" ht="45" customHeight="1" thickBot="1" x14ac:dyDescent="0.25">
      <c r="L3736" s="645"/>
      <c r="M3736" s="616"/>
      <c r="N3736" s="616"/>
      <c r="O3736" s="616"/>
      <c r="P3736" s="615"/>
      <c r="Q3736" s="616"/>
      <c r="R3736" s="663"/>
      <c r="S3736" s="459"/>
      <c r="T3736" s="459"/>
      <c r="U3736" s="459"/>
      <c r="V3736" s="459"/>
      <c r="W3736" s="459"/>
      <c r="X3736" s="459"/>
      <c r="Y3736" s="666"/>
      <c r="Z3736" s="664"/>
      <c r="AA3736" s="665"/>
      <c r="AB3736" s="665"/>
      <c r="AC3736" s="665"/>
      <c r="AD3736" s="665"/>
      <c r="AE3736" s="665"/>
      <c r="AF3736" s="649"/>
      <c r="AG3736" s="650"/>
      <c r="AH3736" s="650"/>
      <c r="AI3736" s="667"/>
    </row>
    <row r="3737" spans="12:35" ht="45" customHeight="1" thickBot="1" x14ac:dyDescent="0.25">
      <c r="L3737" s="645"/>
      <c r="M3737" s="616"/>
      <c r="N3737" s="616"/>
      <c r="O3737" s="616"/>
      <c r="P3737" s="615"/>
      <c r="Q3737" s="616"/>
      <c r="R3737" s="663"/>
      <c r="S3737" s="459"/>
      <c r="T3737" s="459"/>
      <c r="U3737" s="459"/>
      <c r="V3737" s="459"/>
      <c r="W3737" s="459"/>
      <c r="X3737" s="459"/>
      <c r="Y3737" s="666"/>
      <c r="Z3737" s="664"/>
      <c r="AA3737" s="665"/>
      <c r="AB3737" s="665"/>
      <c r="AC3737" s="665"/>
      <c r="AD3737" s="665"/>
      <c r="AE3737" s="665"/>
      <c r="AF3737" s="649"/>
      <c r="AG3737" s="650"/>
      <c r="AH3737" s="650"/>
      <c r="AI3737" s="667"/>
    </row>
    <row r="3738" spans="12:35" ht="45" customHeight="1" thickBot="1" x14ac:dyDescent="0.25">
      <c r="L3738" s="645"/>
      <c r="M3738" s="616"/>
      <c r="N3738" s="616"/>
      <c r="O3738" s="616"/>
      <c r="P3738" s="615"/>
      <c r="Q3738" s="616"/>
      <c r="R3738" s="663"/>
      <c r="S3738" s="459"/>
      <c r="T3738" s="459"/>
      <c r="U3738" s="459"/>
      <c r="V3738" s="459"/>
      <c r="W3738" s="459"/>
      <c r="X3738" s="459"/>
      <c r="Y3738" s="666"/>
      <c r="Z3738" s="664"/>
      <c r="AA3738" s="665"/>
      <c r="AB3738" s="665"/>
      <c r="AC3738" s="665"/>
      <c r="AD3738" s="665"/>
      <c r="AE3738" s="665"/>
      <c r="AF3738" s="649"/>
      <c r="AG3738" s="650"/>
      <c r="AH3738" s="650"/>
      <c r="AI3738" s="667"/>
    </row>
    <row r="3739" spans="12:35" ht="45" customHeight="1" thickBot="1" x14ac:dyDescent="0.25">
      <c r="L3739" s="645"/>
      <c r="M3739" s="616"/>
      <c r="N3739" s="616"/>
      <c r="O3739" s="616"/>
      <c r="P3739" s="615"/>
      <c r="Q3739" s="616"/>
      <c r="R3739" s="663"/>
      <c r="S3739" s="459"/>
      <c r="T3739" s="459"/>
      <c r="U3739" s="459"/>
      <c r="V3739" s="459"/>
      <c r="W3739" s="459"/>
      <c r="X3739" s="459"/>
      <c r="Y3739" s="666"/>
      <c r="Z3739" s="664"/>
      <c r="AA3739" s="665"/>
      <c r="AB3739" s="665"/>
      <c r="AC3739" s="665"/>
      <c r="AD3739" s="665"/>
      <c r="AE3739" s="665"/>
      <c r="AF3739" s="649"/>
      <c r="AG3739" s="650"/>
      <c r="AH3739" s="650"/>
      <c r="AI3739" s="667"/>
    </row>
    <row r="3740" spans="12:35" ht="45" customHeight="1" thickBot="1" x14ac:dyDescent="0.25">
      <c r="L3740" s="645"/>
      <c r="M3740" s="616"/>
      <c r="N3740" s="616"/>
      <c r="O3740" s="616"/>
      <c r="P3740" s="615"/>
      <c r="Q3740" s="616"/>
      <c r="R3740" s="663"/>
      <c r="S3740" s="459"/>
      <c r="T3740" s="459"/>
      <c r="U3740" s="459"/>
      <c r="V3740" s="459"/>
      <c r="W3740" s="459"/>
      <c r="X3740" s="459"/>
      <c r="Y3740" s="666"/>
      <c r="Z3740" s="664"/>
      <c r="AA3740" s="665"/>
      <c r="AB3740" s="665"/>
      <c r="AC3740" s="665"/>
      <c r="AD3740" s="665"/>
      <c r="AE3740" s="665"/>
      <c r="AF3740" s="649"/>
      <c r="AG3740" s="650"/>
      <c r="AH3740" s="650"/>
      <c r="AI3740" s="667"/>
    </row>
    <row r="3741" spans="12:35" ht="45" customHeight="1" thickBot="1" x14ac:dyDescent="0.25">
      <c r="L3741" s="645"/>
      <c r="M3741" s="616"/>
      <c r="N3741" s="616"/>
      <c r="O3741" s="616"/>
      <c r="P3741" s="615"/>
      <c r="Q3741" s="616"/>
      <c r="R3741" s="663"/>
      <c r="S3741" s="459"/>
      <c r="T3741" s="459"/>
      <c r="U3741" s="459"/>
      <c r="V3741" s="459"/>
      <c r="W3741" s="459"/>
      <c r="X3741" s="459"/>
      <c r="Y3741" s="666"/>
      <c r="Z3741" s="664"/>
      <c r="AA3741" s="665"/>
      <c r="AB3741" s="665"/>
      <c r="AC3741" s="665"/>
      <c r="AD3741" s="665"/>
      <c r="AE3741" s="665"/>
      <c r="AF3741" s="649"/>
      <c r="AG3741" s="650"/>
      <c r="AH3741" s="650"/>
      <c r="AI3741" s="667"/>
    </row>
    <row r="3742" spans="12:35" ht="45" customHeight="1" thickBot="1" x14ac:dyDescent="0.25">
      <c r="L3742" s="645"/>
      <c r="M3742" s="616"/>
      <c r="N3742" s="616"/>
      <c r="O3742" s="616"/>
      <c r="P3742" s="615"/>
      <c r="Q3742" s="616"/>
      <c r="R3742" s="663"/>
      <c r="S3742" s="459"/>
      <c r="T3742" s="459"/>
      <c r="U3742" s="459"/>
      <c r="V3742" s="459"/>
      <c r="W3742" s="459"/>
      <c r="X3742" s="459"/>
      <c r="Y3742" s="666"/>
      <c r="Z3742" s="664"/>
      <c r="AA3742" s="665"/>
      <c r="AB3742" s="665"/>
      <c r="AC3742" s="665"/>
      <c r="AD3742" s="665"/>
      <c r="AE3742" s="665"/>
      <c r="AF3742" s="649"/>
      <c r="AG3742" s="650"/>
      <c r="AH3742" s="650"/>
      <c r="AI3742" s="667"/>
    </row>
    <row r="3743" spans="12:35" ht="45" customHeight="1" thickBot="1" x14ac:dyDescent="0.25">
      <c r="L3743" s="645"/>
      <c r="M3743" s="616"/>
      <c r="N3743" s="616"/>
      <c r="O3743" s="616"/>
      <c r="P3743" s="615"/>
      <c r="Q3743" s="616"/>
      <c r="R3743" s="663"/>
      <c r="S3743" s="459"/>
      <c r="T3743" s="459"/>
      <c r="U3743" s="459"/>
      <c r="V3743" s="459"/>
      <c r="W3743" s="459"/>
      <c r="X3743" s="459"/>
      <c r="Y3743" s="666"/>
      <c r="Z3743" s="664"/>
      <c r="AA3743" s="665"/>
      <c r="AB3743" s="665"/>
      <c r="AC3743" s="665"/>
      <c r="AD3743" s="665"/>
      <c r="AE3743" s="665"/>
      <c r="AF3743" s="649"/>
      <c r="AG3743" s="650"/>
      <c r="AH3743" s="650"/>
      <c r="AI3743" s="667"/>
    </row>
    <row r="3744" spans="12:35" ht="45" customHeight="1" thickBot="1" x14ac:dyDescent="0.25">
      <c r="L3744" s="645"/>
      <c r="M3744" s="616"/>
      <c r="N3744" s="616"/>
      <c r="O3744" s="616"/>
      <c r="P3744" s="615"/>
      <c r="Q3744" s="616"/>
      <c r="R3744" s="663"/>
      <c r="S3744" s="459"/>
      <c r="T3744" s="459"/>
      <c r="U3744" s="459"/>
      <c r="V3744" s="459"/>
      <c r="W3744" s="459"/>
      <c r="X3744" s="459"/>
      <c r="Y3744" s="666"/>
      <c r="Z3744" s="664"/>
      <c r="AA3744" s="665"/>
      <c r="AB3744" s="665"/>
      <c r="AC3744" s="665"/>
      <c r="AD3744" s="665"/>
      <c r="AE3744" s="665"/>
      <c r="AF3744" s="649"/>
      <c r="AG3744" s="650"/>
      <c r="AH3744" s="650"/>
      <c r="AI3744" s="667"/>
    </row>
    <row r="3745" spans="12:35" ht="45" customHeight="1" thickBot="1" x14ac:dyDescent="0.25">
      <c r="L3745" s="645"/>
      <c r="M3745" s="616"/>
      <c r="N3745" s="616"/>
      <c r="O3745" s="616"/>
      <c r="P3745" s="615"/>
      <c r="Q3745" s="616"/>
      <c r="R3745" s="663"/>
      <c r="S3745" s="459"/>
      <c r="T3745" s="459"/>
      <c r="U3745" s="459"/>
      <c r="V3745" s="459"/>
      <c r="W3745" s="459"/>
      <c r="X3745" s="459"/>
      <c r="Y3745" s="666"/>
      <c r="Z3745" s="664"/>
      <c r="AA3745" s="665"/>
      <c r="AB3745" s="665"/>
      <c r="AC3745" s="665"/>
      <c r="AD3745" s="665"/>
      <c r="AE3745" s="665"/>
      <c r="AF3745" s="649"/>
      <c r="AG3745" s="650"/>
      <c r="AH3745" s="650"/>
      <c r="AI3745" s="667"/>
    </row>
    <row r="3746" spans="12:35" ht="45" customHeight="1" thickBot="1" x14ac:dyDescent="0.25">
      <c r="L3746" s="645"/>
      <c r="M3746" s="616"/>
      <c r="N3746" s="616"/>
      <c r="O3746" s="616"/>
      <c r="P3746" s="615"/>
      <c r="Q3746" s="616"/>
      <c r="R3746" s="663"/>
      <c r="S3746" s="459"/>
      <c r="T3746" s="459"/>
      <c r="U3746" s="459"/>
      <c r="V3746" s="459"/>
      <c r="W3746" s="459"/>
      <c r="X3746" s="459"/>
      <c r="Y3746" s="666"/>
      <c r="Z3746" s="664"/>
      <c r="AA3746" s="665"/>
      <c r="AB3746" s="665"/>
      <c r="AC3746" s="665"/>
      <c r="AD3746" s="665"/>
      <c r="AE3746" s="665"/>
      <c r="AF3746" s="649"/>
      <c r="AG3746" s="650"/>
      <c r="AH3746" s="650"/>
      <c r="AI3746" s="667"/>
    </row>
    <row r="3747" spans="12:35" ht="45" customHeight="1" thickBot="1" x14ac:dyDescent="0.25">
      <c r="L3747" s="645"/>
      <c r="M3747" s="616"/>
      <c r="N3747" s="616"/>
      <c r="O3747" s="616"/>
      <c r="P3747" s="615"/>
      <c r="Q3747" s="616"/>
      <c r="R3747" s="663"/>
      <c r="S3747" s="459"/>
      <c r="T3747" s="459"/>
      <c r="U3747" s="459"/>
      <c r="V3747" s="459"/>
      <c r="W3747" s="459"/>
      <c r="X3747" s="459"/>
      <c r="Y3747" s="666"/>
      <c r="Z3747" s="664"/>
      <c r="AA3747" s="665"/>
      <c r="AB3747" s="665"/>
      <c r="AC3747" s="665"/>
      <c r="AD3747" s="665"/>
      <c r="AE3747" s="665"/>
      <c r="AF3747" s="649"/>
      <c r="AG3747" s="650"/>
      <c r="AH3747" s="650"/>
      <c r="AI3747" s="667"/>
    </row>
    <row r="3748" spans="12:35" ht="45" customHeight="1" thickBot="1" x14ac:dyDescent="0.25">
      <c r="L3748" s="645"/>
      <c r="M3748" s="616"/>
      <c r="N3748" s="616"/>
      <c r="O3748" s="616"/>
      <c r="P3748" s="615"/>
      <c r="Q3748" s="616"/>
      <c r="R3748" s="663"/>
      <c r="S3748" s="459"/>
      <c r="T3748" s="459"/>
      <c r="U3748" s="459"/>
      <c r="V3748" s="459"/>
      <c r="W3748" s="459"/>
      <c r="X3748" s="459"/>
      <c r="Y3748" s="666"/>
      <c r="Z3748" s="664"/>
      <c r="AA3748" s="665"/>
      <c r="AB3748" s="665"/>
      <c r="AC3748" s="665"/>
      <c r="AD3748" s="665"/>
      <c r="AE3748" s="665"/>
      <c r="AF3748" s="649"/>
      <c r="AG3748" s="650"/>
      <c r="AH3748" s="650"/>
      <c r="AI3748" s="667"/>
    </row>
    <row r="3749" spans="12:35" ht="45" customHeight="1" thickBot="1" x14ac:dyDescent="0.25">
      <c r="L3749" s="645"/>
      <c r="M3749" s="616"/>
      <c r="N3749" s="616"/>
      <c r="O3749" s="616"/>
      <c r="P3749" s="615"/>
      <c r="Q3749" s="616"/>
      <c r="R3749" s="663"/>
      <c r="S3749" s="459"/>
      <c r="T3749" s="459"/>
      <c r="U3749" s="459"/>
      <c r="V3749" s="459"/>
      <c r="W3749" s="459"/>
      <c r="X3749" s="459"/>
      <c r="Y3749" s="666"/>
      <c r="Z3749" s="664"/>
      <c r="AA3749" s="665"/>
      <c r="AB3749" s="665"/>
      <c r="AC3749" s="665"/>
      <c r="AD3749" s="665"/>
      <c r="AE3749" s="665"/>
      <c r="AF3749" s="649"/>
      <c r="AG3749" s="650"/>
      <c r="AH3749" s="650"/>
      <c r="AI3749" s="667"/>
    </row>
    <row r="3750" spans="12:35" ht="45" customHeight="1" thickBot="1" x14ac:dyDescent="0.25">
      <c r="L3750" s="645"/>
      <c r="M3750" s="616"/>
      <c r="N3750" s="616"/>
      <c r="O3750" s="616"/>
      <c r="P3750" s="615"/>
      <c r="Q3750" s="616"/>
      <c r="R3750" s="663"/>
      <c r="S3750" s="459"/>
      <c r="T3750" s="459"/>
      <c r="U3750" s="459"/>
      <c r="V3750" s="459"/>
      <c r="W3750" s="459"/>
      <c r="X3750" s="459"/>
      <c r="Y3750" s="666"/>
      <c r="Z3750" s="664"/>
      <c r="AA3750" s="665"/>
      <c r="AB3750" s="665"/>
      <c r="AC3750" s="665"/>
      <c r="AD3750" s="665"/>
      <c r="AE3750" s="665"/>
      <c r="AF3750" s="649"/>
      <c r="AG3750" s="650"/>
      <c r="AH3750" s="650"/>
      <c r="AI3750" s="667"/>
    </row>
    <row r="3751" spans="12:35" ht="45" customHeight="1" thickBot="1" x14ac:dyDescent="0.25">
      <c r="L3751" s="645"/>
      <c r="M3751" s="616"/>
      <c r="N3751" s="616"/>
      <c r="O3751" s="616"/>
      <c r="P3751" s="615"/>
      <c r="Q3751" s="616"/>
      <c r="R3751" s="663"/>
      <c r="S3751" s="459"/>
      <c r="T3751" s="459"/>
      <c r="U3751" s="459"/>
      <c r="V3751" s="459"/>
      <c r="W3751" s="459"/>
      <c r="X3751" s="459"/>
      <c r="Y3751" s="666"/>
      <c r="Z3751" s="664"/>
      <c r="AA3751" s="665"/>
      <c r="AB3751" s="665"/>
      <c r="AC3751" s="665"/>
      <c r="AD3751" s="665"/>
      <c r="AE3751" s="665"/>
      <c r="AF3751" s="649"/>
      <c r="AG3751" s="650"/>
      <c r="AH3751" s="650"/>
      <c r="AI3751" s="667"/>
    </row>
    <row r="3752" spans="12:35" ht="45" customHeight="1" thickBot="1" x14ac:dyDescent="0.25">
      <c r="L3752" s="645"/>
      <c r="M3752" s="616"/>
      <c r="N3752" s="616"/>
      <c r="O3752" s="616"/>
      <c r="P3752" s="615"/>
      <c r="Q3752" s="616"/>
      <c r="R3752" s="663"/>
      <c r="S3752" s="459"/>
      <c r="T3752" s="459"/>
      <c r="U3752" s="459"/>
      <c r="V3752" s="459"/>
      <c r="W3752" s="459"/>
      <c r="X3752" s="459"/>
      <c r="Y3752" s="666"/>
      <c r="Z3752" s="664"/>
      <c r="AA3752" s="665"/>
      <c r="AB3752" s="665"/>
      <c r="AC3752" s="665"/>
      <c r="AD3752" s="665"/>
      <c r="AE3752" s="665"/>
      <c r="AF3752" s="649"/>
      <c r="AG3752" s="650"/>
      <c r="AH3752" s="650"/>
      <c r="AI3752" s="667"/>
    </row>
    <row r="3753" spans="12:35" ht="45" customHeight="1" thickBot="1" x14ac:dyDescent="0.25">
      <c r="L3753" s="645"/>
      <c r="M3753" s="616"/>
      <c r="N3753" s="616"/>
      <c r="O3753" s="616"/>
      <c r="P3753" s="615"/>
      <c r="Q3753" s="616"/>
      <c r="R3753" s="663"/>
      <c r="S3753" s="459"/>
      <c r="T3753" s="459"/>
      <c r="U3753" s="459"/>
      <c r="V3753" s="459"/>
      <c r="W3753" s="459"/>
      <c r="X3753" s="459"/>
      <c r="Y3753" s="666"/>
      <c r="Z3753" s="664"/>
      <c r="AA3753" s="665"/>
      <c r="AB3753" s="665"/>
      <c r="AC3753" s="665"/>
      <c r="AD3753" s="665"/>
      <c r="AE3753" s="665"/>
      <c r="AF3753" s="649"/>
      <c r="AG3753" s="650"/>
      <c r="AH3753" s="650"/>
      <c r="AI3753" s="667"/>
    </row>
    <row r="3754" spans="12:35" ht="45" customHeight="1" thickBot="1" x14ac:dyDescent="0.25">
      <c r="L3754" s="645"/>
      <c r="M3754" s="616"/>
      <c r="N3754" s="616"/>
      <c r="O3754" s="616"/>
      <c r="P3754" s="615"/>
      <c r="Q3754" s="616"/>
      <c r="R3754" s="663"/>
      <c r="S3754" s="459"/>
      <c r="T3754" s="459"/>
      <c r="U3754" s="459"/>
      <c r="V3754" s="459"/>
      <c r="W3754" s="459"/>
      <c r="X3754" s="459"/>
      <c r="Y3754" s="666"/>
      <c r="Z3754" s="664"/>
      <c r="AA3754" s="665"/>
      <c r="AB3754" s="665"/>
      <c r="AC3754" s="665"/>
      <c r="AD3754" s="665"/>
      <c r="AE3754" s="665"/>
      <c r="AF3754" s="649"/>
      <c r="AG3754" s="650"/>
      <c r="AH3754" s="650"/>
      <c r="AI3754" s="667"/>
    </row>
    <row r="3755" spans="12:35" ht="45" customHeight="1" thickBot="1" x14ac:dyDescent="0.25">
      <c r="L3755" s="645"/>
      <c r="M3755" s="616"/>
      <c r="N3755" s="616"/>
      <c r="O3755" s="616"/>
      <c r="P3755" s="615"/>
      <c r="Q3755" s="616"/>
      <c r="R3755" s="663"/>
      <c r="S3755" s="459"/>
      <c r="T3755" s="459"/>
      <c r="U3755" s="459"/>
      <c r="V3755" s="459"/>
      <c r="W3755" s="459"/>
      <c r="X3755" s="459"/>
      <c r="Y3755" s="666"/>
      <c r="Z3755" s="664"/>
      <c r="AA3755" s="665"/>
      <c r="AB3755" s="665"/>
      <c r="AC3755" s="665"/>
      <c r="AD3755" s="665"/>
      <c r="AE3755" s="665"/>
      <c r="AF3755" s="649"/>
      <c r="AG3755" s="650"/>
      <c r="AH3755" s="650"/>
      <c r="AI3755" s="667"/>
    </row>
    <row r="3756" spans="12:35" ht="45" customHeight="1" thickBot="1" x14ac:dyDescent="0.25">
      <c r="L3756" s="645"/>
      <c r="M3756" s="616"/>
      <c r="N3756" s="616"/>
      <c r="O3756" s="616"/>
      <c r="P3756" s="615"/>
      <c r="Q3756" s="616"/>
      <c r="R3756" s="663"/>
      <c r="S3756" s="459"/>
      <c r="T3756" s="459"/>
      <c r="U3756" s="459"/>
      <c r="V3756" s="459"/>
      <c r="W3756" s="459"/>
      <c r="X3756" s="459"/>
      <c r="Y3756" s="666"/>
      <c r="Z3756" s="664"/>
      <c r="AA3756" s="665"/>
      <c r="AB3756" s="665"/>
      <c r="AC3756" s="665"/>
      <c r="AD3756" s="665"/>
      <c r="AE3756" s="665"/>
      <c r="AF3756" s="649"/>
      <c r="AG3756" s="650"/>
      <c r="AH3756" s="650"/>
      <c r="AI3756" s="667"/>
    </row>
    <row r="3757" spans="12:35" ht="45" customHeight="1" thickBot="1" x14ac:dyDescent="0.25">
      <c r="L3757" s="645"/>
      <c r="M3757" s="616"/>
      <c r="N3757" s="616"/>
      <c r="O3757" s="616"/>
      <c r="P3757" s="615"/>
      <c r="Q3757" s="616"/>
      <c r="R3757" s="663"/>
      <c r="S3757" s="459"/>
      <c r="T3757" s="459"/>
      <c r="U3757" s="459"/>
      <c r="V3757" s="459"/>
      <c r="W3757" s="459"/>
      <c r="X3757" s="459"/>
      <c r="Y3757" s="666"/>
      <c r="Z3757" s="664"/>
      <c r="AA3757" s="665"/>
      <c r="AB3757" s="665"/>
      <c r="AC3757" s="665"/>
      <c r="AD3757" s="665"/>
      <c r="AE3757" s="665"/>
      <c r="AF3757" s="649"/>
      <c r="AG3757" s="650"/>
      <c r="AH3757" s="650"/>
      <c r="AI3757" s="667"/>
    </row>
    <row r="3758" spans="12:35" ht="45" customHeight="1" thickBot="1" x14ac:dyDescent="0.25">
      <c r="L3758" s="645"/>
      <c r="M3758" s="616"/>
      <c r="N3758" s="616"/>
      <c r="O3758" s="616"/>
      <c r="P3758" s="615"/>
      <c r="Q3758" s="616"/>
      <c r="R3758" s="663"/>
      <c r="S3758" s="459"/>
      <c r="T3758" s="459"/>
      <c r="U3758" s="459"/>
      <c r="V3758" s="459"/>
      <c r="W3758" s="459"/>
      <c r="X3758" s="459"/>
      <c r="Y3758" s="666"/>
      <c r="Z3758" s="664"/>
      <c r="AA3758" s="665"/>
      <c r="AB3758" s="665"/>
      <c r="AC3758" s="665"/>
      <c r="AD3758" s="665"/>
      <c r="AE3758" s="665"/>
      <c r="AF3758" s="649"/>
      <c r="AG3758" s="650"/>
      <c r="AH3758" s="650"/>
      <c r="AI3758" s="667"/>
    </row>
    <row r="3759" spans="12:35" ht="45" customHeight="1" thickBot="1" x14ac:dyDescent="0.25">
      <c r="L3759" s="645"/>
      <c r="M3759" s="616"/>
      <c r="N3759" s="616"/>
      <c r="O3759" s="616"/>
      <c r="P3759" s="615"/>
      <c r="Q3759" s="616"/>
      <c r="R3759" s="663"/>
      <c r="S3759" s="459"/>
      <c r="T3759" s="459"/>
      <c r="U3759" s="459"/>
      <c r="V3759" s="459"/>
      <c r="W3759" s="459"/>
      <c r="X3759" s="459"/>
      <c r="Y3759" s="666"/>
      <c r="Z3759" s="664"/>
      <c r="AA3759" s="665"/>
      <c r="AB3759" s="665"/>
      <c r="AC3759" s="665"/>
      <c r="AD3759" s="665"/>
      <c r="AE3759" s="665"/>
      <c r="AF3759" s="649"/>
      <c r="AG3759" s="650"/>
      <c r="AH3759" s="650"/>
      <c r="AI3759" s="667"/>
    </row>
    <row r="3760" spans="12:35" ht="45" customHeight="1" thickBot="1" x14ac:dyDescent="0.25">
      <c r="L3760" s="645"/>
      <c r="M3760" s="616"/>
      <c r="N3760" s="616"/>
      <c r="O3760" s="616"/>
      <c r="P3760" s="615"/>
      <c r="Q3760" s="616"/>
      <c r="R3760" s="663"/>
      <c r="S3760" s="459"/>
      <c r="T3760" s="459"/>
      <c r="U3760" s="459"/>
      <c r="V3760" s="459"/>
      <c r="W3760" s="459"/>
      <c r="X3760" s="459"/>
      <c r="Y3760" s="666"/>
      <c r="Z3760" s="664"/>
      <c r="AA3760" s="665"/>
      <c r="AB3760" s="665"/>
      <c r="AC3760" s="665"/>
      <c r="AD3760" s="665"/>
      <c r="AE3760" s="665"/>
      <c r="AF3760" s="649"/>
      <c r="AG3760" s="650"/>
      <c r="AH3760" s="650"/>
      <c r="AI3760" s="667"/>
    </row>
    <row r="3761" spans="12:35" ht="45" customHeight="1" thickBot="1" x14ac:dyDescent="0.25">
      <c r="L3761" s="645"/>
      <c r="M3761" s="616"/>
      <c r="N3761" s="616"/>
      <c r="O3761" s="616"/>
      <c r="P3761" s="615"/>
      <c r="Q3761" s="616"/>
      <c r="R3761" s="663"/>
      <c r="S3761" s="459"/>
      <c r="T3761" s="459"/>
      <c r="U3761" s="459"/>
      <c r="V3761" s="459"/>
      <c r="W3761" s="459"/>
      <c r="X3761" s="459"/>
      <c r="Y3761" s="666"/>
      <c r="Z3761" s="664"/>
      <c r="AA3761" s="665"/>
      <c r="AB3761" s="665"/>
      <c r="AC3761" s="665"/>
      <c r="AD3761" s="665"/>
      <c r="AE3761" s="665"/>
      <c r="AF3761" s="649"/>
      <c r="AG3761" s="650"/>
      <c r="AH3761" s="650"/>
      <c r="AI3761" s="667"/>
    </row>
    <row r="3762" spans="12:35" ht="45" customHeight="1" thickBot="1" x14ac:dyDescent="0.25">
      <c r="L3762" s="645"/>
      <c r="M3762" s="616"/>
      <c r="N3762" s="616"/>
      <c r="O3762" s="616"/>
      <c r="P3762" s="615"/>
      <c r="Q3762" s="616"/>
      <c r="R3762" s="663"/>
      <c r="S3762" s="459"/>
      <c r="T3762" s="459"/>
      <c r="U3762" s="459"/>
      <c r="V3762" s="459"/>
      <c r="W3762" s="459"/>
      <c r="X3762" s="459"/>
      <c r="Y3762" s="666"/>
      <c r="Z3762" s="664"/>
      <c r="AA3762" s="665"/>
      <c r="AB3762" s="665"/>
      <c r="AC3762" s="665"/>
      <c r="AD3762" s="665"/>
      <c r="AE3762" s="665"/>
      <c r="AF3762" s="649"/>
      <c r="AG3762" s="650"/>
      <c r="AH3762" s="650"/>
      <c r="AI3762" s="667"/>
    </row>
    <row r="3763" spans="12:35" ht="45" customHeight="1" thickBot="1" x14ac:dyDescent="0.25">
      <c r="L3763" s="645"/>
      <c r="M3763" s="616"/>
      <c r="N3763" s="616"/>
      <c r="O3763" s="616"/>
      <c r="P3763" s="615"/>
      <c r="Q3763" s="616"/>
      <c r="R3763" s="663"/>
      <c r="S3763" s="459"/>
      <c r="T3763" s="459"/>
      <c r="U3763" s="459"/>
      <c r="V3763" s="459"/>
      <c r="W3763" s="459"/>
      <c r="X3763" s="459"/>
      <c r="Y3763" s="666"/>
      <c r="Z3763" s="664"/>
      <c r="AA3763" s="665"/>
      <c r="AB3763" s="665"/>
      <c r="AC3763" s="665"/>
      <c r="AD3763" s="665"/>
      <c r="AE3763" s="665"/>
      <c r="AF3763" s="649"/>
      <c r="AG3763" s="650"/>
      <c r="AH3763" s="650"/>
      <c r="AI3763" s="667"/>
    </row>
    <row r="3764" spans="12:35" ht="45" customHeight="1" thickBot="1" x14ac:dyDescent="0.25">
      <c r="L3764" s="645"/>
      <c r="M3764" s="616"/>
      <c r="N3764" s="616"/>
      <c r="O3764" s="616"/>
      <c r="P3764" s="615"/>
      <c r="Q3764" s="616"/>
      <c r="R3764" s="663"/>
      <c r="S3764" s="459"/>
      <c r="T3764" s="459"/>
      <c r="U3764" s="459"/>
      <c r="V3764" s="459"/>
      <c r="W3764" s="459"/>
      <c r="X3764" s="459"/>
      <c r="Y3764" s="666"/>
      <c r="Z3764" s="664"/>
      <c r="AA3764" s="665"/>
      <c r="AB3764" s="665"/>
      <c r="AC3764" s="665"/>
      <c r="AD3764" s="665"/>
      <c r="AE3764" s="665"/>
      <c r="AF3764" s="649"/>
      <c r="AG3764" s="650"/>
      <c r="AH3764" s="650"/>
      <c r="AI3764" s="667"/>
    </row>
    <row r="3765" spans="12:35" ht="45" customHeight="1" thickBot="1" x14ac:dyDescent="0.25">
      <c r="L3765" s="645"/>
      <c r="M3765" s="616"/>
      <c r="N3765" s="616"/>
      <c r="O3765" s="616"/>
      <c r="P3765" s="615"/>
      <c r="Q3765" s="616"/>
      <c r="R3765" s="663"/>
      <c r="S3765" s="459"/>
      <c r="T3765" s="459"/>
      <c r="U3765" s="459"/>
      <c r="V3765" s="459"/>
      <c r="W3765" s="459"/>
      <c r="X3765" s="459"/>
      <c r="Y3765" s="666"/>
      <c r="Z3765" s="664"/>
      <c r="AA3765" s="665"/>
      <c r="AB3765" s="665"/>
      <c r="AC3765" s="665"/>
      <c r="AD3765" s="665"/>
      <c r="AE3765" s="665"/>
      <c r="AF3765" s="649"/>
      <c r="AG3765" s="650"/>
      <c r="AH3765" s="650"/>
      <c r="AI3765" s="667"/>
    </row>
    <row r="3766" spans="12:35" ht="45" customHeight="1" thickBot="1" x14ac:dyDescent="0.25">
      <c r="L3766" s="645"/>
      <c r="M3766" s="616"/>
      <c r="N3766" s="616"/>
      <c r="O3766" s="616"/>
      <c r="P3766" s="615"/>
      <c r="Q3766" s="616"/>
      <c r="R3766" s="663"/>
      <c r="S3766" s="459"/>
      <c r="T3766" s="459"/>
      <c r="U3766" s="459"/>
      <c r="V3766" s="459"/>
      <c r="W3766" s="459"/>
      <c r="X3766" s="459"/>
      <c r="Y3766" s="666"/>
      <c r="Z3766" s="664"/>
      <c r="AA3766" s="665"/>
      <c r="AB3766" s="665"/>
      <c r="AC3766" s="665"/>
      <c r="AD3766" s="665"/>
      <c r="AE3766" s="665"/>
      <c r="AF3766" s="649"/>
      <c r="AG3766" s="650"/>
      <c r="AH3766" s="650"/>
      <c r="AI3766" s="667"/>
    </row>
    <row r="3767" spans="12:35" ht="45" customHeight="1" thickBot="1" x14ac:dyDescent="0.25">
      <c r="L3767" s="645"/>
      <c r="M3767" s="616"/>
      <c r="N3767" s="616"/>
      <c r="O3767" s="616"/>
      <c r="P3767" s="615"/>
      <c r="Q3767" s="616"/>
      <c r="R3767" s="663"/>
      <c r="S3767" s="459"/>
      <c r="T3767" s="459"/>
      <c r="U3767" s="459"/>
      <c r="V3767" s="459"/>
      <c r="W3767" s="459"/>
      <c r="X3767" s="459"/>
      <c r="Y3767" s="666"/>
      <c r="Z3767" s="664"/>
      <c r="AA3767" s="665"/>
      <c r="AB3767" s="665"/>
      <c r="AC3767" s="665"/>
      <c r="AD3767" s="665"/>
      <c r="AE3767" s="665"/>
      <c r="AF3767" s="649"/>
      <c r="AG3767" s="650"/>
      <c r="AH3767" s="650"/>
      <c r="AI3767" s="667"/>
    </row>
    <row r="3768" spans="12:35" ht="45" customHeight="1" thickBot="1" x14ac:dyDescent="0.25">
      <c r="L3768" s="645"/>
      <c r="M3768" s="616"/>
      <c r="N3768" s="616"/>
      <c r="O3768" s="616"/>
      <c r="P3768" s="615"/>
      <c r="Q3768" s="616"/>
      <c r="R3768" s="663"/>
      <c r="S3768" s="459"/>
      <c r="T3768" s="459"/>
      <c r="U3768" s="459"/>
      <c r="V3768" s="459"/>
      <c r="W3768" s="459"/>
      <c r="X3768" s="459"/>
      <c r="Y3768" s="666"/>
      <c r="Z3768" s="664"/>
      <c r="AA3768" s="665"/>
      <c r="AB3768" s="665"/>
      <c r="AC3768" s="665"/>
      <c r="AD3768" s="665"/>
      <c r="AE3768" s="665"/>
      <c r="AF3768" s="649"/>
      <c r="AG3768" s="650"/>
      <c r="AH3768" s="650"/>
      <c r="AI3768" s="667"/>
    </row>
  </sheetData>
  <autoFilter ref="A2:J352" xr:uid="{2C5EFC4C-6724-4A46-92A4-D733ED803915}"/>
  <sortState ref="A3:IN347">
    <sortCondition ref="A3"/>
  </sortState>
  <mergeCells count="6">
    <mergeCell ref="F350:H350"/>
    <mergeCell ref="R1:Y1"/>
    <mergeCell ref="A1:J1"/>
    <mergeCell ref="AA1:AH1"/>
    <mergeCell ref="L1:P1"/>
    <mergeCell ref="F349:H349"/>
  </mergeCells>
  <printOptions horizontalCentered="1" verticalCentered="1" gridLines="1"/>
  <pageMargins left="0.23622047244094491" right="0.23622047244094491" top="0.74803149606299213" bottom="0.74803149606299213" header="0.31496062992125984" footer="0.31496062992125984"/>
  <pageSetup paperSize="9" scale="85" fitToHeight="0" orientation="portrait" horizontalDpi="150" verticalDpi="150" r:id="rId1"/>
  <headerFooter>
    <oddHeader>&amp;LWegeliste NEU, RegNr. 2.2.10&amp;C&amp;"Arial,Fett"&amp;12Wegeübersicht&amp;RStand: &amp;D</oddHeader>
    <oddFooter>&amp;C&amp;P von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C182"/>
  <sheetViews>
    <sheetView topLeftCell="A124" workbookViewId="0">
      <selection activeCell="I130" sqref="I130"/>
    </sheetView>
  </sheetViews>
  <sheetFormatPr baseColWidth="10" defaultColWidth="11.42578125" defaultRowHeight="12.75" x14ac:dyDescent="0.2"/>
  <cols>
    <col min="6" max="6" width="11.42578125" style="185"/>
    <col min="7" max="7" width="47.85546875" customWidth="1"/>
  </cols>
  <sheetData>
    <row r="1" spans="1:237" s="35" customFormat="1" ht="45" customHeight="1" x14ac:dyDescent="0.2">
      <c r="A1" s="106" t="s">
        <v>2014</v>
      </c>
      <c r="B1" s="106" t="s">
        <v>7</v>
      </c>
      <c r="C1" s="106" t="s">
        <v>8</v>
      </c>
      <c r="D1" s="106" t="s">
        <v>9</v>
      </c>
      <c r="E1" s="107" t="s">
        <v>10</v>
      </c>
      <c r="F1" s="106" t="s">
        <v>11</v>
      </c>
      <c r="G1" s="106" t="s">
        <v>20</v>
      </c>
      <c r="H1" s="84"/>
      <c r="I1" s="72"/>
      <c r="J1" s="73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</row>
    <row r="2" spans="1:237" s="40" customFormat="1" ht="45" customHeight="1" x14ac:dyDescent="0.2">
      <c r="A2" s="41">
        <v>8778</v>
      </c>
      <c r="B2" s="41" t="s">
        <v>84</v>
      </c>
      <c r="C2" s="36" t="s">
        <v>85</v>
      </c>
      <c r="D2" s="57"/>
      <c r="E2" s="87" t="s">
        <v>728</v>
      </c>
      <c r="F2" s="184" t="s">
        <v>2068</v>
      </c>
      <c r="G2" s="108" t="s">
        <v>730</v>
      </c>
    </row>
    <row r="3" spans="1:237" s="40" customFormat="1" ht="45" customHeight="1" x14ac:dyDescent="0.2">
      <c r="A3" s="41">
        <v>8780</v>
      </c>
      <c r="B3" s="41" t="s">
        <v>84</v>
      </c>
      <c r="C3" s="36" t="s">
        <v>85</v>
      </c>
      <c r="D3" s="57"/>
      <c r="E3" s="87" t="s">
        <v>734</v>
      </c>
      <c r="F3" s="184" t="s">
        <v>2069</v>
      </c>
      <c r="G3" s="108" t="s">
        <v>736</v>
      </c>
    </row>
    <row r="4" spans="1:237" s="40" customFormat="1" ht="45" customHeight="1" x14ac:dyDescent="0.2">
      <c r="A4" s="41">
        <v>8779</v>
      </c>
      <c r="B4" s="41" t="s">
        <v>84</v>
      </c>
      <c r="C4" s="36" t="s">
        <v>85</v>
      </c>
      <c r="D4" s="57"/>
      <c r="E4" s="87" t="s">
        <v>731</v>
      </c>
      <c r="F4" s="184" t="s">
        <v>2070</v>
      </c>
      <c r="G4" s="108" t="s">
        <v>733</v>
      </c>
    </row>
    <row r="5" spans="1:237" s="40" customFormat="1" ht="45" customHeight="1" x14ac:dyDescent="0.2">
      <c r="A5" s="41">
        <v>8781</v>
      </c>
      <c r="B5" s="41" t="s">
        <v>84</v>
      </c>
      <c r="C5" s="36" t="s">
        <v>85</v>
      </c>
      <c r="D5" s="57"/>
      <c r="E5" s="87" t="s">
        <v>737</v>
      </c>
      <c r="F5" s="184" t="s">
        <v>2071</v>
      </c>
      <c r="G5" s="108" t="s">
        <v>739</v>
      </c>
    </row>
    <row r="6" spans="1:237" s="40" customFormat="1" ht="45" customHeight="1" x14ac:dyDescent="0.2">
      <c r="A6" s="41">
        <v>8729</v>
      </c>
      <c r="B6" s="41" t="s">
        <v>84</v>
      </c>
      <c r="C6" s="36" t="s">
        <v>85</v>
      </c>
      <c r="D6" s="57"/>
      <c r="E6" s="87" t="s">
        <v>683</v>
      </c>
      <c r="F6" s="184" t="s">
        <v>2072</v>
      </c>
      <c r="G6" s="108" t="s">
        <v>685</v>
      </c>
    </row>
    <row r="7" spans="1:237" s="40" customFormat="1" ht="45" customHeight="1" x14ac:dyDescent="0.2">
      <c r="A7" s="41">
        <v>8777</v>
      </c>
      <c r="B7" s="41" t="s">
        <v>84</v>
      </c>
      <c r="C7" s="36" t="s">
        <v>85</v>
      </c>
      <c r="D7" s="57"/>
      <c r="E7" s="87" t="s">
        <v>725</v>
      </c>
      <c r="F7" s="184" t="s">
        <v>2073</v>
      </c>
      <c r="G7" s="108" t="s">
        <v>727</v>
      </c>
    </row>
    <row r="8" spans="1:237" s="40" customFormat="1" ht="45" customHeight="1" x14ac:dyDescent="0.2">
      <c r="A8" s="41">
        <v>16619</v>
      </c>
      <c r="B8" s="41" t="s">
        <v>84</v>
      </c>
      <c r="C8" s="36" t="s">
        <v>85</v>
      </c>
      <c r="D8" s="57"/>
      <c r="E8" s="87" t="s">
        <v>240</v>
      </c>
      <c r="F8" s="184" t="s">
        <v>2074</v>
      </c>
      <c r="G8" s="166" t="s">
        <v>816</v>
      </c>
    </row>
    <row r="9" spans="1:237" s="40" customFormat="1" ht="45" customHeight="1" x14ac:dyDescent="0.2">
      <c r="A9" s="41">
        <v>16621</v>
      </c>
      <c r="B9" s="41" t="s">
        <v>84</v>
      </c>
      <c r="C9" s="36" t="s">
        <v>85</v>
      </c>
      <c r="D9" s="57"/>
      <c r="E9" s="87" t="s">
        <v>316</v>
      </c>
      <c r="F9" s="184" t="s">
        <v>2075</v>
      </c>
      <c r="G9" s="166" t="s">
        <v>818</v>
      </c>
    </row>
    <row r="10" spans="1:237" s="40" customFormat="1" ht="45" customHeight="1" x14ac:dyDescent="0.2">
      <c r="A10" s="41">
        <v>8709</v>
      </c>
      <c r="B10" s="41" t="s">
        <v>84</v>
      </c>
      <c r="C10" s="36" t="s">
        <v>85</v>
      </c>
      <c r="D10" s="41"/>
      <c r="E10" s="87" t="s">
        <v>240</v>
      </c>
      <c r="F10" s="184" t="s">
        <v>2076</v>
      </c>
      <c r="G10" s="108" t="s">
        <v>645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</row>
    <row r="11" spans="1:237" s="40" customFormat="1" ht="45" customHeight="1" x14ac:dyDescent="0.2">
      <c r="A11" s="41">
        <v>8686</v>
      </c>
      <c r="B11" s="41" t="s">
        <v>84</v>
      </c>
      <c r="C11" s="36" t="s">
        <v>85</v>
      </c>
      <c r="D11" s="41"/>
      <c r="E11" s="87" t="s">
        <v>243</v>
      </c>
      <c r="F11" s="184" t="s">
        <v>2077</v>
      </c>
      <c r="G11" s="108" t="s">
        <v>628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</row>
    <row r="12" spans="1:237" s="40" customFormat="1" ht="45" customHeight="1" x14ac:dyDescent="0.2">
      <c r="A12" s="41">
        <v>8687</v>
      </c>
      <c r="B12" s="41" t="s">
        <v>84</v>
      </c>
      <c r="C12" s="36" t="s">
        <v>85</v>
      </c>
      <c r="D12" s="41"/>
      <c r="E12" s="87" t="s">
        <v>316</v>
      </c>
      <c r="F12" s="184" t="s">
        <v>2078</v>
      </c>
      <c r="G12" s="108" t="s">
        <v>630</v>
      </c>
    </row>
    <row r="13" spans="1:237" s="40" customFormat="1" ht="45" customHeight="1" x14ac:dyDescent="0.2">
      <c r="A13" s="41">
        <v>3309</v>
      </c>
      <c r="B13" s="41" t="s">
        <v>84</v>
      </c>
      <c r="C13" s="36" t="s">
        <v>85</v>
      </c>
      <c r="D13" s="41"/>
      <c r="E13" s="87" t="s">
        <v>396</v>
      </c>
      <c r="F13" s="184" t="s">
        <v>2079</v>
      </c>
      <c r="G13" s="108" t="s">
        <v>398</v>
      </c>
    </row>
    <row r="14" spans="1:237" s="40" customFormat="1" ht="45" customHeight="1" x14ac:dyDescent="0.2">
      <c r="A14" s="41">
        <v>3311</v>
      </c>
      <c r="B14" s="41" t="s">
        <v>84</v>
      </c>
      <c r="C14" s="36" t="s">
        <v>85</v>
      </c>
      <c r="D14" s="41"/>
      <c r="E14" s="87" t="s">
        <v>399</v>
      </c>
      <c r="F14" s="184" t="s">
        <v>2080</v>
      </c>
      <c r="G14" s="108" t="s">
        <v>401</v>
      </c>
    </row>
    <row r="15" spans="1:237" s="40" customFormat="1" ht="45" customHeight="1" x14ac:dyDescent="0.2">
      <c r="A15" s="41">
        <v>16614</v>
      </c>
      <c r="B15" s="41" t="s">
        <v>84</v>
      </c>
      <c r="C15" s="36" t="s">
        <v>85</v>
      </c>
      <c r="D15" s="41"/>
      <c r="E15" s="87" t="s">
        <v>800</v>
      </c>
      <c r="F15" s="184" t="s">
        <v>2081</v>
      </c>
      <c r="G15" s="108" t="s">
        <v>802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</row>
    <row r="16" spans="1:237" s="40" customFormat="1" ht="45" customHeight="1" x14ac:dyDescent="0.2">
      <c r="A16" s="41">
        <v>3312</v>
      </c>
      <c r="B16" s="41" t="s">
        <v>84</v>
      </c>
      <c r="C16" s="36" t="s">
        <v>85</v>
      </c>
      <c r="D16" s="41"/>
      <c r="E16" s="87" t="s">
        <v>402</v>
      </c>
      <c r="F16" s="184" t="s">
        <v>2082</v>
      </c>
      <c r="G16" s="108" t="s">
        <v>404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</row>
    <row r="17" spans="1:237" s="40" customFormat="1" ht="45" customHeight="1" x14ac:dyDescent="0.2">
      <c r="A17" s="41">
        <v>13342</v>
      </c>
      <c r="B17" s="41" t="s">
        <v>84</v>
      </c>
      <c r="C17" s="36" t="s">
        <v>85</v>
      </c>
      <c r="D17" s="41"/>
      <c r="E17" s="87" t="s">
        <v>770</v>
      </c>
      <c r="F17" s="184" t="s">
        <v>2083</v>
      </c>
      <c r="G17" s="108" t="s">
        <v>772</v>
      </c>
    </row>
    <row r="18" spans="1:237" s="40" customFormat="1" ht="45" customHeight="1" x14ac:dyDescent="0.2">
      <c r="A18" s="41">
        <v>13343</v>
      </c>
      <c r="B18" s="41" t="s">
        <v>84</v>
      </c>
      <c r="C18" s="36" t="s">
        <v>85</v>
      </c>
      <c r="D18" s="41"/>
      <c r="E18" s="87" t="s">
        <v>773</v>
      </c>
      <c r="F18" s="184" t="s">
        <v>2084</v>
      </c>
      <c r="G18" s="108" t="s">
        <v>775</v>
      </c>
    </row>
    <row r="19" spans="1:237" s="40" customFormat="1" ht="45" customHeight="1" x14ac:dyDescent="0.2">
      <c r="A19" s="41">
        <v>8748</v>
      </c>
      <c r="B19" s="41" t="s">
        <v>84</v>
      </c>
      <c r="C19" s="36" t="s">
        <v>85</v>
      </c>
      <c r="D19" s="41"/>
      <c r="E19" s="87" t="s">
        <v>349</v>
      </c>
      <c r="F19" s="184" t="s">
        <v>2085</v>
      </c>
      <c r="G19" s="108" t="s">
        <v>717</v>
      </c>
    </row>
    <row r="20" spans="1:237" s="40" customFormat="1" ht="45" customHeight="1" x14ac:dyDescent="0.2">
      <c r="A20" s="41">
        <v>8717</v>
      </c>
      <c r="B20" s="41" t="s">
        <v>84</v>
      </c>
      <c r="C20" s="36" t="s">
        <v>85</v>
      </c>
      <c r="D20" s="41"/>
      <c r="E20" s="87" t="s">
        <v>353</v>
      </c>
      <c r="F20" s="184" t="s">
        <v>2086</v>
      </c>
      <c r="G20" s="108" t="s">
        <v>659</v>
      </c>
    </row>
    <row r="21" spans="1:237" s="40" customFormat="1" ht="45" customHeight="1" x14ac:dyDescent="0.2">
      <c r="A21" s="41">
        <v>8718</v>
      </c>
      <c r="B21" s="41" t="s">
        <v>84</v>
      </c>
      <c r="C21" s="36" t="s">
        <v>85</v>
      </c>
      <c r="D21" s="41"/>
      <c r="E21" s="87" t="s">
        <v>359</v>
      </c>
      <c r="F21" s="184" t="s">
        <v>2087</v>
      </c>
      <c r="G21" s="108" t="s">
        <v>661</v>
      </c>
    </row>
    <row r="22" spans="1:237" s="8" customFormat="1" ht="45" customHeight="1" x14ac:dyDescent="0.2">
      <c r="A22" s="41">
        <v>8711</v>
      </c>
      <c r="B22" s="41" t="s">
        <v>84</v>
      </c>
      <c r="C22" s="36" t="s">
        <v>85</v>
      </c>
      <c r="D22" s="41"/>
      <c r="E22" s="87" t="s">
        <v>356</v>
      </c>
      <c r="F22" s="184" t="s">
        <v>2088</v>
      </c>
      <c r="G22" s="108" t="s">
        <v>649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</row>
    <row r="23" spans="1:237" s="40" customFormat="1" ht="45" customHeight="1" x14ac:dyDescent="0.2">
      <c r="A23" s="41">
        <v>3314</v>
      </c>
      <c r="B23" s="41" t="s">
        <v>84</v>
      </c>
      <c r="C23" s="36" t="s">
        <v>85</v>
      </c>
      <c r="D23" s="41"/>
      <c r="E23" s="87" t="s">
        <v>381</v>
      </c>
      <c r="F23" s="184" t="s">
        <v>2089</v>
      </c>
      <c r="G23" s="108" t="s">
        <v>409</v>
      </c>
    </row>
    <row r="24" spans="1:237" s="40" customFormat="1" ht="45" customHeight="1" x14ac:dyDescent="0.2">
      <c r="A24" s="41">
        <v>8710</v>
      </c>
      <c r="B24" s="41" t="s">
        <v>84</v>
      </c>
      <c r="C24" s="36" t="s">
        <v>85</v>
      </c>
      <c r="D24" s="41"/>
      <c r="E24" s="87" t="s">
        <v>557</v>
      </c>
      <c r="F24" s="184" t="s">
        <v>2090</v>
      </c>
      <c r="G24" s="108" t="s">
        <v>647</v>
      </c>
    </row>
    <row r="25" spans="1:237" s="40" customFormat="1" ht="45" customHeight="1" x14ac:dyDescent="0.2">
      <c r="A25" s="41">
        <v>8745</v>
      </c>
      <c r="B25" s="41" t="s">
        <v>84</v>
      </c>
      <c r="C25" s="36" t="s">
        <v>85</v>
      </c>
      <c r="D25" s="41"/>
      <c r="E25" s="87" t="s">
        <v>582</v>
      </c>
      <c r="F25" s="184" t="s">
        <v>2091</v>
      </c>
      <c r="G25" s="108" t="s">
        <v>712</v>
      </c>
    </row>
    <row r="26" spans="1:237" s="40" customFormat="1" ht="45" customHeight="1" x14ac:dyDescent="0.2">
      <c r="A26" s="41">
        <v>8721</v>
      </c>
      <c r="B26" s="41" t="s">
        <v>84</v>
      </c>
      <c r="C26" s="36" t="s">
        <v>85</v>
      </c>
      <c r="D26" s="41"/>
      <c r="E26" s="87" t="s">
        <v>666</v>
      </c>
      <c r="F26" s="184" t="s">
        <v>2092</v>
      </c>
      <c r="G26" s="108" t="s">
        <v>668</v>
      </c>
    </row>
    <row r="27" spans="1:237" s="40" customFormat="1" ht="45" customHeight="1" x14ac:dyDescent="0.2">
      <c r="A27" s="41">
        <v>16615</v>
      </c>
      <c r="B27" s="41" t="s">
        <v>84</v>
      </c>
      <c r="C27" s="36" t="s">
        <v>85</v>
      </c>
      <c r="D27" s="41"/>
      <c r="E27" s="87" t="s">
        <v>803</v>
      </c>
      <c r="F27" s="184" t="s">
        <v>2093</v>
      </c>
      <c r="G27" s="108" t="s">
        <v>805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</row>
    <row r="28" spans="1:237" s="40" customFormat="1" ht="45" customHeight="1" x14ac:dyDescent="0.2">
      <c r="A28" s="41">
        <v>22176</v>
      </c>
      <c r="B28" s="41" t="s">
        <v>84</v>
      </c>
      <c r="C28" s="41" t="s">
        <v>320</v>
      </c>
      <c r="D28" s="86"/>
      <c r="E28" s="87"/>
      <c r="F28" s="184" t="s">
        <v>2094</v>
      </c>
      <c r="G28" s="108" t="s">
        <v>865</v>
      </c>
    </row>
    <row r="29" spans="1:237" s="40" customFormat="1" ht="45" customHeight="1" x14ac:dyDescent="0.2">
      <c r="A29" s="41">
        <v>22178</v>
      </c>
      <c r="B29" s="163" t="s">
        <v>84</v>
      </c>
      <c r="C29" s="163" t="s">
        <v>320</v>
      </c>
      <c r="D29" s="165"/>
      <c r="E29" s="87"/>
      <c r="F29" s="184" t="s">
        <v>2095</v>
      </c>
      <c r="G29" s="108" t="s">
        <v>868</v>
      </c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8"/>
    </row>
    <row r="30" spans="1:237" s="40" customFormat="1" ht="45" customHeight="1" x14ac:dyDescent="0.2">
      <c r="A30" s="41">
        <v>22180</v>
      </c>
      <c r="B30" s="163" t="s">
        <v>84</v>
      </c>
      <c r="C30" s="163" t="s">
        <v>320</v>
      </c>
      <c r="D30" s="165"/>
      <c r="E30" s="87"/>
      <c r="F30" s="184" t="s">
        <v>2096</v>
      </c>
      <c r="G30" s="164" t="s">
        <v>871</v>
      </c>
    </row>
    <row r="31" spans="1:237" s="40" customFormat="1" ht="45" customHeight="1" x14ac:dyDescent="0.2">
      <c r="A31" s="41">
        <v>3313</v>
      </c>
      <c r="B31" s="41" t="s">
        <v>84</v>
      </c>
      <c r="C31" s="36" t="s">
        <v>85</v>
      </c>
      <c r="D31" s="41"/>
      <c r="E31" s="87" t="s">
        <v>405</v>
      </c>
      <c r="F31" s="184" t="s">
        <v>2097</v>
      </c>
      <c r="G31" s="108" t="s">
        <v>407</v>
      </c>
    </row>
    <row r="32" spans="1:237" s="56" customFormat="1" ht="45" customHeight="1" x14ac:dyDescent="0.2">
      <c r="A32" s="41">
        <v>8746</v>
      </c>
      <c r="B32" s="41" t="s">
        <v>84</v>
      </c>
      <c r="C32" s="36" t="s">
        <v>85</v>
      </c>
      <c r="D32" s="57"/>
      <c r="E32" s="87" t="s">
        <v>713</v>
      </c>
      <c r="F32" s="184" t="s">
        <v>2098</v>
      </c>
      <c r="G32" s="108" t="s">
        <v>715</v>
      </c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</row>
    <row r="33" spans="1:237" s="40" customFormat="1" ht="45" customHeight="1" x14ac:dyDescent="0.2">
      <c r="A33" s="41">
        <v>8728</v>
      </c>
      <c r="B33" s="41" t="s">
        <v>84</v>
      </c>
      <c r="C33" s="36" t="s">
        <v>85</v>
      </c>
      <c r="D33" s="57"/>
      <c r="E33" s="87" t="s">
        <v>552</v>
      </c>
      <c r="F33" s="184" t="s">
        <v>2099</v>
      </c>
      <c r="G33" s="108" t="s">
        <v>682</v>
      </c>
    </row>
    <row r="34" spans="1:237" s="40" customFormat="1" ht="45" customHeight="1" x14ac:dyDescent="0.2">
      <c r="A34" s="41">
        <v>8727</v>
      </c>
      <c r="B34" s="41" t="s">
        <v>84</v>
      </c>
      <c r="C34" s="36" t="s">
        <v>85</v>
      </c>
      <c r="D34" s="57"/>
      <c r="E34" s="87" t="s">
        <v>605</v>
      </c>
      <c r="F34" s="184" t="s">
        <v>2100</v>
      </c>
      <c r="G34" s="108" t="s">
        <v>680</v>
      </c>
    </row>
    <row r="35" spans="1:237" s="40" customFormat="1" ht="45" customHeight="1" x14ac:dyDescent="0.2">
      <c r="A35" s="41">
        <v>8726</v>
      </c>
      <c r="B35" s="41" t="s">
        <v>84</v>
      </c>
      <c r="C35" s="36" t="s">
        <v>85</v>
      </c>
      <c r="D35" s="57"/>
      <c r="E35" s="87" t="s">
        <v>576</v>
      </c>
      <c r="F35" s="184" t="s">
        <v>2101</v>
      </c>
      <c r="G35" s="108" t="s">
        <v>678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</row>
    <row r="36" spans="1:237" s="40" customFormat="1" ht="45" customHeight="1" x14ac:dyDescent="0.2">
      <c r="A36" s="41">
        <v>8716</v>
      </c>
      <c r="B36" s="41" t="s">
        <v>84</v>
      </c>
      <c r="C36" s="36" t="s">
        <v>85</v>
      </c>
      <c r="D36" s="57"/>
      <c r="E36" s="87" t="s">
        <v>560</v>
      </c>
      <c r="F36" s="184" t="s">
        <v>2102</v>
      </c>
      <c r="G36" s="108" t="s">
        <v>657</v>
      </c>
    </row>
    <row r="37" spans="1:237" s="40" customFormat="1" ht="45" customHeight="1" x14ac:dyDescent="0.2">
      <c r="A37" s="41">
        <v>16618</v>
      </c>
      <c r="B37" s="41" t="s">
        <v>84</v>
      </c>
      <c r="C37" s="36" t="s">
        <v>85</v>
      </c>
      <c r="D37" s="41"/>
      <c r="E37" s="87" t="s">
        <v>812</v>
      </c>
      <c r="F37" s="184" t="s">
        <v>2103</v>
      </c>
      <c r="G37" s="108" t="s">
        <v>814</v>
      </c>
    </row>
    <row r="38" spans="1:237" s="40" customFormat="1" ht="45" customHeight="1" x14ac:dyDescent="0.2">
      <c r="A38" s="41">
        <v>8714</v>
      </c>
      <c r="B38" s="41" t="s">
        <v>84</v>
      </c>
      <c r="C38" s="36" t="s">
        <v>85</v>
      </c>
      <c r="D38" s="41"/>
      <c r="E38" s="87" t="s">
        <v>650</v>
      </c>
      <c r="F38" s="184" t="s">
        <v>2104</v>
      </c>
      <c r="G38" s="108" t="s">
        <v>652</v>
      </c>
    </row>
    <row r="39" spans="1:237" s="40" customFormat="1" ht="45" customHeight="1" x14ac:dyDescent="0.2">
      <c r="A39" s="41">
        <v>8715</v>
      </c>
      <c r="B39" s="41" t="s">
        <v>84</v>
      </c>
      <c r="C39" s="36" t="s">
        <v>85</v>
      </c>
      <c r="D39" s="57"/>
      <c r="E39" s="87" t="s">
        <v>631</v>
      </c>
      <c r="F39" s="184" t="s">
        <v>2105</v>
      </c>
      <c r="G39" s="108" t="s">
        <v>654</v>
      </c>
    </row>
    <row r="40" spans="1:237" s="40" customFormat="1" ht="45" customHeight="1" x14ac:dyDescent="0.2">
      <c r="A40" s="41">
        <v>8693</v>
      </c>
      <c r="B40" s="41" t="s">
        <v>84</v>
      </c>
      <c r="C40" s="36" t="s">
        <v>85</v>
      </c>
      <c r="D40" s="41"/>
      <c r="E40" s="87" t="s">
        <v>634</v>
      </c>
      <c r="F40" s="184" t="s">
        <v>2106</v>
      </c>
      <c r="G40" s="108" t="s">
        <v>643</v>
      </c>
    </row>
    <row r="41" spans="1:237" s="40" customFormat="1" ht="45" customHeight="1" x14ac:dyDescent="0.2">
      <c r="A41" s="41">
        <v>8753</v>
      </c>
      <c r="B41" s="41" t="s">
        <v>84</v>
      </c>
      <c r="C41" s="36" t="s">
        <v>85</v>
      </c>
      <c r="D41" s="57"/>
      <c r="E41" s="87" t="s">
        <v>650</v>
      </c>
      <c r="F41" s="184" t="s">
        <v>2107</v>
      </c>
      <c r="G41" s="108" t="s">
        <v>719</v>
      </c>
    </row>
    <row r="42" spans="1:237" s="40" customFormat="1" ht="45" customHeight="1" x14ac:dyDescent="0.2">
      <c r="A42" s="41">
        <v>8754</v>
      </c>
      <c r="B42" s="41" t="s">
        <v>84</v>
      </c>
      <c r="C42" s="36" t="s">
        <v>85</v>
      </c>
      <c r="D42" s="57"/>
      <c r="E42" s="87" t="s">
        <v>631</v>
      </c>
      <c r="F42" s="184" t="s">
        <v>2108</v>
      </c>
      <c r="G42" s="108" t="s">
        <v>721</v>
      </c>
    </row>
    <row r="43" spans="1:237" s="40" customFormat="1" ht="45" customHeight="1" x14ac:dyDescent="0.2">
      <c r="A43" s="41">
        <v>8722</v>
      </c>
      <c r="B43" s="41" t="s">
        <v>84</v>
      </c>
      <c r="C43" s="36" t="s">
        <v>85</v>
      </c>
      <c r="D43" s="57"/>
      <c r="E43" s="87" t="s">
        <v>634</v>
      </c>
      <c r="F43" s="184" t="s">
        <v>2109</v>
      </c>
      <c r="G43" s="166" t="s">
        <v>670</v>
      </c>
    </row>
    <row r="44" spans="1:237" s="40" customFormat="1" ht="45" customHeight="1" x14ac:dyDescent="0.2">
      <c r="A44" s="41">
        <v>8775</v>
      </c>
      <c r="B44" s="41" t="s">
        <v>84</v>
      </c>
      <c r="C44" s="36" t="s">
        <v>85</v>
      </c>
      <c r="D44" s="57"/>
      <c r="E44" s="87" t="s">
        <v>722</v>
      </c>
      <c r="F44" s="184" t="s">
        <v>2110</v>
      </c>
      <c r="G44" s="108" t="s">
        <v>724</v>
      </c>
    </row>
    <row r="45" spans="1:237" s="40" customFormat="1" ht="45" customHeight="1" x14ac:dyDescent="0.2">
      <c r="A45" s="41">
        <v>8719</v>
      </c>
      <c r="B45" s="41" t="s">
        <v>84</v>
      </c>
      <c r="C45" s="36" t="s">
        <v>85</v>
      </c>
      <c r="D45" s="57"/>
      <c r="E45" s="87" t="s">
        <v>637</v>
      </c>
      <c r="F45" s="184" t="s">
        <v>2111</v>
      </c>
      <c r="G45" s="166" t="s">
        <v>663</v>
      </c>
    </row>
    <row r="46" spans="1:237" s="40" customFormat="1" ht="45" customHeight="1" x14ac:dyDescent="0.2">
      <c r="A46" s="41">
        <v>8720</v>
      </c>
      <c r="B46" s="41" t="s">
        <v>84</v>
      </c>
      <c r="C46" s="36" t="s">
        <v>85</v>
      </c>
      <c r="D46" s="57"/>
      <c r="E46" s="87" t="s">
        <v>161</v>
      </c>
      <c r="F46" s="184" t="s">
        <v>2112</v>
      </c>
      <c r="G46" s="166" t="s">
        <v>665</v>
      </c>
    </row>
    <row r="47" spans="1:237" s="40" customFormat="1" ht="45" customHeight="1" x14ac:dyDescent="0.2">
      <c r="A47" s="41">
        <v>8667</v>
      </c>
      <c r="B47" s="41" t="s">
        <v>84</v>
      </c>
      <c r="C47" s="36" t="s">
        <v>85</v>
      </c>
      <c r="D47" s="57"/>
      <c r="E47" s="87" t="s">
        <v>349</v>
      </c>
      <c r="F47" s="184" t="s">
        <v>2113</v>
      </c>
      <c r="G47" s="108" t="s">
        <v>599</v>
      </c>
    </row>
    <row r="48" spans="1:237" s="40" customFormat="1" ht="45" customHeight="1" x14ac:dyDescent="0.2">
      <c r="A48" s="41">
        <v>8668</v>
      </c>
      <c r="B48" s="41" t="s">
        <v>84</v>
      </c>
      <c r="C48" s="36" t="s">
        <v>85</v>
      </c>
      <c r="D48" s="57"/>
      <c r="E48" s="87" t="s">
        <v>353</v>
      </c>
      <c r="F48" s="184" t="s">
        <v>2114</v>
      </c>
      <c r="G48" s="108" t="s">
        <v>601</v>
      </c>
    </row>
    <row r="49" spans="1:237" s="40" customFormat="1" ht="45" customHeight="1" x14ac:dyDescent="0.2">
      <c r="A49" s="41">
        <v>8669</v>
      </c>
      <c r="B49" s="41" t="s">
        <v>84</v>
      </c>
      <c r="C49" s="36" t="s">
        <v>85</v>
      </c>
      <c r="D49" s="57"/>
      <c r="E49" s="87" t="s">
        <v>359</v>
      </c>
      <c r="F49" s="184" t="s">
        <v>2115</v>
      </c>
      <c r="G49" s="108" t="s">
        <v>603</v>
      </c>
    </row>
    <row r="50" spans="1:237" s="40" customFormat="1" ht="45" customHeight="1" x14ac:dyDescent="0.2">
      <c r="A50" s="41">
        <v>8670</v>
      </c>
      <c r="B50" s="41" t="s">
        <v>84</v>
      </c>
      <c r="C50" s="36" t="s">
        <v>85</v>
      </c>
      <c r="D50" s="57"/>
      <c r="E50" s="87" t="s">
        <v>356</v>
      </c>
      <c r="F50" s="184" t="s">
        <v>2115</v>
      </c>
      <c r="G50" s="108" t="s">
        <v>604</v>
      </c>
    </row>
    <row r="51" spans="1:237" s="40" customFormat="1" ht="45" customHeight="1" x14ac:dyDescent="0.2">
      <c r="A51" s="41">
        <v>16616</v>
      </c>
      <c r="B51" s="41" t="s">
        <v>84</v>
      </c>
      <c r="C51" s="36" t="s">
        <v>85</v>
      </c>
      <c r="D51" s="41"/>
      <c r="E51" s="87" t="s">
        <v>806</v>
      </c>
      <c r="F51" s="184" t="s">
        <v>2116</v>
      </c>
      <c r="G51" s="108" t="s">
        <v>808</v>
      </c>
    </row>
    <row r="52" spans="1:237" s="40" customFormat="1" ht="45" customHeight="1" x14ac:dyDescent="0.2">
      <c r="A52" s="41">
        <v>8740</v>
      </c>
      <c r="B52" s="41" t="s">
        <v>84</v>
      </c>
      <c r="C52" s="36" t="s">
        <v>85</v>
      </c>
      <c r="D52" s="41"/>
      <c r="E52" s="87" t="s">
        <v>698</v>
      </c>
      <c r="F52" s="184" t="s">
        <v>2117</v>
      </c>
      <c r="G52" s="108" t="s">
        <v>700</v>
      </c>
    </row>
    <row r="53" spans="1:237" s="40" customFormat="1" ht="45" customHeight="1" x14ac:dyDescent="0.2">
      <c r="A53" s="41">
        <v>8741</v>
      </c>
      <c r="B53" s="41" t="s">
        <v>84</v>
      </c>
      <c r="C53" s="36" t="s">
        <v>85</v>
      </c>
      <c r="D53" s="41"/>
      <c r="E53" s="87" t="s">
        <v>701</v>
      </c>
      <c r="F53" s="184" t="s">
        <v>2118</v>
      </c>
      <c r="G53" s="108" t="s">
        <v>703</v>
      </c>
    </row>
    <row r="54" spans="1:237" s="40" customFormat="1" ht="45" customHeight="1" x14ac:dyDescent="0.2">
      <c r="A54" s="41">
        <v>8742</v>
      </c>
      <c r="B54" s="41" t="s">
        <v>84</v>
      </c>
      <c r="C54" s="36" t="s">
        <v>85</v>
      </c>
      <c r="D54" s="41"/>
      <c r="E54" s="87" t="s">
        <v>704</v>
      </c>
      <c r="F54" s="184" t="s">
        <v>2119</v>
      </c>
      <c r="G54" s="108" t="s">
        <v>706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</row>
    <row r="55" spans="1:237" s="40" customFormat="1" ht="45" customHeight="1" x14ac:dyDescent="0.2">
      <c r="A55" s="41">
        <v>8894</v>
      </c>
      <c r="B55" s="41" t="s">
        <v>84</v>
      </c>
      <c r="C55" s="36" t="s">
        <v>85</v>
      </c>
      <c r="D55" s="41"/>
      <c r="E55" s="87" t="s">
        <v>741</v>
      </c>
      <c r="F55" s="184" t="s">
        <v>2120</v>
      </c>
      <c r="G55" s="108" t="s">
        <v>743</v>
      </c>
    </row>
    <row r="56" spans="1:237" s="40" customFormat="1" ht="45" customHeight="1" x14ac:dyDescent="0.2">
      <c r="A56" s="41">
        <v>8743</v>
      </c>
      <c r="B56" s="41" t="s">
        <v>84</v>
      </c>
      <c r="C56" s="36" t="s">
        <v>85</v>
      </c>
      <c r="D56" s="41"/>
      <c r="E56" s="87" t="s">
        <v>707</v>
      </c>
      <c r="F56" s="184" t="s">
        <v>2121</v>
      </c>
      <c r="G56" s="108" t="s">
        <v>709</v>
      </c>
    </row>
    <row r="57" spans="1:237" s="40" customFormat="1" ht="45" customHeight="1" x14ac:dyDescent="0.2">
      <c r="A57" s="41">
        <v>16617</v>
      </c>
      <c r="B57" s="41" t="s">
        <v>84</v>
      </c>
      <c r="C57" s="36" t="s">
        <v>85</v>
      </c>
      <c r="D57" s="41"/>
      <c r="E57" s="87" t="s">
        <v>809</v>
      </c>
      <c r="F57" s="184" t="s">
        <v>2122</v>
      </c>
      <c r="G57" s="108" t="s">
        <v>811</v>
      </c>
    </row>
    <row r="58" spans="1:237" s="40" customFormat="1" ht="45" customHeight="1" x14ac:dyDescent="0.2">
      <c r="A58" s="41">
        <v>19022</v>
      </c>
      <c r="B58" s="41" t="s">
        <v>84</v>
      </c>
      <c r="C58" s="109" t="s">
        <v>320</v>
      </c>
      <c r="D58" s="85"/>
      <c r="E58" s="86" t="s">
        <v>325</v>
      </c>
      <c r="F58" s="184" t="s">
        <v>2123</v>
      </c>
      <c r="G58" s="108" t="s">
        <v>835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</row>
    <row r="59" spans="1:237" s="40" customFormat="1" ht="45" customHeight="1" x14ac:dyDescent="0.2">
      <c r="A59" s="41">
        <v>19026</v>
      </c>
      <c r="B59" s="41" t="s">
        <v>84</v>
      </c>
      <c r="C59" s="109" t="s">
        <v>320</v>
      </c>
      <c r="D59" s="85"/>
      <c r="E59" s="86" t="s">
        <v>845</v>
      </c>
      <c r="F59" s="184" t="s">
        <v>2124</v>
      </c>
      <c r="G59" s="108" t="s">
        <v>848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</row>
    <row r="60" spans="1:237" s="40" customFormat="1" ht="45" customHeight="1" x14ac:dyDescent="0.2">
      <c r="A60" s="41">
        <v>19025</v>
      </c>
      <c r="B60" s="41" t="s">
        <v>84</v>
      </c>
      <c r="C60" s="109" t="s">
        <v>320</v>
      </c>
      <c r="D60" s="85"/>
      <c r="E60" s="86" t="s">
        <v>841</v>
      </c>
      <c r="F60" s="184" t="s">
        <v>2125</v>
      </c>
      <c r="G60" s="108" t="s">
        <v>844</v>
      </c>
    </row>
    <row r="61" spans="1:237" s="40" customFormat="1" ht="45" customHeight="1" x14ac:dyDescent="0.2">
      <c r="A61" s="41">
        <v>19023</v>
      </c>
      <c r="B61" s="41" t="s">
        <v>84</v>
      </c>
      <c r="C61" s="109" t="s">
        <v>320</v>
      </c>
      <c r="D61" s="85"/>
      <c r="E61" s="86" t="s">
        <v>836</v>
      </c>
      <c r="F61" s="184" t="s">
        <v>2126</v>
      </c>
      <c r="G61" s="108" t="s">
        <v>839</v>
      </c>
    </row>
    <row r="62" spans="1:237" s="40" customFormat="1" ht="45" customHeight="1" x14ac:dyDescent="0.2">
      <c r="A62" s="41">
        <v>8675</v>
      </c>
      <c r="B62" s="41" t="s">
        <v>84</v>
      </c>
      <c r="C62" s="36" t="s">
        <v>85</v>
      </c>
      <c r="D62" s="57"/>
      <c r="E62" s="87" t="s">
        <v>552</v>
      </c>
      <c r="F62" s="184" t="s">
        <v>2127</v>
      </c>
      <c r="G62" s="108" t="s">
        <v>611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</row>
    <row r="63" spans="1:237" s="40" customFormat="1" ht="45" customHeight="1" x14ac:dyDescent="0.2">
      <c r="A63" s="41">
        <v>8672</v>
      </c>
      <c r="B63" s="41" t="s">
        <v>84</v>
      </c>
      <c r="C63" s="36" t="s">
        <v>85</v>
      </c>
      <c r="D63" s="57"/>
      <c r="E63" s="87" t="s">
        <v>605</v>
      </c>
      <c r="F63" s="184" t="s">
        <v>2128</v>
      </c>
      <c r="G63" s="108" t="s">
        <v>607</v>
      </c>
    </row>
    <row r="64" spans="1:237" s="40" customFormat="1" ht="45" customHeight="1" x14ac:dyDescent="0.2">
      <c r="A64" s="41">
        <v>8673</v>
      </c>
      <c r="B64" s="41" t="s">
        <v>84</v>
      </c>
      <c r="C64" s="36" t="s">
        <v>85</v>
      </c>
      <c r="D64" s="57"/>
      <c r="E64" s="87" t="s">
        <v>576</v>
      </c>
      <c r="F64" s="184" t="s">
        <v>2129</v>
      </c>
      <c r="G64" s="108" t="s">
        <v>609</v>
      </c>
    </row>
    <row r="65" spans="1:237" s="40" customFormat="1" ht="45" customHeight="1" x14ac:dyDescent="0.2">
      <c r="A65" s="41">
        <v>8651</v>
      </c>
      <c r="B65" s="41" t="s">
        <v>84</v>
      </c>
      <c r="C65" s="36" t="s">
        <v>85</v>
      </c>
      <c r="D65" s="57"/>
      <c r="E65" s="87" t="s">
        <v>170</v>
      </c>
      <c r="F65" s="184" t="s">
        <v>2130</v>
      </c>
      <c r="G65" s="108" t="s">
        <v>581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</row>
    <row r="66" spans="1:237" s="40" customFormat="1" ht="45" customHeight="1" x14ac:dyDescent="0.2">
      <c r="A66" s="41">
        <v>8652</v>
      </c>
      <c r="B66" s="41" t="s">
        <v>84</v>
      </c>
      <c r="C66" s="36" t="s">
        <v>85</v>
      </c>
      <c r="D66" s="57"/>
      <c r="E66" s="87" t="s">
        <v>582</v>
      </c>
      <c r="F66" s="184" t="s">
        <v>2131</v>
      </c>
      <c r="G66" s="108" t="s">
        <v>584</v>
      </c>
    </row>
    <row r="67" spans="1:237" s="40" customFormat="1" ht="45" customHeight="1" x14ac:dyDescent="0.2">
      <c r="A67" s="41">
        <v>8644</v>
      </c>
      <c r="B67" s="41" t="s">
        <v>84</v>
      </c>
      <c r="C67" s="36" t="s">
        <v>85</v>
      </c>
      <c r="D67" s="57"/>
      <c r="E67" s="87" t="s">
        <v>568</v>
      </c>
      <c r="F67" s="184" t="s">
        <v>2132</v>
      </c>
      <c r="G67" s="108" t="s">
        <v>571</v>
      </c>
    </row>
    <row r="68" spans="1:237" s="40" customFormat="1" ht="45" customHeight="1" x14ac:dyDescent="0.2">
      <c r="A68" s="41">
        <v>8909</v>
      </c>
      <c r="B68" s="41" t="s">
        <v>84</v>
      </c>
      <c r="C68" s="36" t="s">
        <v>85</v>
      </c>
      <c r="D68" s="41"/>
      <c r="E68" s="87" t="s">
        <v>240</v>
      </c>
      <c r="F68" s="184" t="s">
        <v>2133</v>
      </c>
      <c r="G68" s="108" t="s">
        <v>745</v>
      </c>
    </row>
    <row r="69" spans="1:237" s="40" customFormat="1" ht="45" customHeight="1" x14ac:dyDescent="0.2">
      <c r="A69" s="41">
        <v>8910</v>
      </c>
      <c r="B69" s="41" t="s">
        <v>84</v>
      </c>
      <c r="C69" s="36" t="s">
        <v>85</v>
      </c>
      <c r="D69" s="41"/>
      <c r="E69" s="87" t="s">
        <v>243</v>
      </c>
      <c r="F69" s="184" t="s">
        <v>2134</v>
      </c>
      <c r="G69" s="108" t="s">
        <v>747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</row>
    <row r="70" spans="1:237" s="40" customFormat="1" ht="45" customHeight="1" x14ac:dyDescent="0.2">
      <c r="A70" s="41">
        <v>8911</v>
      </c>
      <c r="B70" s="41" t="s">
        <v>84</v>
      </c>
      <c r="C70" s="36" t="s">
        <v>85</v>
      </c>
      <c r="D70" s="41"/>
      <c r="E70" s="87" t="s">
        <v>316</v>
      </c>
      <c r="F70" s="184" t="s">
        <v>2135</v>
      </c>
      <c r="G70" s="108" t="s">
        <v>749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</row>
    <row r="71" spans="1:237" s="40" customFormat="1" ht="45" customHeight="1" x14ac:dyDescent="0.2">
      <c r="A71" s="41">
        <v>3147</v>
      </c>
      <c r="B71" s="41" t="s">
        <v>84</v>
      </c>
      <c r="C71" s="36" t="s">
        <v>85</v>
      </c>
      <c r="D71" s="57"/>
      <c r="E71" s="87" t="s">
        <v>362</v>
      </c>
      <c r="F71" s="184" t="s">
        <v>2136</v>
      </c>
      <c r="G71" s="108" t="s">
        <v>365</v>
      </c>
    </row>
    <row r="72" spans="1:237" s="40" customFormat="1" ht="45" customHeight="1" x14ac:dyDescent="0.2">
      <c r="A72" s="41">
        <v>3150</v>
      </c>
      <c r="B72" s="41" t="s">
        <v>84</v>
      </c>
      <c r="C72" s="36" t="s">
        <v>85</v>
      </c>
      <c r="D72" s="57"/>
      <c r="E72" s="87" t="s">
        <v>371</v>
      </c>
      <c r="F72" s="184" t="s">
        <v>2137</v>
      </c>
      <c r="G72" s="108" t="s">
        <v>374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</row>
    <row r="73" spans="1:237" s="40" customFormat="1" ht="45" customHeight="1" x14ac:dyDescent="0.2">
      <c r="A73" s="41">
        <v>20316</v>
      </c>
      <c r="B73" s="41" t="s">
        <v>84</v>
      </c>
      <c r="C73" s="36" t="s">
        <v>85</v>
      </c>
      <c r="D73" s="57"/>
      <c r="E73" s="87" t="s">
        <v>853</v>
      </c>
      <c r="F73" s="184" t="s">
        <v>2138</v>
      </c>
      <c r="G73" s="108" t="s">
        <v>856</v>
      </c>
    </row>
    <row r="74" spans="1:237" s="40" customFormat="1" ht="45" customHeight="1" x14ac:dyDescent="0.2">
      <c r="A74" s="41">
        <v>3148</v>
      </c>
      <c r="B74" s="41" t="s">
        <v>84</v>
      </c>
      <c r="C74" s="109" t="s">
        <v>366</v>
      </c>
      <c r="D74" s="57"/>
      <c r="E74" s="87" t="s">
        <v>367</v>
      </c>
      <c r="F74" s="184" t="s">
        <v>2139</v>
      </c>
      <c r="G74" s="108" t="s">
        <v>370</v>
      </c>
    </row>
    <row r="75" spans="1:237" s="40" customFormat="1" ht="45" customHeight="1" x14ac:dyDescent="0.2">
      <c r="A75" s="41">
        <v>2977</v>
      </c>
      <c r="B75" s="41" t="s">
        <v>84</v>
      </c>
      <c r="C75" s="36" t="s">
        <v>85</v>
      </c>
      <c r="D75" s="41"/>
      <c r="E75" s="87" t="s">
        <v>240</v>
      </c>
      <c r="F75" s="184" t="s">
        <v>2140</v>
      </c>
      <c r="G75" s="108" t="s">
        <v>312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</row>
    <row r="76" spans="1:237" s="40" customFormat="1" ht="45" customHeight="1" x14ac:dyDescent="0.2">
      <c r="A76" s="41">
        <v>2979</v>
      </c>
      <c r="B76" s="41" t="s">
        <v>84</v>
      </c>
      <c r="C76" s="36" t="s">
        <v>85</v>
      </c>
      <c r="D76" s="41"/>
      <c r="E76" s="87" t="s">
        <v>243</v>
      </c>
      <c r="F76" s="184" t="s">
        <v>2141</v>
      </c>
      <c r="G76" s="108" t="s">
        <v>315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</row>
    <row r="77" spans="1:237" s="40" customFormat="1" ht="45" customHeight="1" x14ac:dyDescent="0.2">
      <c r="A77" s="41">
        <v>2980</v>
      </c>
      <c r="B77" s="41" t="s">
        <v>84</v>
      </c>
      <c r="C77" s="36" t="s">
        <v>85</v>
      </c>
      <c r="D77" s="41"/>
      <c r="E77" s="87" t="s">
        <v>316</v>
      </c>
      <c r="F77" s="184" t="s">
        <v>2142</v>
      </c>
      <c r="G77" s="108" t="s">
        <v>319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</row>
    <row r="78" spans="1:237" s="40" customFormat="1" ht="45" customHeight="1" x14ac:dyDescent="0.2">
      <c r="A78" s="41">
        <v>2985</v>
      </c>
      <c r="B78" s="41" t="s">
        <v>84</v>
      </c>
      <c r="C78" s="109" t="s">
        <v>320</v>
      </c>
      <c r="D78" s="41"/>
      <c r="E78" s="87" t="s">
        <v>325</v>
      </c>
      <c r="F78" s="184" t="s">
        <v>2143</v>
      </c>
      <c r="G78" s="108" t="s">
        <v>328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</row>
    <row r="79" spans="1:237" s="40" customFormat="1" ht="45" customHeight="1" x14ac:dyDescent="0.2">
      <c r="A79" s="41">
        <v>2982</v>
      </c>
      <c r="B79" s="41" t="s">
        <v>84</v>
      </c>
      <c r="C79" s="109" t="s">
        <v>320</v>
      </c>
      <c r="D79" s="41"/>
      <c r="E79" s="87" t="s">
        <v>321</v>
      </c>
      <c r="F79" s="184" t="s">
        <v>2144</v>
      </c>
      <c r="G79" s="108" t="s">
        <v>324</v>
      </c>
    </row>
    <row r="80" spans="1:237" s="40" customFormat="1" ht="45" customHeight="1" x14ac:dyDescent="0.2">
      <c r="A80" s="41">
        <v>2646</v>
      </c>
      <c r="B80" s="41" t="s">
        <v>84</v>
      </c>
      <c r="C80" s="36" t="s">
        <v>85</v>
      </c>
      <c r="D80" s="41"/>
      <c r="E80" s="87" t="s">
        <v>240</v>
      </c>
      <c r="F80" s="184" t="s">
        <v>2145</v>
      </c>
      <c r="G80" s="108" t="s">
        <v>242</v>
      </c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</row>
    <row r="81" spans="1:237" s="40" customFormat="1" ht="45" customHeight="1" x14ac:dyDescent="0.2">
      <c r="A81" s="41">
        <v>2648</v>
      </c>
      <c r="B81" s="41" t="s">
        <v>84</v>
      </c>
      <c r="C81" s="36" t="s">
        <v>85</v>
      </c>
      <c r="D81" s="41"/>
      <c r="E81" s="87" t="s">
        <v>243</v>
      </c>
      <c r="F81" s="184" t="s">
        <v>2146</v>
      </c>
      <c r="G81" s="54" t="s">
        <v>245</v>
      </c>
    </row>
    <row r="82" spans="1:237" s="40" customFormat="1" ht="45" customHeight="1" x14ac:dyDescent="0.2">
      <c r="A82" s="41">
        <v>8564</v>
      </c>
      <c r="B82" s="41" t="s">
        <v>84</v>
      </c>
      <c r="C82" s="36" t="s">
        <v>85</v>
      </c>
      <c r="D82" s="57"/>
      <c r="E82" s="87" t="s">
        <v>552</v>
      </c>
      <c r="F82" s="184" t="s">
        <v>2147</v>
      </c>
      <c r="G82" s="54" t="s">
        <v>555</v>
      </c>
    </row>
    <row r="83" spans="1:237" s="40" customFormat="1" ht="45" customHeight="1" x14ac:dyDescent="0.2">
      <c r="A83" s="41">
        <v>8677</v>
      </c>
      <c r="B83" s="41" t="s">
        <v>84</v>
      </c>
      <c r="C83" s="36" t="s">
        <v>85</v>
      </c>
      <c r="D83" s="57"/>
      <c r="E83" s="87" t="s">
        <v>605</v>
      </c>
      <c r="F83" s="184" t="s">
        <v>2148</v>
      </c>
      <c r="G83" s="54" t="s">
        <v>614</v>
      </c>
    </row>
    <row r="84" spans="1:237" s="40" customFormat="1" ht="45" customHeight="1" x14ac:dyDescent="0.2">
      <c r="A84" s="41">
        <v>8650</v>
      </c>
      <c r="B84" s="41" t="s">
        <v>84</v>
      </c>
      <c r="C84" s="36" t="s">
        <v>85</v>
      </c>
      <c r="D84" s="57"/>
      <c r="E84" s="87" t="s">
        <v>576</v>
      </c>
      <c r="F84" s="184" t="s">
        <v>2149</v>
      </c>
      <c r="G84" s="108" t="s">
        <v>579</v>
      </c>
    </row>
    <row r="85" spans="1:237" s="40" customFormat="1" ht="45" customHeight="1" x14ac:dyDescent="0.2">
      <c r="A85" s="41">
        <v>8572</v>
      </c>
      <c r="B85" s="41" t="s">
        <v>84</v>
      </c>
      <c r="C85" s="36" t="s">
        <v>85</v>
      </c>
      <c r="D85" s="57"/>
      <c r="E85" s="87" t="s">
        <v>560</v>
      </c>
      <c r="F85" s="184" t="s">
        <v>2150</v>
      </c>
      <c r="G85" s="108" t="s">
        <v>563</v>
      </c>
    </row>
    <row r="86" spans="1:237" s="40" customFormat="1" ht="45" customHeight="1" x14ac:dyDescent="0.2">
      <c r="A86" s="41">
        <v>8653</v>
      </c>
      <c r="B86" s="41" t="s">
        <v>84</v>
      </c>
      <c r="C86" s="36" t="s">
        <v>85</v>
      </c>
      <c r="D86" s="57"/>
      <c r="E86" s="87" t="s">
        <v>585</v>
      </c>
      <c r="F86" s="184" t="s">
        <v>2151</v>
      </c>
      <c r="G86" s="108" t="s">
        <v>588</v>
      </c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</row>
    <row r="87" spans="1:237" s="40" customFormat="1" ht="45" customHeight="1" x14ac:dyDescent="0.2">
      <c r="A87" s="41">
        <v>8649</v>
      </c>
      <c r="B87" s="41" t="s">
        <v>84</v>
      </c>
      <c r="C87" s="36" t="s">
        <v>85</v>
      </c>
      <c r="D87" s="57"/>
      <c r="E87" s="87" t="s">
        <v>572</v>
      </c>
      <c r="F87" s="184" t="s">
        <v>2152</v>
      </c>
      <c r="G87" s="108" t="s">
        <v>575</v>
      </c>
    </row>
    <row r="88" spans="1:237" s="40" customFormat="1" ht="45" customHeight="1" x14ac:dyDescent="0.2">
      <c r="A88" s="41">
        <v>8654</v>
      </c>
      <c r="B88" s="41" t="s">
        <v>84</v>
      </c>
      <c r="C88" s="36" t="s">
        <v>85</v>
      </c>
      <c r="D88" s="57"/>
      <c r="E88" s="87" t="s">
        <v>589</v>
      </c>
      <c r="F88" s="184" t="s">
        <v>2153</v>
      </c>
      <c r="G88" s="108" t="s">
        <v>592</v>
      </c>
    </row>
    <row r="89" spans="1:237" s="35" customFormat="1" ht="45" customHeight="1" x14ac:dyDescent="0.2">
      <c r="A89" s="41">
        <v>3140</v>
      </c>
      <c r="B89" s="41" t="s">
        <v>84</v>
      </c>
      <c r="C89" s="36" t="s">
        <v>85</v>
      </c>
      <c r="D89" s="41"/>
      <c r="E89" s="87" t="s">
        <v>349</v>
      </c>
      <c r="F89" s="184" t="s">
        <v>2154</v>
      </c>
      <c r="G89" s="108" t="s">
        <v>352</v>
      </c>
    </row>
    <row r="90" spans="1:237" s="40" customFormat="1" ht="45" customHeight="1" x14ac:dyDescent="0.2">
      <c r="A90" s="41">
        <v>3141</v>
      </c>
      <c r="B90" s="41" t="s">
        <v>84</v>
      </c>
      <c r="C90" s="36" t="s">
        <v>85</v>
      </c>
      <c r="D90" s="41"/>
      <c r="E90" s="87" t="s">
        <v>353</v>
      </c>
      <c r="F90" s="184" t="s">
        <v>2155</v>
      </c>
      <c r="G90" s="108" t="s">
        <v>355</v>
      </c>
    </row>
    <row r="91" spans="1:237" s="40" customFormat="1" ht="45" customHeight="1" x14ac:dyDescent="0.2">
      <c r="A91" s="41">
        <v>3144</v>
      </c>
      <c r="B91" s="41" t="s">
        <v>84</v>
      </c>
      <c r="C91" s="36" t="s">
        <v>85</v>
      </c>
      <c r="D91" s="41"/>
      <c r="E91" s="87" t="s">
        <v>359</v>
      </c>
      <c r="F91" s="184" t="s">
        <v>2156</v>
      </c>
      <c r="G91" s="108" t="s">
        <v>361</v>
      </c>
    </row>
    <row r="92" spans="1:237" s="40" customFormat="1" ht="45" customHeight="1" x14ac:dyDescent="0.2">
      <c r="A92" s="41">
        <v>3143</v>
      </c>
      <c r="B92" s="41" t="s">
        <v>84</v>
      </c>
      <c r="C92" s="36" t="s">
        <v>85</v>
      </c>
      <c r="D92" s="41"/>
      <c r="E92" s="87" t="s">
        <v>356</v>
      </c>
      <c r="F92" s="184" t="s">
        <v>2157</v>
      </c>
      <c r="G92" s="108" t="s">
        <v>358</v>
      </c>
    </row>
    <row r="93" spans="1:237" s="40" customFormat="1" ht="45" customHeight="1" x14ac:dyDescent="0.2">
      <c r="A93" s="41">
        <v>3157</v>
      </c>
      <c r="B93" s="41" t="s">
        <v>84</v>
      </c>
      <c r="C93" s="36" t="s">
        <v>85</v>
      </c>
      <c r="D93" s="41"/>
      <c r="E93" s="87" t="s">
        <v>381</v>
      </c>
      <c r="F93" s="184" t="s">
        <v>2158</v>
      </c>
      <c r="G93" s="54" t="s">
        <v>383</v>
      </c>
    </row>
    <row r="94" spans="1:237" s="40" customFormat="1" ht="45" customHeight="1" x14ac:dyDescent="0.2">
      <c r="A94" s="41">
        <v>8566</v>
      </c>
      <c r="B94" s="41" t="s">
        <v>84</v>
      </c>
      <c r="C94" s="36" t="s">
        <v>85</v>
      </c>
      <c r="D94" s="41"/>
      <c r="E94" s="87" t="s">
        <v>557</v>
      </c>
      <c r="F94" s="184" t="s">
        <v>2159</v>
      </c>
      <c r="G94" s="54" t="s">
        <v>559</v>
      </c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</row>
    <row r="95" spans="1:237" s="40" customFormat="1" ht="45" customHeight="1" x14ac:dyDescent="0.2">
      <c r="A95" s="41">
        <v>8513</v>
      </c>
      <c r="B95" s="41" t="s">
        <v>84</v>
      </c>
      <c r="C95" s="36" t="s">
        <v>85</v>
      </c>
      <c r="D95" s="41"/>
      <c r="E95" s="87" t="s">
        <v>496</v>
      </c>
      <c r="F95" s="184" t="s">
        <v>2160</v>
      </c>
      <c r="G95" s="108" t="s">
        <v>510</v>
      </c>
    </row>
    <row r="96" spans="1:237" s="40" customFormat="1" ht="45" customHeight="1" x14ac:dyDescent="0.2">
      <c r="A96" s="41">
        <v>8501</v>
      </c>
      <c r="B96" s="41" t="s">
        <v>84</v>
      </c>
      <c r="C96" s="36" t="s">
        <v>85</v>
      </c>
      <c r="D96" s="41"/>
      <c r="E96" s="87" t="s">
        <v>282</v>
      </c>
      <c r="F96" s="184" t="s">
        <v>2161</v>
      </c>
      <c r="G96" s="54" t="s">
        <v>501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</row>
    <row r="97" spans="1:237" s="40" customFormat="1" ht="45" customHeight="1" x14ac:dyDescent="0.2">
      <c r="A97" s="41">
        <v>8516</v>
      </c>
      <c r="B97" s="41" t="s">
        <v>84</v>
      </c>
      <c r="C97" s="36" t="s">
        <v>85</v>
      </c>
      <c r="D97" s="41"/>
      <c r="E97" s="87" t="s">
        <v>511</v>
      </c>
      <c r="F97" s="184" t="s">
        <v>2162</v>
      </c>
      <c r="G97" s="108" t="s">
        <v>513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</row>
    <row r="98" spans="1:237" s="40" customFormat="1" ht="45" customHeight="1" x14ac:dyDescent="0.2">
      <c r="A98" s="41">
        <v>8508</v>
      </c>
      <c r="B98" s="41" t="s">
        <v>84</v>
      </c>
      <c r="C98" s="36" t="s">
        <v>85</v>
      </c>
      <c r="D98" s="41"/>
      <c r="E98" s="87" t="s">
        <v>505</v>
      </c>
      <c r="F98" s="184" t="s">
        <v>2163</v>
      </c>
      <c r="G98" s="108" t="s">
        <v>508</v>
      </c>
    </row>
    <row r="99" spans="1:237" s="40" customFormat="1" ht="45" customHeight="1" x14ac:dyDescent="0.2">
      <c r="A99" s="41">
        <v>8507</v>
      </c>
      <c r="B99" s="41" t="s">
        <v>84</v>
      </c>
      <c r="C99" s="36" t="s">
        <v>85</v>
      </c>
      <c r="D99" s="41"/>
      <c r="E99" s="87" t="s">
        <v>502</v>
      </c>
      <c r="F99" s="184" t="s">
        <v>2164</v>
      </c>
      <c r="G99" s="108" t="s">
        <v>508</v>
      </c>
    </row>
    <row r="100" spans="1:237" s="40" customFormat="1" ht="45" customHeight="1" x14ac:dyDescent="0.2">
      <c r="A100" s="41">
        <v>8500</v>
      </c>
      <c r="B100" s="41" t="s">
        <v>84</v>
      </c>
      <c r="C100" s="36" t="s">
        <v>85</v>
      </c>
      <c r="D100" s="41"/>
      <c r="E100" s="87" t="s">
        <v>496</v>
      </c>
      <c r="F100" s="184" t="s">
        <v>2165</v>
      </c>
      <c r="G100" s="108" t="s">
        <v>2166</v>
      </c>
    </row>
    <row r="101" spans="1:237" s="40" customFormat="1" ht="45" customHeight="1" x14ac:dyDescent="0.2">
      <c r="A101" s="41">
        <v>8655</v>
      </c>
      <c r="B101" s="41" t="s">
        <v>84</v>
      </c>
      <c r="C101" s="36" t="s">
        <v>85</v>
      </c>
      <c r="D101" s="41"/>
      <c r="E101" s="87" t="s">
        <v>282</v>
      </c>
      <c r="F101" s="184" t="s">
        <v>2167</v>
      </c>
      <c r="G101" s="108" t="s">
        <v>595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</row>
    <row r="102" spans="1:237" s="40" customFormat="1" ht="45" customHeight="1" x14ac:dyDescent="0.2">
      <c r="A102" s="41">
        <v>8656</v>
      </c>
      <c r="B102" s="41" t="s">
        <v>84</v>
      </c>
      <c r="C102" s="36" t="s">
        <v>85</v>
      </c>
      <c r="D102" s="41"/>
      <c r="E102" s="87" t="s">
        <v>511</v>
      </c>
      <c r="F102" s="184" t="s">
        <v>2168</v>
      </c>
      <c r="G102" s="108" t="s">
        <v>513</v>
      </c>
    </row>
    <row r="103" spans="1:237" s="40" customFormat="1" ht="45" customHeight="1" x14ac:dyDescent="0.2">
      <c r="A103" s="41">
        <v>18993</v>
      </c>
      <c r="B103" s="41" t="s">
        <v>84</v>
      </c>
      <c r="C103" s="36" t="s">
        <v>85</v>
      </c>
      <c r="D103" s="41"/>
      <c r="E103" s="87" t="s">
        <v>825</v>
      </c>
      <c r="F103" s="184" t="s">
        <v>2169</v>
      </c>
      <c r="G103" s="108" t="s">
        <v>828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</row>
    <row r="104" spans="1:237" s="40" customFormat="1" ht="45" customHeight="1" x14ac:dyDescent="0.2">
      <c r="A104" s="41">
        <v>2989</v>
      </c>
      <c r="B104" s="41" t="s">
        <v>84</v>
      </c>
      <c r="C104" s="36" t="s">
        <v>85</v>
      </c>
      <c r="D104" s="41"/>
      <c r="E104" s="87" t="s">
        <v>140</v>
      </c>
      <c r="F104" s="184" t="s">
        <v>2170</v>
      </c>
      <c r="G104" s="108" t="s">
        <v>336</v>
      </c>
    </row>
    <row r="105" spans="1:237" s="40" customFormat="1" ht="45" customHeight="1" x14ac:dyDescent="0.2">
      <c r="A105" s="41">
        <v>2990</v>
      </c>
      <c r="B105" s="41" t="s">
        <v>84</v>
      </c>
      <c r="C105" s="36" t="s">
        <v>85</v>
      </c>
      <c r="D105" s="41"/>
      <c r="E105" s="87" t="s">
        <v>145</v>
      </c>
      <c r="F105" s="184" t="s">
        <v>2171</v>
      </c>
      <c r="G105" s="108" t="s">
        <v>338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</row>
    <row r="106" spans="1:237" s="40" customFormat="1" ht="45" customHeight="1" x14ac:dyDescent="0.2">
      <c r="A106" s="41">
        <v>2991</v>
      </c>
      <c r="B106" s="41" t="s">
        <v>84</v>
      </c>
      <c r="C106" s="36" t="s">
        <v>85</v>
      </c>
      <c r="D106" s="41"/>
      <c r="E106" s="87" t="s">
        <v>149</v>
      </c>
      <c r="F106" s="184" t="s">
        <v>2172</v>
      </c>
      <c r="G106" s="108" t="s">
        <v>340</v>
      </c>
    </row>
    <row r="107" spans="1:237" s="40" customFormat="1" ht="45" customHeight="1" x14ac:dyDescent="0.2">
      <c r="A107" s="41">
        <v>2992</v>
      </c>
      <c r="B107" s="41" t="s">
        <v>84</v>
      </c>
      <c r="C107" s="36" t="s">
        <v>85</v>
      </c>
      <c r="D107" s="41"/>
      <c r="E107" s="87" t="s">
        <v>237</v>
      </c>
      <c r="F107" s="184" t="s">
        <v>2173</v>
      </c>
      <c r="G107" s="108" t="s">
        <v>342</v>
      </c>
    </row>
    <row r="108" spans="1:237" s="40" customFormat="1" ht="45" customHeight="1" x14ac:dyDescent="0.2">
      <c r="A108" s="41">
        <v>2988</v>
      </c>
      <c r="B108" s="41" t="s">
        <v>84</v>
      </c>
      <c r="C108" s="36" t="s">
        <v>85</v>
      </c>
      <c r="D108" s="41"/>
      <c r="E108" s="87" t="s">
        <v>332</v>
      </c>
      <c r="F108" s="184" t="s">
        <v>2174</v>
      </c>
      <c r="G108" s="108" t="s">
        <v>334</v>
      </c>
    </row>
    <row r="109" spans="1:237" s="40" customFormat="1" ht="45" customHeight="1" x14ac:dyDescent="0.2">
      <c r="A109" s="41">
        <v>8558</v>
      </c>
      <c r="B109" s="41" t="s">
        <v>84</v>
      </c>
      <c r="C109" s="36" t="s">
        <v>85</v>
      </c>
      <c r="D109" s="41"/>
      <c r="E109" s="87" t="s">
        <v>537</v>
      </c>
      <c r="F109" s="184" t="s">
        <v>2175</v>
      </c>
      <c r="G109" s="108" t="s">
        <v>539</v>
      </c>
    </row>
    <row r="110" spans="1:237" s="40" customFormat="1" ht="45" customHeight="1" x14ac:dyDescent="0.2">
      <c r="A110" s="41">
        <v>8559</v>
      </c>
      <c r="B110" s="41" t="s">
        <v>84</v>
      </c>
      <c r="C110" s="36" t="s">
        <v>85</v>
      </c>
      <c r="D110" s="41"/>
      <c r="E110" s="87" t="s">
        <v>540</v>
      </c>
      <c r="F110" s="184" t="s">
        <v>2176</v>
      </c>
      <c r="G110" s="108" t="s">
        <v>542</v>
      </c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</row>
    <row r="111" spans="1:237" s="40" customFormat="1" ht="45" customHeight="1" x14ac:dyDescent="0.2">
      <c r="A111" s="41">
        <v>8560</v>
      </c>
      <c r="B111" s="41" t="s">
        <v>84</v>
      </c>
      <c r="C111" s="36" t="s">
        <v>85</v>
      </c>
      <c r="D111" s="41"/>
      <c r="E111" s="87" t="s">
        <v>543</v>
      </c>
      <c r="F111" s="184" t="s">
        <v>2177</v>
      </c>
      <c r="G111" s="108" t="s">
        <v>545</v>
      </c>
    </row>
    <row r="112" spans="1:237" s="40" customFormat="1" ht="45" customHeight="1" x14ac:dyDescent="0.2">
      <c r="A112" s="41">
        <v>8561</v>
      </c>
      <c r="B112" s="41" t="s">
        <v>84</v>
      </c>
      <c r="C112" s="36" t="s">
        <v>85</v>
      </c>
      <c r="D112" s="41"/>
      <c r="E112" s="87" t="s">
        <v>546</v>
      </c>
      <c r="F112" s="184" t="s">
        <v>2178</v>
      </c>
      <c r="G112" s="108" t="s">
        <v>548</v>
      </c>
    </row>
    <row r="113" spans="1:237" s="40" customFormat="1" ht="45" customHeight="1" x14ac:dyDescent="0.2">
      <c r="A113" s="41">
        <v>8562</v>
      </c>
      <c r="B113" s="41" t="s">
        <v>84</v>
      </c>
      <c r="C113" s="36" t="s">
        <v>85</v>
      </c>
      <c r="D113" s="41"/>
      <c r="E113" s="87" t="s">
        <v>549</v>
      </c>
      <c r="F113" s="184" t="s">
        <v>2179</v>
      </c>
      <c r="G113" s="108" t="s">
        <v>551</v>
      </c>
    </row>
    <row r="114" spans="1:237" s="40" customFormat="1" ht="45" customHeight="1" x14ac:dyDescent="0.2">
      <c r="A114" s="41">
        <v>2987</v>
      </c>
      <c r="B114" s="41" t="s">
        <v>84</v>
      </c>
      <c r="C114" s="109" t="s">
        <v>320</v>
      </c>
      <c r="D114" s="57"/>
      <c r="E114" s="87" t="s">
        <v>325</v>
      </c>
      <c r="F114" s="184" t="s">
        <v>2180</v>
      </c>
      <c r="G114" s="108" t="s">
        <v>331</v>
      </c>
    </row>
    <row r="115" spans="1:237" s="40" customFormat="1" ht="45" customHeight="1" x14ac:dyDescent="0.2">
      <c r="A115" s="41">
        <v>9011</v>
      </c>
      <c r="B115" s="41" t="s">
        <v>84</v>
      </c>
      <c r="C115" s="36" t="s">
        <v>85</v>
      </c>
      <c r="D115" s="41"/>
      <c r="E115" s="87" t="s">
        <v>517</v>
      </c>
      <c r="F115" s="184" t="s">
        <v>2181</v>
      </c>
      <c r="G115" s="108" t="s">
        <v>757</v>
      </c>
    </row>
    <row r="116" spans="1:237" s="40" customFormat="1" ht="45" customHeight="1" x14ac:dyDescent="0.2">
      <c r="A116" s="41">
        <v>9010</v>
      </c>
      <c r="B116" s="41" t="s">
        <v>84</v>
      </c>
      <c r="C116" s="36" t="s">
        <v>85</v>
      </c>
      <c r="D116" s="41"/>
      <c r="E116" s="87" t="s">
        <v>521</v>
      </c>
      <c r="F116" s="184" t="s">
        <v>2182</v>
      </c>
      <c r="G116" s="108" t="s">
        <v>754</v>
      </c>
    </row>
    <row r="117" spans="1:237" s="40" customFormat="1" ht="45" customHeight="1" x14ac:dyDescent="0.2">
      <c r="A117" s="41">
        <v>9009</v>
      </c>
      <c r="B117" s="41" t="s">
        <v>84</v>
      </c>
      <c r="C117" s="36" t="s">
        <v>85</v>
      </c>
      <c r="D117" s="41"/>
      <c r="E117" s="87" t="s">
        <v>525</v>
      </c>
      <c r="F117" s="184" t="s">
        <v>2183</v>
      </c>
      <c r="G117" s="108" t="s">
        <v>752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</row>
    <row r="118" spans="1:237" s="40" customFormat="1" ht="45" customHeight="1" x14ac:dyDescent="0.2">
      <c r="A118" s="41">
        <v>8548</v>
      </c>
      <c r="B118" s="41" t="s">
        <v>84</v>
      </c>
      <c r="C118" s="36" t="s">
        <v>85</v>
      </c>
      <c r="D118" s="41"/>
      <c r="E118" s="87" t="s">
        <v>514</v>
      </c>
      <c r="F118" s="184" t="s">
        <v>2184</v>
      </c>
      <c r="G118" s="108" t="s">
        <v>516</v>
      </c>
    </row>
    <row r="119" spans="1:237" s="40" customFormat="1" ht="45" customHeight="1" x14ac:dyDescent="0.2">
      <c r="A119" s="41">
        <v>8549</v>
      </c>
      <c r="B119" s="41" t="s">
        <v>84</v>
      </c>
      <c r="C119" s="36" t="s">
        <v>85</v>
      </c>
      <c r="D119" s="41"/>
      <c r="E119" s="87" t="s">
        <v>517</v>
      </c>
      <c r="F119" s="184" t="s">
        <v>2185</v>
      </c>
      <c r="G119" s="108" t="s">
        <v>520</v>
      </c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</row>
    <row r="120" spans="1:237" s="40" customFormat="1" ht="45" customHeight="1" x14ac:dyDescent="0.2">
      <c r="A120" s="41">
        <v>8550</v>
      </c>
      <c r="B120" s="41" t="s">
        <v>84</v>
      </c>
      <c r="C120" s="36" t="s">
        <v>85</v>
      </c>
      <c r="D120" s="41"/>
      <c r="E120" s="87" t="s">
        <v>521</v>
      </c>
      <c r="F120" s="184" t="s">
        <v>2186</v>
      </c>
      <c r="G120" s="108" t="s">
        <v>524</v>
      </c>
    </row>
    <row r="121" spans="1:237" s="40" customFormat="1" ht="45" customHeight="1" x14ac:dyDescent="0.2">
      <c r="A121" s="41">
        <v>8551</v>
      </c>
      <c r="B121" s="41" t="s">
        <v>84</v>
      </c>
      <c r="C121" s="36" t="s">
        <v>85</v>
      </c>
      <c r="D121" s="41"/>
      <c r="E121" s="87" t="s">
        <v>525</v>
      </c>
      <c r="F121" s="184" t="s">
        <v>2187</v>
      </c>
      <c r="G121" s="108" t="s">
        <v>528</v>
      </c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</row>
    <row r="122" spans="1:237" s="40" customFormat="1" ht="45" customHeight="1" x14ac:dyDescent="0.2">
      <c r="A122" s="41">
        <v>8678</v>
      </c>
      <c r="B122" s="41" t="s">
        <v>84</v>
      </c>
      <c r="C122" s="36" t="s">
        <v>85</v>
      </c>
      <c r="D122" s="41"/>
      <c r="E122" s="87" t="s">
        <v>514</v>
      </c>
      <c r="F122" s="184" t="s">
        <v>2188</v>
      </c>
      <c r="G122" s="108" t="s">
        <v>617</v>
      </c>
    </row>
    <row r="123" spans="1:237" s="40" customFormat="1" ht="45" customHeight="1" x14ac:dyDescent="0.2">
      <c r="A123" s="41">
        <v>8553</v>
      </c>
      <c r="B123" s="41" t="s">
        <v>84</v>
      </c>
      <c r="C123" s="36" t="s">
        <v>85</v>
      </c>
      <c r="D123" s="41"/>
      <c r="E123" s="87" t="s">
        <v>529</v>
      </c>
      <c r="F123" s="184" t="s">
        <v>2189</v>
      </c>
      <c r="G123" s="108" t="s">
        <v>532</v>
      </c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</row>
    <row r="124" spans="1:237" s="40" customFormat="1" ht="45" customHeight="1" x14ac:dyDescent="0.2">
      <c r="A124" s="41">
        <v>8554</v>
      </c>
      <c r="B124" s="41" t="s">
        <v>84</v>
      </c>
      <c r="C124" s="36" t="s">
        <v>85</v>
      </c>
      <c r="D124" s="41"/>
      <c r="E124" s="87" t="s">
        <v>533</v>
      </c>
      <c r="F124" s="184" t="s">
        <v>2190</v>
      </c>
      <c r="G124" s="108" t="s">
        <v>536</v>
      </c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</row>
    <row r="125" spans="1:237" s="40" customFormat="1" ht="45" customHeight="1" x14ac:dyDescent="0.2">
      <c r="A125" s="41">
        <v>10903</v>
      </c>
      <c r="B125" s="41" t="s">
        <v>84</v>
      </c>
      <c r="C125" s="36" t="s">
        <v>85</v>
      </c>
      <c r="D125" s="41"/>
      <c r="E125" s="87" t="s">
        <v>140</v>
      </c>
      <c r="F125" s="184" t="s">
        <v>2191</v>
      </c>
      <c r="G125" s="108" t="s">
        <v>765</v>
      </c>
    </row>
    <row r="126" spans="1:237" s="40" customFormat="1" ht="45" customHeight="1" x14ac:dyDescent="0.2">
      <c r="A126" s="41">
        <v>8723</v>
      </c>
      <c r="B126" s="41" t="s">
        <v>84</v>
      </c>
      <c r="C126" s="36" t="s">
        <v>85</v>
      </c>
      <c r="D126" s="41"/>
      <c r="E126" s="87" t="s">
        <v>140</v>
      </c>
      <c r="F126" s="184" t="s">
        <v>2192</v>
      </c>
      <c r="G126" s="108" t="s">
        <v>672</v>
      </c>
    </row>
    <row r="127" spans="1:237" s="40" customFormat="1" ht="45" customHeight="1" x14ac:dyDescent="0.2">
      <c r="A127" s="41">
        <v>8724</v>
      </c>
      <c r="B127" s="41" t="s">
        <v>84</v>
      </c>
      <c r="C127" s="36" t="s">
        <v>85</v>
      </c>
      <c r="D127" s="41"/>
      <c r="E127" s="87" t="s">
        <v>145</v>
      </c>
      <c r="F127" s="184" t="s">
        <v>2193</v>
      </c>
      <c r="G127" s="108" t="s">
        <v>674</v>
      </c>
    </row>
    <row r="128" spans="1:237" s="40" customFormat="1" ht="45" customHeight="1" x14ac:dyDescent="0.2">
      <c r="A128" s="41">
        <v>8725</v>
      </c>
      <c r="B128" s="41" t="s">
        <v>84</v>
      </c>
      <c r="C128" s="36" t="s">
        <v>85</v>
      </c>
      <c r="D128" s="41"/>
      <c r="E128" s="87" t="s">
        <v>149</v>
      </c>
      <c r="F128" s="184" t="s">
        <v>2194</v>
      </c>
      <c r="G128" s="108" t="s">
        <v>676</v>
      </c>
    </row>
    <row r="129" spans="1:237" s="35" customFormat="1" ht="45" customHeight="1" x14ac:dyDescent="0.2">
      <c r="A129" s="41">
        <v>8685</v>
      </c>
      <c r="B129" s="41" t="s">
        <v>84</v>
      </c>
      <c r="C129" s="36" t="s">
        <v>85</v>
      </c>
      <c r="D129" s="41"/>
      <c r="E129" s="87" t="s">
        <v>237</v>
      </c>
      <c r="F129" s="184" t="s">
        <v>2195</v>
      </c>
      <c r="G129" s="108" t="s">
        <v>626</v>
      </c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</row>
    <row r="130" spans="1:237" s="35" customFormat="1" ht="45" customHeight="1" x14ac:dyDescent="0.2">
      <c r="A130" s="41" t="s">
        <v>2196</v>
      </c>
      <c r="B130" s="41" t="s">
        <v>84</v>
      </c>
      <c r="C130" s="36" t="s">
        <v>366</v>
      </c>
      <c r="D130" s="41"/>
      <c r="E130" s="87" t="s">
        <v>2197</v>
      </c>
      <c r="F130" s="184" t="s">
        <v>2198</v>
      </c>
      <c r="G130" s="108" t="s">
        <v>2199</v>
      </c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</row>
    <row r="131" spans="1:237" s="40" customFormat="1" ht="45" customHeight="1" x14ac:dyDescent="0.2">
      <c r="A131" s="41">
        <v>8683</v>
      </c>
      <c r="B131" s="41" t="s">
        <v>84</v>
      </c>
      <c r="C131" s="36" t="s">
        <v>85</v>
      </c>
      <c r="D131" s="57"/>
      <c r="E131" s="87" t="s">
        <v>140</v>
      </c>
      <c r="F131" s="184" t="s">
        <v>2200</v>
      </c>
      <c r="G131" s="108" t="s">
        <v>622</v>
      </c>
    </row>
    <row r="132" spans="1:237" s="40" customFormat="1" ht="45" customHeight="1" x14ac:dyDescent="0.2">
      <c r="A132" s="41">
        <v>8684</v>
      </c>
      <c r="B132" s="41" t="s">
        <v>84</v>
      </c>
      <c r="C132" s="36" t="s">
        <v>85</v>
      </c>
      <c r="D132" s="57"/>
      <c r="E132" s="87" t="s">
        <v>145</v>
      </c>
      <c r="F132" s="184" t="s">
        <v>2201</v>
      </c>
      <c r="G132" s="108" t="s">
        <v>624</v>
      </c>
    </row>
    <row r="133" spans="1:237" s="40" customFormat="1" ht="45" customHeight="1" x14ac:dyDescent="0.2">
      <c r="A133" s="41">
        <v>8682</v>
      </c>
      <c r="B133" s="41" t="s">
        <v>84</v>
      </c>
      <c r="C133" s="36" t="s">
        <v>85</v>
      </c>
      <c r="D133" s="57"/>
      <c r="E133" s="87" t="s">
        <v>149</v>
      </c>
      <c r="F133" s="184" t="s">
        <v>2202</v>
      </c>
      <c r="G133" s="108" t="s">
        <v>620</v>
      </c>
    </row>
    <row r="134" spans="1:237" s="40" customFormat="1" ht="45" customHeight="1" x14ac:dyDescent="0.2">
      <c r="A134" s="41">
        <v>7439</v>
      </c>
      <c r="B134" s="41" t="s">
        <v>84</v>
      </c>
      <c r="C134" s="36" t="s">
        <v>85</v>
      </c>
      <c r="D134" s="57"/>
      <c r="E134" s="87" t="s">
        <v>237</v>
      </c>
      <c r="F134" s="184" t="s">
        <v>2203</v>
      </c>
      <c r="G134" s="108" t="s">
        <v>490</v>
      </c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</row>
    <row r="135" spans="1:237" s="40" customFormat="1" ht="45" customHeight="1" x14ac:dyDescent="0.2">
      <c r="A135" s="41">
        <v>2243</v>
      </c>
      <c r="B135" s="41" t="s">
        <v>84</v>
      </c>
      <c r="C135" s="36" t="s">
        <v>85</v>
      </c>
      <c r="D135" s="41"/>
      <c r="E135" s="87" t="s">
        <v>890</v>
      </c>
      <c r="F135" s="184" t="s">
        <v>2204</v>
      </c>
      <c r="G135" s="108" t="s">
        <v>892</v>
      </c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</row>
    <row r="136" spans="1:237" s="35" customFormat="1" ht="45" customHeight="1" x14ac:dyDescent="0.2">
      <c r="A136" s="41">
        <v>2246</v>
      </c>
      <c r="B136" s="41" t="s">
        <v>84</v>
      </c>
      <c r="C136" s="36" t="s">
        <v>85</v>
      </c>
      <c r="D136" s="41"/>
      <c r="E136" s="87" t="s">
        <v>896</v>
      </c>
      <c r="F136" s="184" t="s">
        <v>2205</v>
      </c>
      <c r="G136" s="108" t="s">
        <v>898</v>
      </c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</row>
    <row r="137" spans="1:237" s="35" customFormat="1" ht="45" customHeight="1" x14ac:dyDescent="0.2">
      <c r="A137" s="41">
        <v>2248</v>
      </c>
      <c r="B137" s="41" t="s">
        <v>84</v>
      </c>
      <c r="C137" s="36" t="s">
        <v>85</v>
      </c>
      <c r="D137" s="41"/>
      <c r="E137" s="87" t="s">
        <v>131</v>
      </c>
      <c r="F137" s="184" t="s">
        <v>2206</v>
      </c>
      <c r="G137" s="108" t="s">
        <v>135</v>
      </c>
    </row>
    <row r="138" spans="1:237" s="35" customFormat="1" ht="45" customHeight="1" x14ac:dyDescent="0.2">
      <c r="A138" s="41">
        <v>2249</v>
      </c>
      <c r="B138" s="41" t="s">
        <v>84</v>
      </c>
      <c r="C138" s="36" t="s">
        <v>85</v>
      </c>
      <c r="D138" s="41"/>
      <c r="E138" s="87" t="s">
        <v>136</v>
      </c>
      <c r="F138" s="184" t="s">
        <v>2207</v>
      </c>
      <c r="G138" s="108" t="s">
        <v>139</v>
      </c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</row>
    <row r="139" spans="1:237" s="35" customFormat="1" ht="45" customHeight="1" x14ac:dyDescent="0.2">
      <c r="A139" s="41">
        <v>2010</v>
      </c>
      <c r="B139" s="41" t="s">
        <v>84</v>
      </c>
      <c r="C139" s="36" t="s">
        <v>85</v>
      </c>
      <c r="D139" s="41"/>
      <c r="E139" s="87" t="s">
        <v>86</v>
      </c>
      <c r="F139" s="184" t="s">
        <v>2208</v>
      </c>
      <c r="G139" s="108" t="s">
        <v>90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</row>
    <row r="140" spans="1:237" s="35" customFormat="1" ht="45" customHeight="1" x14ac:dyDescent="0.2">
      <c r="A140" s="41">
        <v>2253</v>
      </c>
      <c r="B140" s="41" t="s">
        <v>84</v>
      </c>
      <c r="C140" s="36" t="s">
        <v>85</v>
      </c>
      <c r="D140" s="41"/>
      <c r="E140" s="87" t="s">
        <v>2209</v>
      </c>
      <c r="F140" s="184" t="s">
        <v>2208</v>
      </c>
      <c r="G140" s="108" t="s">
        <v>90</v>
      </c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</row>
    <row r="141" spans="1:237" s="40" customFormat="1" ht="45" customHeight="1" x14ac:dyDescent="0.2">
      <c r="A141" s="41">
        <v>2255</v>
      </c>
      <c r="B141" s="41" t="s">
        <v>84</v>
      </c>
      <c r="C141" s="36" t="s">
        <v>85</v>
      </c>
      <c r="D141" s="41"/>
      <c r="E141" s="87" t="s">
        <v>893</v>
      </c>
      <c r="F141" s="184" t="s">
        <v>2210</v>
      </c>
      <c r="G141" s="108" t="s">
        <v>895</v>
      </c>
    </row>
    <row r="142" spans="1:237" s="40" customFormat="1" ht="45" customHeight="1" x14ac:dyDescent="0.2">
      <c r="A142" s="41">
        <v>2257</v>
      </c>
      <c r="B142" s="41" t="s">
        <v>84</v>
      </c>
      <c r="C142" s="36" t="s">
        <v>85</v>
      </c>
      <c r="D142" s="41"/>
      <c r="E142" s="87" t="s">
        <v>2211</v>
      </c>
      <c r="F142" s="184" t="s">
        <v>2210</v>
      </c>
      <c r="G142" s="108" t="s">
        <v>2212</v>
      </c>
    </row>
    <row r="143" spans="1:237" s="40" customFormat="1" ht="45" customHeight="1" x14ac:dyDescent="0.2">
      <c r="A143" s="41">
        <v>8737</v>
      </c>
      <c r="B143" s="41" t="s">
        <v>84</v>
      </c>
      <c r="C143" s="36" t="s">
        <v>85</v>
      </c>
      <c r="D143" s="86"/>
      <c r="E143" s="87" t="s">
        <v>246</v>
      </c>
      <c r="F143" s="184" t="s">
        <v>2213</v>
      </c>
      <c r="G143" s="108" t="s">
        <v>693</v>
      </c>
    </row>
    <row r="144" spans="1:237" s="40" customFormat="1" ht="45" customHeight="1" x14ac:dyDescent="0.2">
      <c r="A144" s="41">
        <v>8738</v>
      </c>
      <c r="B144" s="41" t="s">
        <v>84</v>
      </c>
      <c r="C144" s="36" t="s">
        <v>85</v>
      </c>
      <c r="D144" s="86"/>
      <c r="E144" s="87" t="s">
        <v>250</v>
      </c>
      <c r="F144" s="184" t="s">
        <v>2214</v>
      </c>
      <c r="G144" s="108" t="s">
        <v>695</v>
      </c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</row>
    <row r="145" spans="1:237" s="40" customFormat="1" ht="45" customHeight="1" x14ac:dyDescent="0.2">
      <c r="A145" s="41">
        <v>8735</v>
      </c>
      <c r="B145" s="41" t="s">
        <v>84</v>
      </c>
      <c r="C145" s="36" t="s">
        <v>85</v>
      </c>
      <c r="D145" s="86"/>
      <c r="E145" s="87" t="s">
        <v>253</v>
      </c>
      <c r="F145" s="184" t="s">
        <v>2215</v>
      </c>
      <c r="G145" s="108" t="s">
        <v>691</v>
      </c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</row>
    <row r="146" spans="1:237" s="40" customFormat="1" ht="45" customHeight="1" x14ac:dyDescent="0.2">
      <c r="A146" s="41">
        <v>8739</v>
      </c>
      <c r="B146" s="41" t="s">
        <v>84</v>
      </c>
      <c r="C146" s="36" t="s">
        <v>85</v>
      </c>
      <c r="D146" s="86"/>
      <c r="E146" s="87" t="s">
        <v>256</v>
      </c>
      <c r="F146" s="184" t="s">
        <v>2216</v>
      </c>
      <c r="G146" s="108" t="s">
        <v>697</v>
      </c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</row>
    <row r="147" spans="1:237" s="40" customFormat="1" ht="45" customHeight="1" x14ac:dyDescent="0.2">
      <c r="A147" s="41">
        <v>8734</v>
      </c>
      <c r="B147" s="41" t="s">
        <v>84</v>
      </c>
      <c r="C147" s="36" t="s">
        <v>85</v>
      </c>
      <c r="D147" s="86"/>
      <c r="E147" s="87" t="s">
        <v>259</v>
      </c>
      <c r="F147" s="184" t="s">
        <v>2217</v>
      </c>
      <c r="G147" s="108" t="s">
        <v>689</v>
      </c>
    </row>
    <row r="148" spans="1:237" s="40" customFormat="1" ht="45" customHeight="1" x14ac:dyDescent="0.2">
      <c r="A148" s="41">
        <v>2723</v>
      </c>
      <c r="B148" s="41" t="s">
        <v>84</v>
      </c>
      <c r="C148" s="36" t="s">
        <v>85</v>
      </c>
      <c r="D148" s="86"/>
      <c r="E148" s="87" t="s">
        <v>262</v>
      </c>
      <c r="F148" s="184" t="s">
        <v>2218</v>
      </c>
      <c r="G148" s="108" t="s">
        <v>280</v>
      </c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</row>
    <row r="149" spans="1:237" s="40" customFormat="1" ht="45" customHeight="1" x14ac:dyDescent="0.2">
      <c r="A149" s="41">
        <v>19021</v>
      </c>
      <c r="B149" s="41" t="s">
        <v>84</v>
      </c>
      <c r="C149" s="36" t="s">
        <v>85</v>
      </c>
      <c r="D149" s="86"/>
      <c r="E149" s="87" t="s">
        <v>265</v>
      </c>
      <c r="F149" s="184" t="s">
        <v>2219</v>
      </c>
      <c r="G149" s="108" t="s">
        <v>831</v>
      </c>
    </row>
    <row r="150" spans="1:237" s="40" customFormat="1" ht="45" customHeight="1" x14ac:dyDescent="0.2">
      <c r="A150" s="41">
        <v>3151</v>
      </c>
      <c r="B150" s="41" t="s">
        <v>84</v>
      </c>
      <c r="C150" s="36" t="s">
        <v>85</v>
      </c>
      <c r="D150" s="41"/>
      <c r="E150" s="87" t="s">
        <v>246</v>
      </c>
      <c r="F150" s="184" t="s">
        <v>2220</v>
      </c>
      <c r="G150" s="108" t="s">
        <v>376</v>
      </c>
    </row>
    <row r="151" spans="1:237" s="40" customFormat="1" ht="45" customHeight="1" x14ac:dyDescent="0.2">
      <c r="A151" s="41">
        <v>3152</v>
      </c>
      <c r="B151" s="41" t="s">
        <v>84</v>
      </c>
      <c r="C151" s="36" t="s">
        <v>85</v>
      </c>
      <c r="D151" s="41"/>
      <c r="E151" s="87" t="s">
        <v>250</v>
      </c>
      <c r="F151" s="184" t="s">
        <v>2221</v>
      </c>
      <c r="G151" s="108" t="s">
        <v>378</v>
      </c>
    </row>
    <row r="152" spans="1:237" s="40" customFormat="1" ht="45" customHeight="1" x14ac:dyDescent="0.2">
      <c r="A152" s="41">
        <v>3153</v>
      </c>
      <c r="B152" s="41" t="s">
        <v>84</v>
      </c>
      <c r="C152" s="36" t="s">
        <v>85</v>
      </c>
      <c r="D152" s="41"/>
      <c r="E152" s="87" t="s">
        <v>253</v>
      </c>
      <c r="F152" s="184" t="s">
        <v>2222</v>
      </c>
      <c r="G152" s="108" t="s">
        <v>380</v>
      </c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</row>
    <row r="153" spans="1:237" s="40" customFormat="1" ht="45" customHeight="1" x14ac:dyDescent="0.2">
      <c r="A153" s="41">
        <v>2289</v>
      </c>
      <c r="B153" s="41" t="s">
        <v>84</v>
      </c>
      <c r="C153" s="36" t="s">
        <v>85</v>
      </c>
      <c r="D153" s="41"/>
      <c r="E153" s="87" t="s">
        <v>140</v>
      </c>
      <c r="F153" s="184" t="s">
        <v>2223</v>
      </c>
      <c r="G153" s="108" t="s">
        <v>144</v>
      </c>
    </row>
    <row r="154" spans="1:237" s="40" customFormat="1" ht="45" customHeight="1" x14ac:dyDescent="0.2">
      <c r="A154" s="41">
        <v>2290</v>
      </c>
      <c r="B154" s="41" t="s">
        <v>84</v>
      </c>
      <c r="C154" s="36" t="s">
        <v>85</v>
      </c>
      <c r="D154" s="41"/>
      <c r="E154" s="87" t="s">
        <v>145</v>
      </c>
      <c r="F154" s="184" t="s">
        <v>2224</v>
      </c>
      <c r="G154" s="108" t="s">
        <v>148</v>
      </c>
    </row>
    <row r="155" spans="1:237" s="40" customFormat="1" ht="45" customHeight="1" x14ac:dyDescent="0.2">
      <c r="A155" s="41">
        <v>2291</v>
      </c>
      <c r="B155" s="41" t="s">
        <v>84</v>
      </c>
      <c r="C155" s="36" t="s">
        <v>85</v>
      </c>
      <c r="D155" s="41"/>
      <c r="E155" s="87" t="s">
        <v>149</v>
      </c>
      <c r="F155" s="184" t="s">
        <v>2225</v>
      </c>
      <c r="G155" s="108" t="s">
        <v>151</v>
      </c>
    </row>
    <row r="156" spans="1:237" s="12" customFormat="1" ht="45" customHeight="1" x14ac:dyDescent="0.2">
      <c r="A156" s="41">
        <v>2292</v>
      </c>
      <c r="B156" s="41" t="s">
        <v>84</v>
      </c>
      <c r="C156" s="36" t="s">
        <v>85</v>
      </c>
      <c r="D156" s="41"/>
      <c r="E156" s="87"/>
      <c r="F156" s="184" t="s">
        <v>2226</v>
      </c>
      <c r="G156" s="172" t="s">
        <v>155</v>
      </c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</row>
    <row r="157" spans="1:237" s="35" customFormat="1" ht="45" customHeight="1" x14ac:dyDescent="0.2">
      <c r="A157" s="41">
        <v>2293</v>
      </c>
      <c r="B157" s="163" t="s">
        <v>84</v>
      </c>
      <c r="C157" s="163" t="s">
        <v>85</v>
      </c>
      <c r="D157" s="165"/>
      <c r="E157" s="87"/>
      <c r="F157" s="184" t="s">
        <v>2226</v>
      </c>
      <c r="G157" s="172" t="s">
        <v>154</v>
      </c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</row>
    <row r="158" spans="1:237" s="40" customFormat="1" ht="45" customHeight="1" x14ac:dyDescent="0.2">
      <c r="A158" s="41">
        <v>20322</v>
      </c>
      <c r="B158" s="41" t="s">
        <v>84</v>
      </c>
      <c r="C158" s="36" t="s">
        <v>85</v>
      </c>
      <c r="D158" s="57"/>
      <c r="E158" s="87" t="s">
        <v>806</v>
      </c>
      <c r="F158" s="184" t="s">
        <v>2227</v>
      </c>
      <c r="G158" s="108" t="s">
        <v>858</v>
      </c>
    </row>
    <row r="159" spans="1:237" s="40" customFormat="1" ht="45" customHeight="1" x14ac:dyDescent="0.2">
      <c r="A159" s="41">
        <v>13657</v>
      </c>
      <c r="B159" s="41" t="s">
        <v>84</v>
      </c>
      <c r="C159" s="36" t="s">
        <v>85</v>
      </c>
      <c r="D159" s="85"/>
      <c r="E159" s="86" t="s">
        <v>215</v>
      </c>
      <c r="F159" s="184" t="s">
        <v>2228</v>
      </c>
      <c r="G159" s="108" t="s">
        <v>2229</v>
      </c>
    </row>
    <row r="160" spans="1:237" s="35" customFormat="1" ht="45" customHeight="1" x14ac:dyDescent="0.2">
      <c r="A160" s="41">
        <v>16613</v>
      </c>
      <c r="B160" s="41" t="s">
        <v>84</v>
      </c>
      <c r="C160" s="36" t="s">
        <v>85</v>
      </c>
      <c r="D160" s="57"/>
      <c r="E160" s="87" t="s">
        <v>650</v>
      </c>
      <c r="F160" s="184" t="s">
        <v>2230</v>
      </c>
      <c r="G160" s="166" t="s">
        <v>799</v>
      </c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</row>
    <row r="161" spans="1:237" s="35" customFormat="1" ht="45" customHeight="1" x14ac:dyDescent="0.2">
      <c r="A161" s="41">
        <v>8689</v>
      </c>
      <c r="B161" s="41" t="s">
        <v>84</v>
      </c>
      <c r="C161" s="36" t="s">
        <v>85</v>
      </c>
      <c r="D161" s="57"/>
      <c r="E161" s="87" t="s">
        <v>631</v>
      </c>
      <c r="F161" s="184" t="s">
        <v>2231</v>
      </c>
      <c r="G161" s="108" t="s">
        <v>633</v>
      </c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</row>
    <row r="162" spans="1:237" s="40" customFormat="1" ht="45" customHeight="1" x14ac:dyDescent="0.2">
      <c r="A162" s="41">
        <v>8690</v>
      </c>
      <c r="B162" s="41" t="s">
        <v>84</v>
      </c>
      <c r="C162" s="36" t="s">
        <v>85</v>
      </c>
      <c r="D162" s="57"/>
      <c r="E162" s="87" t="s">
        <v>634</v>
      </c>
      <c r="F162" s="184" t="s">
        <v>2232</v>
      </c>
      <c r="G162" s="166" t="s">
        <v>636</v>
      </c>
    </row>
    <row r="163" spans="1:237" s="40" customFormat="1" ht="45" customHeight="1" x14ac:dyDescent="0.2">
      <c r="A163" s="41">
        <v>8691</v>
      </c>
      <c r="B163" s="41" t="s">
        <v>84</v>
      </c>
      <c r="C163" s="36" t="s">
        <v>85</v>
      </c>
      <c r="D163" s="57"/>
      <c r="E163" s="87" t="s">
        <v>637</v>
      </c>
      <c r="F163" s="184" t="s">
        <v>2233</v>
      </c>
      <c r="G163" s="171" t="s">
        <v>639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</row>
    <row r="164" spans="1:237" s="40" customFormat="1" ht="45" customHeight="1" x14ac:dyDescent="0.2">
      <c r="A164" s="41">
        <v>8692</v>
      </c>
      <c r="B164" s="41" t="s">
        <v>84</v>
      </c>
      <c r="C164" s="36" t="s">
        <v>85</v>
      </c>
      <c r="D164" s="57"/>
      <c r="E164" s="87" t="s">
        <v>637</v>
      </c>
      <c r="F164" s="184" t="s">
        <v>2234</v>
      </c>
      <c r="G164" s="171" t="s">
        <v>641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</row>
    <row r="165" spans="1:237" s="8" customFormat="1" ht="45" customHeight="1" x14ac:dyDescent="0.2">
      <c r="A165" s="41">
        <v>2464</v>
      </c>
      <c r="B165" s="41" t="s">
        <v>84</v>
      </c>
      <c r="C165" s="36" t="s">
        <v>85</v>
      </c>
      <c r="D165" s="41"/>
      <c r="E165" s="87" t="s">
        <v>170</v>
      </c>
      <c r="F165" s="184" t="s">
        <v>2235</v>
      </c>
      <c r="G165" s="108" t="s">
        <v>173</v>
      </c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</row>
    <row r="166" spans="1:237" s="40" customFormat="1" ht="45" customHeight="1" x14ac:dyDescent="0.2">
      <c r="A166" s="41">
        <v>2458</v>
      </c>
      <c r="B166" s="41" t="s">
        <v>84</v>
      </c>
      <c r="C166" s="36" t="s">
        <v>85</v>
      </c>
      <c r="D166" s="41"/>
      <c r="E166" s="87" t="s">
        <v>161</v>
      </c>
      <c r="F166" s="184" t="s">
        <v>2236</v>
      </c>
      <c r="G166" s="108" t="s">
        <v>165</v>
      </c>
    </row>
    <row r="167" spans="1:237" s="40" customFormat="1" ht="45" customHeight="1" x14ac:dyDescent="0.2">
      <c r="A167" s="41">
        <v>2462</v>
      </c>
      <c r="B167" s="41" t="s">
        <v>84</v>
      </c>
      <c r="C167" s="36" t="s">
        <v>85</v>
      </c>
      <c r="D167" s="41"/>
      <c r="E167" s="87" t="s">
        <v>166</v>
      </c>
      <c r="F167" s="184" t="s">
        <v>2237</v>
      </c>
      <c r="G167" s="108" t="s">
        <v>169</v>
      </c>
    </row>
    <row r="168" spans="1:237" s="40" customFormat="1" ht="45" customHeight="1" x14ac:dyDescent="0.2">
      <c r="A168" s="41">
        <v>2634</v>
      </c>
      <c r="B168" s="41" t="s">
        <v>84</v>
      </c>
      <c r="C168" s="36" t="s">
        <v>85</v>
      </c>
      <c r="D168" s="41"/>
      <c r="E168" s="87" t="s">
        <v>140</v>
      </c>
      <c r="F168" s="184" t="s">
        <v>2238</v>
      </c>
      <c r="G168" s="108" t="s">
        <v>236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</row>
    <row r="169" spans="1:237" s="40" customFormat="1" ht="45" customHeight="1" x14ac:dyDescent="0.2">
      <c r="A169" s="41">
        <v>8731</v>
      </c>
      <c r="B169" s="41" t="s">
        <v>84</v>
      </c>
      <c r="C169" s="36" t="s">
        <v>85</v>
      </c>
      <c r="D169" s="41"/>
      <c r="E169" s="87" t="s">
        <v>145</v>
      </c>
      <c r="F169" s="184" t="s">
        <v>2239</v>
      </c>
      <c r="G169" s="108" t="s">
        <v>687</v>
      </c>
    </row>
    <row r="170" spans="1:237" s="40" customFormat="1" ht="45" customHeight="1" x14ac:dyDescent="0.2">
      <c r="A170" s="41">
        <v>2466</v>
      </c>
      <c r="B170" s="41" t="s">
        <v>84</v>
      </c>
      <c r="C170" s="36" t="s">
        <v>85</v>
      </c>
      <c r="D170" s="41"/>
      <c r="E170" s="87" t="s">
        <v>149</v>
      </c>
      <c r="F170" s="184" t="s">
        <v>2240</v>
      </c>
      <c r="G170" s="108" t="s">
        <v>175</v>
      </c>
    </row>
    <row r="171" spans="1:237" s="40" customFormat="1" ht="45" customHeight="1" x14ac:dyDescent="0.2">
      <c r="A171" s="41">
        <v>2636</v>
      </c>
      <c r="B171" s="41" t="s">
        <v>84</v>
      </c>
      <c r="C171" s="36" t="s">
        <v>85</v>
      </c>
      <c r="D171" s="41"/>
      <c r="E171" s="87" t="s">
        <v>237</v>
      </c>
      <c r="F171" s="184" t="s">
        <v>2241</v>
      </c>
      <c r="G171" s="108" t="s">
        <v>239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</row>
    <row r="172" spans="1:237" s="40" customFormat="1" ht="45" customHeight="1" x14ac:dyDescent="0.2">
      <c r="A172" s="41">
        <v>14265</v>
      </c>
      <c r="B172" s="41" t="s">
        <v>84</v>
      </c>
      <c r="C172" s="109" t="s">
        <v>320</v>
      </c>
      <c r="D172" s="85"/>
      <c r="E172" s="86" t="s">
        <v>325</v>
      </c>
      <c r="F172" s="184" t="s">
        <v>2242</v>
      </c>
      <c r="G172" s="108" t="s">
        <v>796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</row>
    <row r="173" spans="1:237" s="40" customFormat="1" ht="45" customHeight="1" x14ac:dyDescent="0.2">
      <c r="A173" s="41">
        <v>2693</v>
      </c>
      <c r="B173" s="41" t="s">
        <v>84</v>
      </c>
      <c r="C173" s="36" t="s">
        <v>85</v>
      </c>
      <c r="D173" s="86"/>
      <c r="E173" s="87" t="s">
        <v>262</v>
      </c>
      <c r="F173" s="184" t="s">
        <v>2243</v>
      </c>
      <c r="G173" s="108" t="s">
        <v>264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</row>
    <row r="174" spans="1:237" s="40" customFormat="1" ht="45" customHeight="1" x14ac:dyDescent="0.2">
      <c r="A174" s="41">
        <v>2694</v>
      </c>
      <c r="B174" s="41" t="s">
        <v>84</v>
      </c>
      <c r="C174" s="36" t="s">
        <v>85</v>
      </c>
      <c r="D174" s="86"/>
      <c r="E174" s="87" t="s">
        <v>265</v>
      </c>
      <c r="F174" s="184" t="s">
        <v>2244</v>
      </c>
      <c r="G174" s="108" t="s">
        <v>267</v>
      </c>
    </row>
    <row r="175" spans="1:237" s="40" customFormat="1" ht="45" customHeight="1" x14ac:dyDescent="0.2">
      <c r="A175" s="41">
        <v>2695</v>
      </c>
      <c r="B175" s="41" t="s">
        <v>84</v>
      </c>
      <c r="C175" s="36" t="s">
        <v>85</v>
      </c>
      <c r="D175" s="86"/>
      <c r="E175" s="87" t="s">
        <v>268</v>
      </c>
      <c r="F175" s="184" t="s">
        <v>2245</v>
      </c>
      <c r="G175" s="108" t="s">
        <v>270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</row>
    <row r="176" spans="1:237" s="40" customFormat="1" ht="45" customHeight="1" x14ac:dyDescent="0.2">
      <c r="A176" s="41">
        <v>2696</v>
      </c>
      <c r="B176" s="41" t="s">
        <v>84</v>
      </c>
      <c r="C176" s="36" t="s">
        <v>85</v>
      </c>
      <c r="D176" s="86"/>
      <c r="E176" s="87" t="s">
        <v>271</v>
      </c>
      <c r="F176" s="184" t="s">
        <v>2246</v>
      </c>
      <c r="G176" s="108" t="s">
        <v>274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</row>
    <row r="177" spans="1:237" s="40" customFormat="1" ht="45" customHeight="1" x14ac:dyDescent="0.2">
      <c r="A177" s="41">
        <v>2697</v>
      </c>
      <c r="B177" s="41" t="s">
        <v>84</v>
      </c>
      <c r="C177" s="36" t="s">
        <v>85</v>
      </c>
      <c r="D177" s="86"/>
      <c r="E177" s="87" t="s">
        <v>275</v>
      </c>
      <c r="F177" s="184" t="s">
        <v>2247</v>
      </c>
      <c r="G177" s="108" t="s">
        <v>278</v>
      </c>
    </row>
    <row r="178" spans="1:237" s="40" customFormat="1" ht="45" customHeight="1" x14ac:dyDescent="0.2">
      <c r="A178" s="41">
        <v>2687</v>
      </c>
      <c r="B178" s="41" t="s">
        <v>84</v>
      </c>
      <c r="C178" s="36" t="s">
        <v>85</v>
      </c>
      <c r="D178" s="41"/>
      <c r="E178" s="87" t="s">
        <v>246</v>
      </c>
      <c r="F178" s="184" t="s">
        <v>2248</v>
      </c>
      <c r="G178" s="108" t="s">
        <v>249</v>
      </c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</row>
    <row r="179" spans="1:237" s="8" customFormat="1" ht="45" customHeight="1" x14ac:dyDescent="0.2">
      <c r="A179" s="34">
        <v>2688</v>
      </c>
      <c r="B179" s="34" t="s">
        <v>84</v>
      </c>
      <c r="C179" s="182" t="s">
        <v>85</v>
      </c>
      <c r="D179" s="34"/>
      <c r="E179" s="38" t="s">
        <v>250</v>
      </c>
      <c r="F179" s="186" t="s">
        <v>2249</v>
      </c>
      <c r="G179" s="54" t="s">
        <v>252</v>
      </c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</row>
    <row r="180" spans="1:237" s="8" customFormat="1" ht="45" customHeight="1" x14ac:dyDescent="0.2">
      <c r="A180" s="34">
        <v>2689</v>
      </c>
      <c r="B180" s="34" t="s">
        <v>84</v>
      </c>
      <c r="C180" s="181" t="s">
        <v>85</v>
      </c>
      <c r="D180" s="34"/>
      <c r="E180" s="124" t="s">
        <v>253</v>
      </c>
      <c r="F180" s="184" t="s">
        <v>2250</v>
      </c>
      <c r="G180" s="54" t="s">
        <v>255</v>
      </c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</row>
    <row r="181" spans="1:237" s="8" customFormat="1" ht="45" customHeight="1" x14ac:dyDescent="0.2">
      <c r="A181" s="34">
        <v>2690</v>
      </c>
      <c r="B181" s="34" t="s">
        <v>84</v>
      </c>
      <c r="C181" s="181" t="s">
        <v>85</v>
      </c>
      <c r="D181" s="34"/>
      <c r="E181" s="124" t="s">
        <v>256</v>
      </c>
      <c r="F181" s="184" t="s">
        <v>2251</v>
      </c>
      <c r="G181" s="54" t="s">
        <v>258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</row>
    <row r="182" spans="1:237" s="40" customFormat="1" ht="45" customHeight="1" x14ac:dyDescent="0.2">
      <c r="A182" s="34">
        <v>2692</v>
      </c>
      <c r="B182" s="34" t="s">
        <v>84</v>
      </c>
      <c r="C182" s="181" t="s">
        <v>85</v>
      </c>
      <c r="D182" s="34"/>
      <c r="E182" s="87" t="s">
        <v>259</v>
      </c>
      <c r="F182" s="184" t="s">
        <v>2252</v>
      </c>
      <c r="G182" s="54" t="s">
        <v>261</v>
      </c>
    </row>
  </sheetData>
  <sortState ref="A2:IC182">
    <sortCondition ref="F2:F182"/>
  </sortState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II4"/>
  <sheetViews>
    <sheetView workbookViewId="0"/>
  </sheetViews>
  <sheetFormatPr baseColWidth="10" defaultColWidth="11.42578125" defaultRowHeight="12.75" x14ac:dyDescent="0.2"/>
  <cols>
    <col min="2" max="2" width="13.85546875" customWidth="1"/>
    <col min="3" max="3" width="26.28515625" customWidth="1"/>
    <col min="4" max="4" width="54.85546875" style="30" customWidth="1"/>
    <col min="5" max="5" width="31" customWidth="1"/>
  </cols>
  <sheetData>
    <row r="3" spans="1:243" s="3" customFormat="1" ht="39" x14ac:dyDescent="0.2">
      <c r="A3" s="1" t="s">
        <v>2014</v>
      </c>
      <c r="B3" s="1" t="s">
        <v>7</v>
      </c>
      <c r="C3" s="1" t="s">
        <v>1801</v>
      </c>
      <c r="D3" s="28" t="s">
        <v>1804</v>
      </c>
      <c r="E3" s="2" t="s">
        <v>2253</v>
      </c>
      <c r="F3" s="9"/>
      <c r="G3" s="10"/>
      <c r="I3" s="5"/>
      <c r="IH3" s="4"/>
      <c r="II3" s="4"/>
    </row>
    <row r="4" spans="1:243" s="7" customFormat="1" ht="22.5" x14ac:dyDescent="0.2">
      <c r="A4" s="6">
        <v>3027</v>
      </c>
      <c r="B4" s="6" t="s">
        <v>2254</v>
      </c>
      <c r="C4" s="6" t="s">
        <v>2255</v>
      </c>
      <c r="D4" s="29" t="s">
        <v>2256</v>
      </c>
      <c r="E4" s="13" t="s">
        <v>2257</v>
      </c>
    </row>
  </sheetData>
  <pageMargins left="0.7" right="0.7" top="0.78740157499999996" bottom="0.78740157499999996" header="0.3" footer="0.3"/>
  <pageSetup paperSize="9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"/>
  <sheetViews>
    <sheetView workbookViewId="0"/>
  </sheetViews>
  <sheetFormatPr baseColWidth="10" defaultColWidth="11.42578125" defaultRowHeight="12.75" x14ac:dyDescent="0.2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"/>
  <sheetViews>
    <sheetView workbookViewId="0"/>
  </sheetViews>
  <sheetFormatPr baseColWidth="10" defaultColWidth="11.42578125" defaultRowHeight="12.75" x14ac:dyDescent="0.2"/>
  <sheetData>
    <row r="1" spans="1:1" ht="21" x14ac:dyDescent="0.35">
      <c r="A1" s="33" t="s">
        <v>2258</v>
      </c>
    </row>
  </sheetData>
  <pageMargins left="0.7" right="0.7" top="0.78740157499999996" bottom="0.78740157499999996" header="0.3" footer="0.3"/>
  <pageSetup paperSize="9" orientation="portrait" horizont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24"/>
  <sheetViews>
    <sheetView workbookViewId="0"/>
  </sheetViews>
  <sheetFormatPr baseColWidth="10" defaultColWidth="11.42578125" defaultRowHeight="12.75" x14ac:dyDescent="0.2"/>
  <cols>
    <col min="1" max="1" width="91.42578125" style="31" customWidth="1"/>
  </cols>
  <sheetData>
    <row r="1" spans="1:1" ht="15.75" x14ac:dyDescent="0.25">
      <c r="A1" s="32" t="s">
        <v>2259</v>
      </c>
    </row>
    <row r="3" spans="1:1" x14ac:dyDescent="0.2">
      <c r="A3" s="31" t="s">
        <v>2260</v>
      </c>
    </row>
    <row r="13" spans="1:1" x14ac:dyDescent="0.2">
      <c r="A13" s="31" t="s">
        <v>2261</v>
      </c>
    </row>
    <row r="14" spans="1:1" ht="25.5" x14ac:dyDescent="0.2">
      <c r="A14" s="37" t="s">
        <v>2262</v>
      </c>
    </row>
    <row r="17" spans="1:1" x14ac:dyDescent="0.2">
      <c r="A17" s="31" t="s">
        <v>2263</v>
      </c>
    </row>
    <row r="18" spans="1:1" x14ac:dyDescent="0.2">
      <c r="A18" s="31" t="s">
        <v>2264</v>
      </c>
    </row>
    <row r="24" spans="1:1" ht="242.25" x14ac:dyDescent="0.2">
      <c r="A24" s="37" t="s">
        <v>2265</v>
      </c>
    </row>
  </sheetData>
  <pageMargins left="0.7" right="0.7" top="0.78740157499999996" bottom="0.78740157499999996" header="0.3" footer="0.3"/>
  <pageSetup paperSize="9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7"/>
  <sheetViews>
    <sheetView workbookViewId="0"/>
  </sheetViews>
  <sheetFormatPr baseColWidth="10" defaultColWidth="11.5703125" defaultRowHeight="12.75" x14ac:dyDescent="0.2"/>
  <cols>
    <col min="1" max="1" width="32.140625" customWidth="1"/>
    <col min="2" max="7" width="11.5703125" style="138"/>
    <col min="257" max="257" width="32.140625" customWidth="1"/>
    <col min="513" max="513" width="32.140625" customWidth="1"/>
    <col min="769" max="769" width="32.140625" customWidth="1"/>
    <col min="1025" max="1025" width="32.140625" customWidth="1"/>
    <col min="1281" max="1281" width="32.140625" customWidth="1"/>
    <col min="1537" max="1537" width="32.140625" customWidth="1"/>
    <col min="1793" max="1793" width="32.140625" customWidth="1"/>
    <col min="2049" max="2049" width="32.140625" customWidth="1"/>
    <col min="2305" max="2305" width="32.140625" customWidth="1"/>
    <col min="2561" max="2561" width="32.140625" customWidth="1"/>
    <col min="2817" max="2817" width="32.140625" customWidth="1"/>
    <col min="3073" max="3073" width="32.140625" customWidth="1"/>
    <col min="3329" max="3329" width="32.140625" customWidth="1"/>
    <col min="3585" max="3585" width="32.140625" customWidth="1"/>
    <col min="3841" max="3841" width="32.140625" customWidth="1"/>
    <col min="4097" max="4097" width="32.140625" customWidth="1"/>
    <col min="4353" max="4353" width="32.140625" customWidth="1"/>
    <col min="4609" max="4609" width="32.140625" customWidth="1"/>
    <col min="4865" max="4865" width="32.140625" customWidth="1"/>
    <col min="5121" max="5121" width="32.140625" customWidth="1"/>
    <col min="5377" max="5377" width="32.140625" customWidth="1"/>
    <col min="5633" max="5633" width="32.140625" customWidth="1"/>
    <col min="5889" max="5889" width="32.140625" customWidth="1"/>
    <col min="6145" max="6145" width="32.140625" customWidth="1"/>
    <col min="6401" max="6401" width="32.140625" customWidth="1"/>
    <col min="6657" max="6657" width="32.140625" customWidth="1"/>
    <col min="6913" max="6913" width="32.140625" customWidth="1"/>
    <col min="7169" max="7169" width="32.140625" customWidth="1"/>
    <col min="7425" max="7425" width="32.140625" customWidth="1"/>
    <col min="7681" max="7681" width="32.140625" customWidth="1"/>
    <col min="7937" max="7937" width="32.140625" customWidth="1"/>
    <col min="8193" max="8193" width="32.140625" customWidth="1"/>
    <col min="8449" max="8449" width="32.140625" customWidth="1"/>
    <col min="8705" max="8705" width="32.140625" customWidth="1"/>
    <col min="8961" max="8961" width="32.140625" customWidth="1"/>
    <col min="9217" max="9217" width="32.140625" customWidth="1"/>
    <col min="9473" max="9473" width="32.140625" customWidth="1"/>
    <col min="9729" max="9729" width="32.140625" customWidth="1"/>
    <col min="9985" max="9985" width="32.140625" customWidth="1"/>
    <col min="10241" max="10241" width="32.140625" customWidth="1"/>
    <col min="10497" max="10497" width="32.140625" customWidth="1"/>
    <col min="10753" max="10753" width="32.140625" customWidth="1"/>
    <col min="11009" max="11009" width="32.140625" customWidth="1"/>
    <col min="11265" max="11265" width="32.140625" customWidth="1"/>
    <col min="11521" max="11521" width="32.140625" customWidth="1"/>
    <col min="11777" max="11777" width="32.140625" customWidth="1"/>
    <col min="12033" max="12033" width="32.140625" customWidth="1"/>
    <col min="12289" max="12289" width="32.140625" customWidth="1"/>
    <col min="12545" max="12545" width="32.140625" customWidth="1"/>
    <col min="12801" max="12801" width="32.140625" customWidth="1"/>
    <col min="13057" max="13057" width="32.140625" customWidth="1"/>
    <col min="13313" max="13313" width="32.140625" customWidth="1"/>
    <col min="13569" max="13569" width="32.140625" customWidth="1"/>
    <col min="13825" max="13825" width="32.140625" customWidth="1"/>
    <col min="14081" max="14081" width="32.140625" customWidth="1"/>
    <col min="14337" max="14337" width="32.140625" customWidth="1"/>
    <col min="14593" max="14593" width="32.140625" customWidth="1"/>
    <col min="14849" max="14849" width="32.140625" customWidth="1"/>
    <col min="15105" max="15105" width="32.140625" customWidth="1"/>
    <col min="15361" max="15361" width="32.140625" customWidth="1"/>
    <col min="15617" max="15617" width="32.140625" customWidth="1"/>
    <col min="15873" max="15873" width="32.140625" customWidth="1"/>
    <col min="16129" max="16129" width="32.140625" customWidth="1"/>
  </cols>
  <sheetData>
    <row r="2" spans="1:8" s="140" customFormat="1" ht="15.75" x14ac:dyDescent="0.25">
      <c r="A2" s="139" t="s">
        <v>1747</v>
      </c>
      <c r="B2" s="139" t="s">
        <v>1748</v>
      </c>
      <c r="C2" s="139" t="s">
        <v>1749</v>
      </c>
      <c r="D2" s="139" t="s">
        <v>1750</v>
      </c>
      <c r="E2" s="139" t="s">
        <v>1751</v>
      </c>
      <c r="F2" s="139" t="s">
        <v>1752</v>
      </c>
      <c r="G2" s="139" t="s">
        <v>1753</v>
      </c>
      <c r="H2" s="140" t="s">
        <v>1754</v>
      </c>
    </row>
    <row r="3" spans="1:8" s="143" customFormat="1" ht="15" x14ac:dyDescent="0.25">
      <c r="A3" s="141" t="s">
        <v>1756</v>
      </c>
      <c r="B3" s="142">
        <v>626.82299999999998</v>
      </c>
      <c r="C3" s="142">
        <v>388.41800000000001</v>
      </c>
      <c r="D3" s="142">
        <v>90.052999999999997</v>
      </c>
      <c r="E3" s="142">
        <v>349.71899999999999</v>
      </c>
      <c r="F3" s="142">
        <v>1025.7270000000001</v>
      </c>
      <c r="G3" s="142">
        <v>1.694</v>
      </c>
      <c r="H3" s="143">
        <f>SUM(B3:G3)</f>
        <v>2482.4339999999997</v>
      </c>
    </row>
    <row r="4" spans="1:8" s="146" customFormat="1" ht="12" x14ac:dyDescent="0.2">
      <c r="A4" s="144" t="s">
        <v>1761</v>
      </c>
      <c r="B4" s="145">
        <v>65.197000000000003</v>
      </c>
      <c r="C4" s="145">
        <v>49.378</v>
      </c>
      <c r="D4" s="145">
        <v>7.3289999999999997</v>
      </c>
      <c r="E4" s="145">
        <v>61.006999999999998</v>
      </c>
      <c r="F4" s="145">
        <v>79.956999999999994</v>
      </c>
      <c r="G4" s="145">
        <v>0</v>
      </c>
      <c r="H4" s="146">
        <f>SUM(B4:G4)</f>
        <v>262.86799999999999</v>
      </c>
    </row>
    <row r="5" spans="1:8" s="146" customFormat="1" ht="12" x14ac:dyDescent="0.2">
      <c r="A5" s="147" t="s">
        <v>1763</v>
      </c>
      <c r="B5" s="145">
        <v>213.13800000000001</v>
      </c>
      <c r="C5" s="145">
        <v>131.18799999999999</v>
      </c>
      <c r="D5" s="145">
        <v>30.102</v>
      </c>
      <c r="E5" s="145">
        <v>127.85899999999999</v>
      </c>
      <c r="F5" s="145">
        <v>454.49700000000001</v>
      </c>
      <c r="G5" s="145">
        <v>0</v>
      </c>
      <c r="H5" s="146">
        <f>SUM(B5:G5)</f>
        <v>956.78399999999999</v>
      </c>
    </row>
    <row r="6" spans="1:8" s="11" customFormat="1" ht="15" x14ac:dyDescent="0.25">
      <c r="A6" s="148" t="s">
        <v>1765</v>
      </c>
      <c r="B6" s="149">
        <v>356.803</v>
      </c>
      <c r="C6" s="149">
        <v>99.617999999999995</v>
      </c>
      <c r="D6" s="149">
        <v>6.3629999999999995</v>
      </c>
      <c r="E6" s="149">
        <v>179.62799999999999</v>
      </c>
      <c r="F6" s="149">
        <v>561.553</v>
      </c>
      <c r="G6" s="149">
        <v>2.798</v>
      </c>
      <c r="H6" s="143">
        <f>SUM(B6:G6)</f>
        <v>1206.7630000000001</v>
      </c>
    </row>
    <row r="7" spans="1:8" x14ac:dyDescent="0.2">
      <c r="A7" t="s">
        <v>1754</v>
      </c>
      <c r="B7" s="138">
        <f t="shared" ref="B7:H7" si="0">B3+B6</f>
        <v>983.62599999999998</v>
      </c>
      <c r="C7" s="138">
        <f t="shared" si="0"/>
        <v>488.036</v>
      </c>
      <c r="D7" s="138">
        <f t="shared" si="0"/>
        <v>96.415999999999997</v>
      </c>
      <c r="E7" s="138">
        <f t="shared" si="0"/>
        <v>529.34699999999998</v>
      </c>
      <c r="F7" s="138">
        <f t="shared" si="0"/>
        <v>1587.2800000000002</v>
      </c>
      <c r="G7" s="138">
        <f t="shared" si="0"/>
        <v>4.492</v>
      </c>
      <c r="H7" s="138">
        <f t="shared" si="0"/>
        <v>3689.1970000000001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IS1219"/>
  <sheetViews>
    <sheetView tabSelected="1" topLeftCell="E1" zoomScaleNormal="100" workbookViewId="0">
      <pane ySplit="1" topLeftCell="A624" activePane="bottomLeft" state="frozen"/>
      <selection pane="bottomLeft" activeCell="O629" sqref="O629"/>
    </sheetView>
  </sheetViews>
  <sheetFormatPr baseColWidth="10" defaultColWidth="11.42578125" defaultRowHeight="5.65" customHeight="1" x14ac:dyDescent="0.2"/>
  <cols>
    <col min="1" max="1" width="7.140625" style="440" customWidth="1"/>
    <col min="2" max="2" width="14.140625" style="174" customWidth="1"/>
    <col min="3" max="5" width="11" style="177" customWidth="1"/>
    <col min="6" max="6" width="8.28515625" style="177" customWidth="1"/>
    <col min="7" max="7" width="7.140625" style="348" customWidth="1"/>
    <col min="8" max="8" width="7" style="174" customWidth="1"/>
    <col min="9" max="9" width="4.42578125" style="174" customWidth="1"/>
    <col min="10" max="10" width="4.28515625" style="174" customWidth="1"/>
    <col min="11" max="11" width="4.28515625" style="405" customWidth="1"/>
    <col min="12" max="12" width="10.28515625" style="178" customWidth="1"/>
    <col min="13" max="13" width="4.28515625" style="178" customWidth="1"/>
    <col min="14" max="14" width="13.7109375" style="174" customWidth="1"/>
    <col min="15" max="15" width="52.140625" style="176" customWidth="1"/>
    <col min="16" max="16" width="9.140625" style="175" customWidth="1"/>
    <col min="17" max="17" width="8.5703125" style="173" hidden="1" customWidth="1"/>
    <col min="18" max="18" width="6.7109375" style="394" customWidth="1"/>
    <col min="19" max="19" width="30.42578125" style="393" customWidth="1"/>
    <col min="20" max="20" width="15.7109375" style="392" customWidth="1"/>
    <col min="21" max="21" width="23.85546875" style="178" customWidth="1"/>
    <col min="22" max="22" width="60.7109375" style="51" customWidth="1"/>
    <col min="23" max="23" width="23.85546875" style="178" customWidth="1"/>
    <col min="24" max="16384" width="11.42578125" style="51"/>
  </cols>
  <sheetData>
    <row r="1" spans="1:253" s="416" customFormat="1" ht="67.5" customHeight="1" x14ac:dyDescent="0.15">
      <c r="A1" s="410" t="s">
        <v>939</v>
      </c>
      <c r="B1" s="410" t="s">
        <v>940</v>
      </c>
      <c r="C1" s="411" t="s">
        <v>8</v>
      </c>
      <c r="D1" s="411" t="s">
        <v>941</v>
      </c>
      <c r="E1" s="411" t="s">
        <v>942</v>
      </c>
      <c r="F1" s="410" t="s">
        <v>9</v>
      </c>
      <c r="G1" s="410" t="s">
        <v>943</v>
      </c>
      <c r="H1" s="410" t="s">
        <v>944</v>
      </c>
      <c r="I1" s="412" t="s">
        <v>12</v>
      </c>
      <c r="J1" s="412" t="s">
        <v>13</v>
      </c>
      <c r="K1" s="413" t="s">
        <v>945</v>
      </c>
      <c r="L1" s="410" t="s">
        <v>14</v>
      </c>
      <c r="M1" s="412" t="s">
        <v>16</v>
      </c>
      <c r="N1" s="410" t="s">
        <v>947</v>
      </c>
      <c r="O1" s="410" t="s">
        <v>948</v>
      </c>
      <c r="P1" s="414" t="s">
        <v>18</v>
      </c>
      <c r="Q1" s="415" t="s">
        <v>949</v>
      </c>
      <c r="R1" s="411" t="s">
        <v>19</v>
      </c>
      <c r="S1" s="410" t="s">
        <v>950</v>
      </c>
      <c r="T1" s="391" t="s">
        <v>951</v>
      </c>
      <c r="U1" s="533" t="s">
        <v>952</v>
      </c>
      <c r="V1" s="533" t="s">
        <v>953</v>
      </c>
      <c r="W1" s="533"/>
    </row>
    <row r="2" spans="1:253" s="456" customFormat="1" ht="48" customHeight="1" x14ac:dyDescent="0.2">
      <c r="A2" s="438">
        <v>39</v>
      </c>
      <c r="B2" s="445" t="s">
        <v>51</v>
      </c>
      <c r="C2" s="445" t="s">
        <v>52</v>
      </c>
      <c r="D2" s="445"/>
      <c r="E2" s="445"/>
      <c r="F2" s="445"/>
      <c r="G2" s="446">
        <v>461</v>
      </c>
      <c r="H2" s="445">
        <v>14</v>
      </c>
      <c r="I2" s="445"/>
      <c r="J2" s="445">
        <v>1</v>
      </c>
      <c r="K2" s="447">
        <v>11</v>
      </c>
      <c r="L2" s="445" t="s">
        <v>54</v>
      </c>
      <c r="M2" s="445">
        <v>4</v>
      </c>
      <c r="N2" s="445" t="s">
        <v>56</v>
      </c>
      <c r="O2" s="449" t="s">
        <v>954</v>
      </c>
      <c r="P2" s="450">
        <v>11.712</v>
      </c>
      <c r="Q2" s="451">
        <f t="shared" ref="Q2" si="0">P2</f>
        <v>11.712</v>
      </c>
      <c r="R2" s="451">
        <f>SUMIF('Wege im Detail'!$A:$A,"39",'Wege im Detail'!$P:$P)</f>
        <v>79.774000000000015</v>
      </c>
      <c r="S2" s="452" t="s">
        <v>57</v>
      </c>
      <c r="T2" s="453">
        <v>43952</v>
      </c>
      <c r="U2" s="462" t="s">
        <v>955</v>
      </c>
      <c r="W2" s="462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  <c r="DL2" s="455"/>
      <c r="DM2" s="455"/>
      <c r="DN2" s="455"/>
      <c r="DO2" s="455"/>
      <c r="DP2" s="455"/>
      <c r="DQ2" s="455"/>
      <c r="DR2" s="455"/>
      <c r="DS2" s="455"/>
      <c r="DT2" s="455"/>
      <c r="DU2" s="455"/>
      <c r="DV2" s="455"/>
      <c r="DW2" s="455"/>
      <c r="DX2" s="455"/>
      <c r="DY2" s="455"/>
      <c r="DZ2" s="455"/>
      <c r="EA2" s="455"/>
      <c r="EB2" s="455"/>
      <c r="EC2" s="455"/>
      <c r="ED2" s="455"/>
      <c r="EE2" s="455"/>
      <c r="EF2" s="455"/>
      <c r="EG2" s="455"/>
      <c r="EH2" s="455"/>
      <c r="EI2" s="455"/>
      <c r="EJ2" s="455"/>
      <c r="EK2" s="455"/>
      <c r="EL2" s="455"/>
      <c r="EM2" s="455"/>
      <c r="EN2" s="455"/>
      <c r="EO2" s="455"/>
      <c r="EP2" s="455"/>
      <c r="EQ2" s="455"/>
      <c r="ER2" s="455"/>
      <c r="ES2" s="455"/>
      <c r="ET2" s="455"/>
      <c r="EU2" s="455"/>
      <c r="EV2" s="455"/>
      <c r="EW2" s="455"/>
      <c r="EX2" s="455"/>
      <c r="EY2" s="455"/>
      <c r="EZ2" s="455"/>
      <c r="FA2" s="455"/>
      <c r="FB2" s="455"/>
      <c r="FC2" s="455"/>
      <c r="FD2" s="455"/>
      <c r="FE2" s="455"/>
      <c r="FF2" s="455"/>
      <c r="FG2" s="455"/>
      <c r="FH2" s="455"/>
      <c r="FI2" s="455"/>
      <c r="FJ2" s="455"/>
      <c r="FK2" s="455"/>
      <c r="FL2" s="455"/>
      <c r="FM2" s="455"/>
      <c r="FN2" s="455"/>
      <c r="FO2" s="455"/>
      <c r="FP2" s="455"/>
      <c r="FQ2" s="455"/>
      <c r="FR2" s="455"/>
      <c r="FS2" s="455"/>
      <c r="FT2" s="455"/>
      <c r="FU2" s="455"/>
      <c r="FV2" s="455"/>
      <c r="FW2" s="455"/>
      <c r="FX2" s="455"/>
      <c r="FY2" s="455"/>
      <c r="FZ2" s="455"/>
      <c r="GA2" s="455"/>
      <c r="GB2" s="455"/>
      <c r="GC2" s="455"/>
      <c r="GD2" s="455"/>
      <c r="GE2" s="455"/>
      <c r="GF2" s="455"/>
      <c r="GG2" s="455"/>
      <c r="GH2" s="455"/>
      <c r="GI2" s="455"/>
      <c r="GJ2" s="455"/>
      <c r="GK2" s="455"/>
      <c r="GL2" s="455"/>
      <c r="GM2" s="455"/>
      <c r="GN2" s="455"/>
      <c r="GO2" s="455"/>
      <c r="GP2" s="455"/>
      <c r="GQ2" s="455"/>
      <c r="GR2" s="455"/>
      <c r="GS2" s="455"/>
      <c r="GT2" s="455"/>
      <c r="GU2" s="455"/>
      <c r="GV2" s="455"/>
      <c r="GW2" s="455"/>
      <c r="GX2" s="455"/>
      <c r="GY2" s="455"/>
      <c r="GZ2" s="455"/>
      <c r="HA2" s="455"/>
      <c r="HB2" s="455"/>
      <c r="HC2" s="455"/>
      <c r="HD2" s="455"/>
      <c r="HE2" s="455"/>
      <c r="HF2" s="455"/>
      <c r="HG2" s="455"/>
      <c r="HH2" s="455"/>
      <c r="HI2" s="455"/>
      <c r="HJ2" s="455"/>
      <c r="HK2" s="455"/>
      <c r="HL2" s="455"/>
      <c r="HM2" s="455"/>
      <c r="HN2" s="455"/>
      <c r="HO2" s="455"/>
      <c r="HP2" s="455"/>
      <c r="HQ2" s="455"/>
      <c r="HR2" s="455"/>
      <c r="HS2" s="455"/>
      <c r="HT2" s="455"/>
      <c r="HU2" s="455"/>
      <c r="HV2" s="455"/>
      <c r="HW2" s="455"/>
      <c r="HX2" s="455"/>
      <c r="HY2" s="455"/>
      <c r="HZ2" s="455"/>
      <c r="IA2" s="455"/>
      <c r="IB2" s="455"/>
      <c r="IC2" s="455"/>
      <c r="ID2" s="455"/>
      <c r="IE2" s="455"/>
      <c r="IF2" s="455"/>
      <c r="IG2" s="455"/>
      <c r="IH2" s="455"/>
      <c r="II2" s="455"/>
      <c r="IJ2" s="455"/>
      <c r="IK2" s="455"/>
      <c r="IL2" s="455"/>
      <c r="IM2" s="455"/>
      <c r="IN2" s="455"/>
      <c r="IO2" s="455"/>
      <c r="IP2" s="455"/>
      <c r="IQ2" s="455"/>
      <c r="IR2" s="455"/>
      <c r="IS2" s="455"/>
    </row>
    <row r="3" spans="1:253" s="455" customFormat="1" ht="45" x14ac:dyDescent="0.2">
      <c r="A3" s="444">
        <v>39</v>
      </c>
      <c r="B3" s="445" t="s">
        <v>51</v>
      </c>
      <c r="C3" s="445" t="s">
        <v>52</v>
      </c>
      <c r="D3" s="445"/>
      <c r="E3" s="445"/>
      <c r="F3" s="445"/>
      <c r="G3" s="446">
        <v>461</v>
      </c>
      <c r="H3" s="445">
        <v>14</v>
      </c>
      <c r="I3" s="445"/>
      <c r="J3" s="445">
        <v>2</v>
      </c>
      <c r="K3" s="447">
        <v>11</v>
      </c>
      <c r="L3" s="445" t="s">
        <v>54</v>
      </c>
      <c r="M3" s="445">
        <v>4</v>
      </c>
      <c r="N3" s="445" t="s">
        <v>118</v>
      </c>
      <c r="O3" s="449" t="s">
        <v>956</v>
      </c>
      <c r="P3" s="450">
        <v>4.1399999999999997</v>
      </c>
      <c r="Q3" s="451">
        <f t="shared" ref="Q3:Q28" si="1">P3</f>
        <v>4.1399999999999997</v>
      </c>
      <c r="R3" s="451">
        <f>SUMIF('Wege im Detail'!$A:$A,"39",'Wege im Detail'!$P:$P)</f>
        <v>79.774000000000015</v>
      </c>
      <c r="S3" s="452" t="s">
        <v>957</v>
      </c>
      <c r="T3" s="453">
        <v>43952</v>
      </c>
      <c r="U3" s="448"/>
      <c r="V3" s="457" t="s">
        <v>58</v>
      </c>
      <c r="W3" s="448"/>
    </row>
    <row r="4" spans="1:253" s="459" customFormat="1" ht="45" x14ac:dyDescent="0.2">
      <c r="A4" s="444">
        <v>39</v>
      </c>
      <c r="B4" s="445" t="s">
        <v>51</v>
      </c>
      <c r="C4" s="445" t="s">
        <v>52</v>
      </c>
      <c r="D4" s="445"/>
      <c r="E4" s="445"/>
      <c r="F4" s="445"/>
      <c r="G4" s="446">
        <v>461</v>
      </c>
      <c r="H4" s="445">
        <v>14</v>
      </c>
      <c r="I4" s="445"/>
      <c r="J4" s="445">
        <v>3</v>
      </c>
      <c r="K4" s="447">
        <v>11</v>
      </c>
      <c r="L4" s="445" t="s">
        <v>54</v>
      </c>
      <c r="M4" s="445">
        <v>5</v>
      </c>
      <c r="N4" s="445" t="s">
        <v>958</v>
      </c>
      <c r="O4" s="449" t="s">
        <v>959</v>
      </c>
      <c r="P4" s="450">
        <v>6.734</v>
      </c>
      <c r="Q4" s="451">
        <f t="shared" si="1"/>
        <v>6.734</v>
      </c>
      <c r="R4" s="451">
        <f>SUMIF('Wege im Detail'!$A:$A,"39",'Wege im Detail'!$P:$P)</f>
        <v>79.774000000000015</v>
      </c>
      <c r="S4" s="452" t="s">
        <v>57</v>
      </c>
      <c r="T4" s="453">
        <v>42795</v>
      </c>
      <c r="U4" s="448"/>
      <c r="V4" s="457"/>
      <c r="W4" s="448"/>
      <c r="X4" s="458"/>
      <c r="Y4" s="458"/>
      <c r="Z4" s="458"/>
      <c r="AA4" s="458"/>
      <c r="AB4" s="458"/>
      <c r="AC4" s="458"/>
      <c r="AD4" s="458"/>
      <c r="AE4" s="458"/>
      <c r="AF4" s="458"/>
      <c r="AG4" s="458"/>
      <c r="AH4" s="458"/>
      <c r="AI4" s="458"/>
      <c r="AJ4" s="458"/>
      <c r="AK4" s="458"/>
      <c r="AL4" s="458"/>
      <c r="AM4" s="458"/>
      <c r="AN4" s="458"/>
      <c r="AO4" s="458"/>
      <c r="AP4" s="458"/>
      <c r="AQ4" s="458"/>
      <c r="AR4" s="458"/>
      <c r="AS4" s="458"/>
      <c r="AT4" s="458"/>
      <c r="AU4" s="458"/>
      <c r="AV4" s="458"/>
      <c r="AW4" s="458"/>
      <c r="AX4" s="458"/>
      <c r="AY4" s="458"/>
      <c r="AZ4" s="458"/>
      <c r="BA4" s="458"/>
      <c r="BB4" s="458"/>
      <c r="BC4" s="458"/>
      <c r="BD4" s="458"/>
      <c r="BE4" s="458"/>
      <c r="BF4" s="458"/>
      <c r="BG4" s="458"/>
      <c r="BH4" s="458"/>
      <c r="BI4" s="458"/>
      <c r="BJ4" s="458"/>
      <c r="BK4" s="458"/>
      <c r="BL4" s="458"/>
      <c r="BM4" s="458"/>
      <c r="BN4" s="458"/>
      <c r="BO4" s="458"/>
      <c r="BP4" s="458"/>
      <c r="BQ4" s="458"/>
      <c r="BR4" s="458"/>
      <c r="BS4" s="458"/>
      <c r="BT4" s="458"/>
      <c r="BU4" s="458"/>
      <c r="BV4" s="458"/>
      <c r="BW4" s="458"/>
      <c r="BX4" s="458"/>
      <c r="BY4" s="458"/>
      <c r="BZ4" s="458"/>
      <c r="CA4" s="458"/>
      <c r="CB4" s="458"/>
      <c r="CC4" s="458"/>
      <c r="CD4" s="458"/>
      <c r="CE4" s="458"/>
      <c r="CF4" s="458"/>
      <c r="CG4" s="458"/>
      <c r="CH4" s="458"/>
      <c r="CI4" s="458"/>
      <c r="CJ4" s="458"/>
      <c r="CK4" s="458"/>
      <c r="CL4" s="458"/>
      <c r="CM4" s="458"/>
      <c r="CN4" s="458"/>
      <c r="CO4" s="458"/>
      <c r="CP4" s="458"/>
      <c r="CQ4" s="458"/>
      <c r="CR4" s="458"/>
      <c r="CS4" s="458"/>
      <c r="CT4" s="458"/>
      <c r="CU4" s="458"/>
      <c r="CV4" s="458"/>
      <c r="CW4" s="458"/>
      <c r="CX4" s="458"/>
      <c r="CY4" s="458"/>
      <c r="CZ4" s="458"/>
      <c r="DA4" s="458"/>
      <c r="DB4" s="458"/>
      <c r="DC4" s="458"/>
      <c r="DD4" s="458"/>
      <c r="DE4" s="458"/>
      <c r="DF4" s="458"/>
      <c r="DG4" s="458"/>
      <c r="DH4" s="458"/>
      <c r="DI4" s="458"/>
      <c r="DJ4" s="458"/>
      <c r="DK4" s="458"/>
      <c r="DL4" s="458"/>
      <c r="DM4" s="458"/>
      <c r="DN4" s="458"/>
      <c r="DO4" s="458"/>
      <c r="DP4" s="458"/>
      <c r="DQ4" s="458"/>
      <c r="DR4" s="458"/>
      <c r="DS4" s="458"/>
      <c r="DT4" s="458"/>
      <c r="DU4" s="458"/>
      <c r="DV4" s="458"/>
      <c r="DW4" s="458"/>
      <c r="DX4" s="458"/>
      <c r="DY4" s="458"/>
      <c r="DZ4" s="458"/>
      <c r="EA4" s="458"/>
      <c r="EB4" s="458"/>
      <c r="EC4" s="458"/>
      <c r="ED4" s="458"/>
      <c r="EE4" s="458"/>
      <c r="EF4" s="458"/>
      <c r="EG4" s="458"/>
      <c r="EH4" s="458"/>
      <c r="EI4" s="458"/>
      <c r="EJ4" s="458"/>
      <c r="EK4" s="458"/>
      <c r="EL4" s="458"/>
      <c r="EM4" s="458"/>
      <c r="EN4" s="458"/>
      <c r="EO4" s="458"/>
      <c r="EP4" s="458"/>
      <c r="EQ4" s="458"/>
      <c r="ER4" s="458"/>
      <c r="ES4" s="458"/>
      <c r="ET4" s="458"/>
      <c r="EU4" s="458"/>
      <c r="EV4" s="458"/>
      <c r="EW4" s="458"/>
      <c r="EX4" s="458"/>
      <c r="EY4" s="458"/>
      <c r="EZ4" s="458"/>
      <c r="FA4" s="458"/>
      <c r="FB4" s="458"/>
      <c r="FC4" s="458"/>
      <c r="FD4" s="458"/>
      <c r="FE4" s="458"/>
      <c r="FF4" s="458"/>
      <c r="FG4" s="458"/>
      <c r="FH4" s="458"/>
      <c r="FI4" s="458"/>
      <c r="FJ4" s="458"/>
      <c r="FK4" s="458"/>
      <c r="FL4" s="458"/>
      <c r="FM4" s="458"/>
      <c r="FN4" s="458"/>
      <c r="FO4" s="458"/>
      <c r="FP4" s="458"/>
      <c r="FQ4" s="458"/>
      <c r="FR4" s="458"/>
      <c r="FS4" s="458"/>
      <c r="FT4" s="458"/>
      <c r="FU4" s="458"/>
      <c r="FV4" s="458"/>
      <c r="FW4" s="458"/>
      <c r="FX4" s="458"/>
      <c r="FY4" s="458"/>
      <c r="FZ4" s="458"/>
      <c r="GA4" s="458"/>
      <c r="GB4" s="458"/>
      <c r="GC4" s="458"/>
      <c r="GD4" s="458"/>
      <c r="GE4" s="458"/>
      <c r="GF4" s="458"/>
      <c r="GG4" s="458"/>
      <c r="GH4" s="458"/>
      <c r="GI4" s="458"/>
      <c r="GJ4" s="458"/>
      <c r="GK4" s="458"/>
      <c r="GL4" s="458"/>
      <c r="GM4" s="458"/>
      <c r="GN4" s="458"/>
      <c r="GO4" s="458"/>
      <c r="GP4" s="458"/>
      <c r="GQ4" s="458"/>
      <c r="GR4" s="458"/>
      <c r="GS4" s="458"/>
      <c r="GT4" s="458"/>
      <c r="GU4" s="458"/>
      <c r="GV4" s="458"/>
      <c r="GW4" s="458"/>
      <c r="GX4" s="458"/>
      <c r="GY4" s="458"/>
      <c r="GZ4" s="458"/>
      <c r="HA4" s="458"/>
      <c r="HB4" s="458"/>
      <c r="HC4" s="458"/>
      <c r="HD4" s="458"/>
      <c r="HE4" s="458"/>
      <c r="HF4" s="458"/>
      <c r="HG4" s="458"/>
      <c r="HH4" s="458"/>
      <c r="HI4" s="458"/>
      <c r="HJ4" s="458"/>
      <c r="HK4" s="458"/>
      <c r="HL4" s="458"/>
      <c r="HM4" s="458"/>
      <c r="HN4" s="458"/>
      <c r="HO4" s="458"/>
      <c r="HP4" s="458"/>
      <c r="HQ4" s="458"/>
      <c r="HR4" s="458"/>
      <c r="HS4" s="458"/>
      <c r="HT4" s="458"/>
      <c r="HU4" s="458"/>
      <c r="HV4" s="458"/>
      <c r="HW4" s="458"/>
      <c r="HX4" s="458"/>
      <c r="HY4" s="458"/>
      <c r="HZ4" s="458"/>
      <c r="IA4" s="458"/>
      <c r="IB4" s="458"/>
      <c r="IC4" s="458"/>
      <c r="ID4" s="458"/>
      <c r="IE4" s="458"/>
      <c r="IF4" s="458"/>
      <c r="IG4" s="458"/>
      <c r="IH4" s="458"/>
      <c r="II4" s="458"/>
      <c r="IJ4" s="458"/>
      <c r="IK4" s="458"/>
      <c r="IL4" s="458"/>
      <c r="IM4" s="458"/>
      <c r="IN4" s="458"/>
      <c r="IO4" s="458"/>
      <c r="IP4" s="458"/>
      <c r="IQ4" s="458"/>
      <c r="IR4" s="458"/>
      <c r="IS4" s="458"/>
    </row>
    <row r="5" spans="1:253" s="455" customFormat="1" ht="45" x14ac:dyDescent="0.2">
      <c r="A5" s="444">
        <v>39</v>
      </c>
      <c r="B5" s="445" t="s">
        <v>51</v>
      </c>
      <c r="C5" s="445" t="s">
        <v>52</v>
      </c>
      <c r="D5" s="445"/>
      <c r="E5" s="445"/>
      <c r="F5" s="445"/>
      <c r="G5" s="446">
        <v>461</v>
      </c>
      <c r="H5" s="445">
        <v>14</v>
      </c>
      <c r="I5" s="445"/>
      <c r="J5" s="445">
        <v>4</v>
      </c>
      <c r="K5" s="447">
        <v>11</v>
      </c>
      <c r="L5" s="445" t="s">
        <v>54</v>
      </c>
      <c r="M5" s="445">
        <v>3</v>
      </c>
      <c r="N5" s="445" t="s">
        <v>187</v>
      </c>
      <c r="O5" s="449" t="s">
        <v>960</v>
      </c>
      <c r="P5" s="450">
        <v>6.1159999999999997</v>
      </c>
      <c r="Q5" s="451">
        <f t="shared" si="1"/>
        <v>6.1159999999999997</v>
      </c>
      <c r="R5" s="451">
        <f>SUMIF('Wege im Detail'!$A:$A,"39",'Wege im Detail'!$P:$P)</f>
        <v>79.774000000000015</v>
      </c>
      <c r="S5" s="452" t="s">
        <v>57</v>
      </c>
      <c r="T5" s="453">
        <v>42795</v>
      </c>
      <c r="U5" s="448"/>
      <c r="V5" s="457"/>
      <c r="W5" s="44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58"/>
      <c r="AK5" s="458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458"/>
      <c r="BA5" s="458"/>
      <c r="BB5" s="458"/>
      <c r="BC5" s="458"/>
      <c r="BD5" s="458"/>
      <c r="BE5" s="458"/>
      <c r="BF5" s="458"/>
      <c r="BG5" s="458"/>
      <c r="BH5" s="458"/>
      <c r="BI5" s="458"/>
      <c r="BJ5" s="458"/>
      <c r="BK5" s="458"/>
      <c r="BL5" s="458"/>
      <c r="BM5" s="458"/>
      <c r="BN5" s="458"/>
      <c r="BO5" s="458"/>
      <c r="BP5" s="458"/>
      <c r="BQ5" s="458"/>
      <c r="BR5" s="458"/>
      <c r="BS5" s="458"/>
      <c r="BT5" s="458"/>
      <c r="BU5" s="458"/>
      <c r="BV5" s="458"/>
      <c r="BW5" s="458"/>
      <c r="BX5" s="458"/>
      <c r="BY5" s="458"/>
      <c r="BZ5" s="458"/>
      <c r="CA5" s="458"/>
      <c r="CB5" s="458"/>
      <c r="CC5" s="458"/>
      <c r="CD5" s="458"/>
      <c r="CE5" s="458"/>
      <c r="CF5" s="458"/>
      <c r="CG5" s="458"/>
      <c r="CH5" s="458"/>
      <c r="CI5" s="458"/>
      <c r="CJ5" s="458"/>
      <c r="CK5" s="458"/>
      <c r="CL5" s="458"/>
      <c r="CM5" s="458"/>
      <c r="CN5" s="458"/>
      <c r="CO5" s="458"/>
      <c r="CP5" s="458"/>
      <c r="CQ5" s="458"/>
      <c r="CR5" s="458"/>
      <c r="CS5" s="458"/>
      <c r="CT5" s="458"/>
      <c r="CU5" s="458"/>
      <c r="CV5" s="458"/>
      <c r="CW5" s="458"/>
      <c r="CX5" s="458"/>
      <c r="CY5" s="458"/>
      <c r="CZ5" s="458"/>
      <c r="DA5" s="458"/>
      <c r="DB5" s="458"/>
      <c r="DC5" s="458"/>
      <c r="DD5" s="458"/>
      <c r="DE5" s="458"/>
      <c r="DF5" s="458"/>
      <c r="DG5" s="458"/>
      <c r="DH5" s="458"/>
      <c r="DI5" s="458"/>
      <c r="DJ5" s="458"/>
      <c r="DK5" s="458"/>
      <c r="DL5" s="458"/>
      <c r="DM5" s="458"/>
      <c r="DN5" s="458"/>
      <c r="DO5" s="458"/>
      <c r="DP5" s="458"/>
      <c r="DQ5" s="458"/>
      <c r="DR5" s="458"/>
      <c r="DS5" s="458"/>
      <c r="DT5" s="458"/>
      <c r="DU5" s="458"/>
      <c r="DV5" s="458"/>
      <c r="DW5" s="458"/>
      <c r="DX5" s="458"/>
      <c r="DY5" s="458"/>
      <c r="DZ5" s="458"/>
      <c r="EA5" s="458"/>
      <c r="EB5" s="458"/>
      <c r="EC5" s="458"/>
      <c r="ED5" s="458"/>
      <c r="EE5" s="458"/>
      <c r="EF5" s="458"/>
      <c r="EG5" s="458"/>
      <c r="EH5" s="458"/>
      <c r="EI5" s="458"/>
      <c r="EJ5" s="458"/>
      <c r="EK5" s="458"/>
      <c r="EL5" s="458"/>
      <c r="EM5" s="458"/>
      <c r="EN5" s="458"/>
      <c r="EO5" s="458"/>
      <c r="EP5" s="458"/>
      <c r="EQ5" s="458"/>
      <c r="ER5" s="458"/>
      <c r="ES5" s="458"/>
      <c r="ET5" s="458"/>
      <c r="EU5" s="458"/>
      <c r="EV5" s="458"/>
      <c r="EW5" s="458"/>
      <c r="EX5" s="458"/>
      <c r="EY5" s="458"/>
      <c r="EZ5" s="458"/>
      <c r="FA5" s="458"/>
      <c r="FB5" s="458"/>
      <c r="FC5" s="458"/>
      <c r="FD5" s="458"/>
      <c r="FE5" s="458"/>
      <c r="FF5" s="458"/>
      <c r="FG5" s="458"/>
      <c r="FH5" s="458"/>
      <c r="FI5" s="458"/>
      <c r="FJ5" s="458"/>
      <c r="FK5" s="458"/>
      <c r="FL5" s="458"/>
      <c r="FM5" s="458"/>
      <c r="FN5" s="458"/>
      <c r="FO5" s="458"/>
      <c r="FP5" s="458"/>
      <c r="FQ5" s="458"/>
      <c r="FR5" s="458"/>
      <c r="FS5" s="458"/>
      <c r="FT5" s="458"/>
      <c r="FU5" s="458"/>
      <c r="FV5" s="458"/>
      <c r="FW5" s="458"/>
      <c r="FX5" s="458"/>
      <c r="FY5" s="458"/>
      <c r="FZ5" s="458"/>
      <c r="GA5" s="458"/>
      <c r="GB5" s="458"/>
      <c r="GC5" s="458"/>
      <c r="GD5" s="458"/>
      <c r="GE5" s="458"/>
      <c r="GF5" s="458"/>
      <c r="GG5" s="458"/>
      <c r="GH5" s="458"/>
      <c r="GI5" s="458"/>
      <c r="GJ5" s="458"/>
      <c r="GK5" s="458"/>
      <c r="GL5" s="458"/>
      <c r="GM5" s="458"/>
      <c r="GN5" s="458"/>
      <c r="GO5" s="458"/>
      <c r="GP5" s="458"/>
      <c r="GQ5" s="458"/>
      <c r="GR5" s="458"/>
      <c r="GS5" s="458"/>
      <c r="GT5" s="458"/>
      <c r="GU5" s="458"/>
      <c r="GV5" s="458"/>
      <c r="GW5" s="458"/>
      <c r="GX5" s="458"/>
      <c r="GY5" s="458"/>
      <c r="GZ5" s="458"/>
      <c r="HA5" s="458"/>
      <c r="HB5" s="458"/>
      <c r="HC5" s="458"/>
      <c r="HD5" s="458"/>
      <c r="HE5" s="458"/>
      <c r="HF5" s="458"/>
      <c r="HG5" s="458"/>
      <c r="HH5" s="458"/>
      <c r="HI5" s="458"/>
      <c r="HJ5" s="458"/>
      <c r="HK5" s="458"/>
      <c r="HL5" s="458"/>
      <c r="HM5" s="458"/>
      <c r="HN5" s="458"/>
      <c r="HO5" s="458"/>
      <c r="HP5" s="458"/>
      <c r="HQ5" s="458"/>
      <c r="HR5" s="458"/>
      <c r="HS5" s="458"/>
      <c r="HT5" s="458"/>
      <c r="HU5" s="458"/>
      <c r="HV5" s="458"/>
      <c r="HW5" s="458"/>
      <c r="HX5" s="458"/>
      <c r="HY5" s="458"/>
      <c r="HZ5" s="458"/>
      <c r="IA5" s="458"/>
      <c r="IB5" s="458"/>
      <c r="IC5" s="458"/>
      <c r="ID5" s="458"/>
      <c r="IE5" s="458"/>
      <c r="IF5" s="458"/>
      <c r="IG5" s="458"/>
      <c r="IH5" s="458"/>
      <c r="II5" s="458"/>
      <c r="IJ5" s="458"/>
      <c r="IK5" s="458"/>
      <c r="IL5" s="458"/>
      <c r="IM5" s="458"/>
      <c r="IN5" s="458"/>
      <c r="IO5" s="458"/>
      <c r="IP5" s="458"/>
      <c r="IQ5" s="458"/>
      <c r="IR5" s="458"/>
      <c r="IS5" s="458"/>
    </row>
    <row r="6" spans="1:253" s="459" customFormat="1" ht="45" x14ac:dyDescent="0.2">
      <c r="A6" s="444">
        <v>39</v>
      </c>
      <c r="B6" s="445" t="s">
        <v>51</v>
      </c>
      <c r="C6" s="445" t="s">
        <v>52</v>
      </c>
      <c r="D6" s="445"/>
      <c r="E6" s="445"/>
      <c r="F6" s="445"/>
      <c r="G6" s="446">
        <v>461</v>
      </c>
      <c r="H6" s="445">
        <v>14</v>
      </c>
      <c r="I6" s="445"/>
      <c r="J6" s="445">
        <v>5</v>
      </c>
      <c r="K6" s="447">
        <v>11</v>
      </c>
      <c r="L6" s="445" t="s">
        <v>54</v>
      </c>
      <c r="M6" s="445">
        <v>3</v>
      </c>
      <c r="N6" s="445" t="s">
        <v>202</v>
      </c>
      <c r="O6" s="449" t="s">
        <v>961</v>
      </c>
      <c r="P6" s="450">
        <v>6.0970000000000004</v>
      </c>
      <c r="Q6" s="451">
        <f t="shared" si="1"/>
        <v>6.0970000000000004</v>
      </c>
      <c r="R6" s="451">
        <f>SUMIF('Wege im Detail'!$A:$A,"39",'Wege im Detail'!$P:$P)</f>
        <v>79.774000000000015</v>
      </c>
      <c r="S6" s="452" t="s">
        <v>57</v>
      </c>
      <c r="T6" s="453">
        <v>42795</v>
      </c>
      <c r="U6" s="448"/>
      <c r="V6" s="457"/>
      <c r="W6" s="448"/>
      <c r="X6" s="458"/>
      <c r="Y6" s="458"/>
      <c r="Z6" s="458"/>
      <c r="AA6" s="458"/>
      <c r="AB6" s="458"/>
      <c r="AC6" s="458"/>
      <c r="AD6" s="458"/>
      <c r="AE6" s="458"/>
      <c r="AF6" s="458"/>
      <c r="AG6" s="458"/>
      <c r="AH6" s="458"/>
      <c r="AI6" s="458"/>
      <c r="AJ6" s="458"/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458"/>
      <c r="BA6" s="458"/>
      <c r="BB6" s="458"/>
      <c r="BC6" s="458"/>
      <c r="BD6" s="458"/>
      <c r="BE6" s="458"/>
      <c r="BF6" s="458"/>
      <c r="BG6" s="458"/>
      <c r="BH6" s="458"/>
      <c r="BI6" s="458"/>
      <c r="BJ6" s="458"/>
      <c r="BK6" s="458"/>
      <c r="BL6" s="458"/>
      <c r="BM6" s="458"/>
      <c r="BN6" s="458"/>
      <c r="BO6" s="458"/>
      <c r="BP6" s="458"/>
      <c r="BQ6" s="458"/>
      <c r="BR6" s="458"/>
      <c r="BS6" s="458"/>
      <c r="BT6" s="458"/>
      <c r="BU6" s="458"/>
      <c r="BV6" s="458"/>
      <c r="BW6" s="458"/>
      <c r="BX6" s="458"/>
      <c r="BY6" s="458"/>
      <c r="BZ6" s="458"/>
      <c r="CA6" s="458"/>
      <c r="CB6" s="458"/>
      <c r="CC6" s="458"/>
      <c r="CD6" s="458"/>
      <c r="CE6" s="458"/>
      <c r="CF6" s="458"/>
      <c r="CG6" s="458"/>
      <c r="CH6" s="458"/>
      <c r="CI6" s="458"/>
      <c r="CJ6" s="458"/>
      <c r="CK6" s="458"/>
      <c r="CL6" s="458"/>
      <c r="CM6" s="458"/>
      <c r="CN6" s="458"/>
      <c r="CO6" s="458"/>
      <c r="CP6" s="458"/>
      <c r="CQ6" s="458"/>
      <c r="CR6" s="458"/>
      <c r="CS6" s="458"/>
      <c r="CT6" s="458"/>
      <c r="CU6" s="458"/>
      <c r="CV6" s="458"/>
      <c r="CW6" s="458"/>
      <c r="CX6" s="458"/>
      <c r="CY6" s="458"/>
      <c r="CZ6" s="458"/>
      <c r="DA6" s="458"/>
      <c r="DB6" s="458"/>
      <c r="DC6" s="458"/>
      <c r="DD6" s="458"/>
      <c r="DE6" s="458"/>
      <c r="DF6" s="458"/>
      <c r="DG6" s="458"/>
      <c r="DH6" s="458"/>
      <c r="DI6" s="458"/>
      <c r="DJ6" s="458"/>
      <c r="DK6" s="458"/>
      <c r="DL6" s="458"/>
      <c r="DM6" s="458"/>
      <c r="DN6" s="458"/>
      <c r="DO6" s="458"/>
      <c r="DP6" s="458"/>
      <c r="DQ6" s="458"/>
      <c r="DR6" s="458"/>
      <c r="DS6" s="458"/>
      <c r="DT6" s="458"/>
      <c r="DU6" s="458"/>
      <c r="DV6" s="458"/>
      <c r="DW6" s="458"/>
      <c r="DX6" s="458"/>
      <c r="DY6" s="458"/>
      <c r="DZ6" s="458"/>
      <c r="EA6" s="458"/>
      <c r="EB6" s="458"/>
      <c r="EC6" s="458"/>
      <c r="ED6" s="458"/>
      <c r="EE6" s="458"/>
      <c r="EF6" s="458"/>
      <c r="EG6" s="458"/>
      <c r="EH6" s="458"/>
      <c r="EI6" s="458"/>
      <c r="EJ6" s="458"/>
      <c r="EK6" s="458"/>
      <c r="EL6" s="458"/>
      <c r="EM6" s="458"/>
      <c r="EN6" s="458"/>
      <c r="EO6" s="458"/>
      <c r="EP6" s="458"/>
      <c r="EQ6" s="458"/>
      <c r="ER6" s="458"/>
      <c r="ES6" s="458"/>
      <c r="ET6" s="458"/>
      <c r="EU6" s="458"/>
      <c r="EV6" s="458"/>
      <c r="EW6" s="458"/>
      <c r="EX6" s="458"/>
      <c r="EY6" s="458"/>
      <c r="EZ6" s="458"/>
      <c r="FA6" s="458"/>
      <c r="FB6" s="458"/>
      <c r="FC6" s="458"/>
      <c r="FD6" s="458"/>
      <c r="FE6" s="458"/>
      <c r="FF6" s="458"/>
      <c r="FG6" s="458"/>
      <c r="FH6" s="458"/>
      <c r="FI6" s="458"/>
      <c r="FJ6" s="458"/>
      <c r="FK6" s="458"/>
      <c r="FL6" s="458"/>
      <c r="FM6" s="458"/>
      <c r="FN6" s="458"/>
      <c r="FO6" s="458"/>
      <c r="FP6" s="458"/>
      <c r="FQ6" s="458"/>
      <c r="FR6" s="458"/>
      <c r="FS6" s="458"/>
      <c r="FT6" s="458"/>
      <c r="FU6" s="458"/>
      <c r="FV6" s="458"/>
      <c r="FW6" s="458"/>
      <c r="FX6" s="458"/>
      <c r="FY6" s="458"/>
      <c r="FZ6" s="458"/>
      <c r="GA6" s="458"/>
      <c r="GB6" s="458"/>
      <c r="GC6" s="458"/>
      <c r="GD6" s="458"/>
      <c r="GE6" s="458"/>
      <c r="GF6" s="458"/>
      <c r="GG6" s="458"/>
      <c r="GH6" s="458"/>
      <c r="GI6" s="458"/>
      <c r="GJ6" s="458"/>
      <c r="GK6" s="458"/>
      <c r="GL6" s="458"/>
      <c r="GM6" s="458"/>
      <c r="GN6" s="458"/>
      <c r="GO6" s="458"/>
      <c r="GP6" s="458"/>
      <c r="GQ6" s="458"/>
      <c r="GR6" s="458"/>
      <c r="GS6" s="458"/>
      <c r="GT6" s="458"/>
      <c r="GU6" s="458"/>
      <c r="GV6" s="458"/>
      <c r="GW6" s="458"/>
      <c r="GX6" s="458"/>
      <c r="GY6" s="458"/>
      <c r="GZ6" s="458"/>
      <c r="HA6" s="458"/>
      <c r="HB6" s="458"/>
      <c r="HC6" s="458"/>
      <c r="HD6" s="458"/>
      <c r="HE6" s="458"/>
      <c r="HF6" s="458"/>
      <c r="HG6" s="458"/>
      <c r="HH6" s="458"/>
      <c r="HI6" s="458"/>
      <c r="HJ6" s="458"/>
      <c r="HK6" s="458"/>
      <c r="HL6" s="458"/>
      <c r="HM6" s="458"/>
      <c r="HN6" s="458"/>
      <c r="HO6" s="458"/>
      <c r="HP6" s="458"/>
      <c r="HQ6" s="458"/>
      <c r="HR6" s="458"/>
      <c r="HS6" s="458"/>
      <c r="HT6" s="458"/>
      <c r="HU6" s="458"/>
      <c r="HV6" s="458"/>
      <c r="HW6" s="458"/>
      <c r="HX6" s="458"/>
      <c r="HY6" s="458"/>
      <c r="HZ6" s="458"/>
      <c r="IA6" s="458"/>
      <c r="IB6" s="458"/>
      <c r="IC6" s="458"/>
      <c r="ID6" s="458"/>
      <c r="IE6" s="458"/>
      <c r="IF6" s="458"/>
      <c r="IG6" s="458"/>
      <c r="IH6" s="458"/>
      <c r="II6" s="458"/>
      <c r="IJ6" s="458"/>
      <c r="IK6" s="458"/>
      <c r="IL6" s="458"/>
      <c r="IM6" s="458"/>
      <c r="IN6" s="458"/>
      <c r="IO6" s="458"/>
      <c r="IP6" s="458"/>
      <c r="IQ6" s="458"/>
      <c r="IR6" s="458"/>
      <c r="IS6" s="458"/>
    </row>
    <row r="7" spans="1:253" s="459" customFormat="1" ht="56.25" x14ac:dyDescent="0.2">
      <c r="A7" s="444">
        <v>39</v>
      </c>
      <c r="B7" s="445" t="s">
        <v>51</v>
      </c>
      <c r="C7" s="445" t="s">
        <v>52</v>
      </c>
      <c r="D7" s="445"/>
      <c r="E7" s="445"/>
      <c r="F7" s="445"/>
      <c r="G7" s="446">
        <v>461</v>
      </c>
      <c r="H7" s="445">
        <v>14</v>
      </c>
      <c r="I7" s="445"/>
      <c r="J7" s="445">
        <v>6</v>
      </c>
      <c r="K7" s="447">
        <v>11</v>
      </c>
      <c r="L7" s="445" t="s">
        <v>54</v>
      </c>
      <c r="M7" s="445">
        <v>2</v>
      </c>
      <c r="N7" s="445" t="s">
        <v>834</v>
      </c>
      <c r="O7" s="449" t="s">
        <v>962</v>
      </c>
      <c r="P7" s="450">
        <v>9.1210000000000004</v>
      </c>
      <c r="Q7" s="451">
        <f t="shared" si="1"/>
        <v>9.1210000000000004</v>
      </c>
      <c r="R7" s="451">
        <f>SUMIF('Wege im Detail'!$A:$A,"39",'Wege im Detail'!$P:$P)</f>
        <v>79.774000000000015</v>
      </c>
      <c r="S7" s="452" t="s">
        <v>57</v>
      </c>
      <c r="T7" s="453">
        <v>42795</v>
      </c>
      <c r="U7" s="448"/>
      <c r="V7" s="457"/>
      <c r="W7" s="44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8"/>
      <c r="AW7" s="458"/>
      <c r="AX7" s="458"/>
      <c r="AY7" s="458"/>
      <c r="AZ7" s="458"/>
      <c r="BA7" s="458"/>
      <c r="BB7" s="458"/>
      <c r="BC7" s="458"/>
      <c r="BD7" s="458"/>
      <c r="BE7" s="458"/>
      <c r="BF7" s="458"/>
      <c r="BG7" s="458"/>
      <c r="BH7" s="458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58"/>
      <c r="CS7" s="458"/>
      <c r="CT7" s="458"/>
      <c r="CU7" s="458"/>
      <c r="CV7" s="458"/>
      <c r="CW7" s="458"/>
      <c r="CX7" s="458"/>
      <c r="CY7" s="458"/>
      <c r="CZ7" s="458"/>
      <c r="DA7" s="458"/>
      <c r="DB7" s="458"/>
      <c r="DC7" s="458"/>
      <c r="DD7" s="458"/>
      <c r="DE7" s="458"/>
      <c r="DF7" s="458"/>
      <c r="DG7" s="458"/>
      <c r="DH7" s="458"/>
      <c r="DI7" s="458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58"/>
      <c r="EB7" s="458"/>
      <c r="EC7" s="458"/>
      <c r="ED7" s="458"/>
      <c r="EE7" s="458"/>
      <c r="EF7" s="458"/>
      <c r="EG7" s="458"/>
      <c r="EH7" s="458"/>
      <c r="EI7" s="458"/>
      <c r="EJ7" s="458"/>
      <c r="EK7" s="458"/>
      <c r="EL7" s="458"/>
      <c r="EM7" s="458"/>
      <c r="EN7" s="458"/>
      <c r="EO7" s="458"/>
      <c r="EP7" s="458"/>
      <c r="EQ7" s="458"/>
      <c r="ER7" s="458"/>
      <c r="ES7" s="458"/>
      <c r="ET7" s="458"/>
      <c r="EU7" s="458"/>
      <c r="EV7" s="458"/>
      <c r="EW7" s="458"/>
      <c r="EX7" s="458"/>
      <c r="EY7" s="458"/>
      <c r="EZ7" s="458"/>
      <c r="FA7" s="458"/>
      <c r="FB7" s="458"/>
      <c r="FC7" s="458"/>
      <c r="FD7" s="458"/>
      <c r="FE7" s="458"/>
      <c r="FF7" s="458"/>
      <c r="FG7" s="458"/>
      <c r="FH7" s="458"/>
      <c r="FI7" s="458"/>
      <c r="FJ7" s="458"/>
      <c r="FK7" s="458"/>
      <c r="FL7" s="458"/>
      <c r="FM7" s="458"/>
      <c r="FN7" s="458"/>
      <c r="FO7" s="458"/>
      <c r="FP7" s="458"/>
      <c r="FQ7" s="458"/>
      <c r="FR7" s="458"/>
      <c r="FS7" s="458"/>
      <c r="FT7" s="458"/>
      <c r="FU7" s="458"/>
      <c r="FV7" s="458"/>
      <c r="FW7" s="458"/>
      <c r="FX7" s="458"/>
      <c r="FY7" s="458"/>
      <c r="FZ7" s="458"/>
      <c r="GA7" s="458"/>
      <c r="GB7" s="458"/>
      <c r="GC7" s="458"/>
      <c r="GD7" s="458"/>
      <c r="GE7" s="458"/>
      <c r="GF7" s="458"/>
      <c r="GG7" s="458"/>
      <c r="GH7" s="458"/>
      <c r="GI7" s="458"/>
      <c r="GJ7" s="458"/>
      <c r="GK7" s="458"/>
      <c r="GL7" s="458"/>
      <c r="GM7" s="458"/>
      <c r="GN7" s="458"/>
      <c r="GO7" s="458"/>
      <c r="GP7" s="458"/>
      <c r="GQ7" s="458"/>
      <c r="GR7" s="458"/>
      <c r="GS7" s="458"/>
      <c r="GT7" s="458"/>
      <c r="GU7" s="458"/>
      <c r="GV7" s="458"/>
      <c r="GW7" s="458"/>
      <c r="GX7" s="458"/>
      <c r="GY7" s="458"/>
      <c r="GZ7" s="458"/>
      <c r="HA7" s="458"/>
      <c r="HB7" s="458"/>
      <c r="HC7" s="458"/>
      <c r="HD7" s="458"/>
      <c r="HE7" s="458"/>
      <c r="HF7" s="458"/>
      <c r="HG7" s="458"/>
      <c r="HH7" s="458"/>
      <c r="HI7" s="458"/>
      <c r="HJ7" s="458"/>
      <c r="HK7" s="458"/>
      <c r="HL7" s="458"/>
      <c r="HM7" s="458"/>
      <c r="HN7" s="458"/>
      <c r="HO7" s="458"/>
      <c r="HP7" s="458"/>
      <c r="HQ7" s="458"/>
      <c r="HR7" s="458"/>
      <c r="HS7" s="458"/>
      <c r="HT7" s="458"/>
      <c r="HU7" s="458"/>
      <c r="HV7" s="458"/>
      <c r="HW7" s="458"/>
      <c r="HX7" s="458"/>
      <c r="HY7" s="458"/>
      <c r="HZ7" s="458"/>
      <c r="IA7" s="458"/>
      <c r="IB7" s="458"/>
      <c r="IC7" s="458"/>
      <c r="ID7" s="458"/>
      <c r="IE7" s="458"/>
      <c r="IF7" s="458"/>
      <c r="IG7" s="458"/>
      <c r="IH7" s="458"/>
      <c r="II7" s="458"/>
      <c r="IJ7" s="458"/>
      <c r="IK7" s="458"/>
      <c r="IL7" s="458"/>
      <c r="IM7" s="458"/>
      <c r="IN7" s="458"/>
      <c r="IO7" s="458"/>
      <c r="IP7" s="458"/>
      <c r="IQ7" s="458"/>
      <c r="IR7" s="458"/>
      <c r="IS7" s="458"/>
    </row>
    <row r="8" spans="1:253" s="459" customFormat="1" ht="45" x14ac:dyDescent="0.2">
      <c r="A8" s="444">
        <v>39</v>
      </c>
      <c r="B8" s="445" t="s">
        <v>51</v>
      </c>
      <c r="C8" s="445" t="s">
        <v>52</v>
      </c>
      <c r="D8" s="445"/>
      <c r="E8" s="445"/>
      <c r="F8" s="445"/>
      <c r="G8" s="446">
        <v>461</v>
      </c>
      <c r="H8" s="445">
        <v>14</v>
      </c>
      <c r="I8" s="445"/>
      <c r="J8" s="445">
        <v>7</v>
      </c>
      <c r="K8" s="447">
        <v>11</v>
      </c>
      <c r="L8" s="445" t="s">
        <v>54</v>
      </c>
      <c r="M8" s="445">
        <v>5</v>
      </c>
      <c r="N8" s="445" t="s">
        <v>181</v>
      </c>
      <c r="O8" s="449" t="s">
        <v>963</v>
      </c>
      <c r="P8" s="450">
        <v>3.0510000000000002</v>
      </c>
      <c r="Q8" s="451">
        <f t="shared" si="1"/>
        <v>3.0510000000000002</v>
      </c>
      <c r="R8" s="451">
        <f>SUMIF('Wege im Detail'!$A:$A,"39",'Wege im Detail'!$P:$P)</f>
        <v>79.774000000000015</v>
      </c>
      <c r="S8" s="452" t="s">
        <v>57</v>
      </c>
      <c r="T8" s="453">
        <v>42795</v>
      </c>
      <c r="U8" s="448"/>
      <c r="V8" s="457"/>
      <c r="W8" s="44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458"/>
      <c r="AW8" s="458"/>
      <c r="AX8" s="458"/>
      <c r="AY8" s="458"/>
      <c r="AZ8" s="458"/>
      <c r="BA8" s="458"/>
      <c r="BB8" s="458"/>
      <c r="BC8" s="458"/>
      <c r="BD8" s="458"/>
      <c r="BE8" s="458"/>
      <c r="BF8" s="458"/>
      <c r="BG8" s="458"/>
      <c r="BH8" s="458"/>
      <c r="BI8" s="458"/>
      <c r="BJ8" s="458"/>
      <c r="BK8" s="458"/>
      <c r="BL8" s="458"/>
      <c r="BM8" s="458"/>
      <c r="BN8" s="458"/>
      <c r="BO8" s="458"/>
      <c r="BP8" s="458"/>
      <c r="BQ8" s="458"/>
      <c r="BR8" s="458"/>
      <c r="BS8" s="458"/>
      <c r="BT8" s="458"/>
      <c r="BU8" s="458"/>
      <c r="BV8" s="458"/>
      <c r="BW8" s="458"/>
      <c r="BX8" s="458"/>
      <c r="BY8" s="458"/>
      <c r="BZ8" s="458"/>
      <c r="CA8" s="458"/>
      <c r="CB8" s="458"/>
      <c r="CC8" s="458"/>
      <c r="CD8" s="458"/>
      <c r="CE8" s="458"/>
      <c r="CF8" s="458"/>
      <c r="CG8" s="458"/>
      <c r="CH8" s="458"/>
      <c r="CI8" s="458"/>
      <c r="CJ8" s="458"/>
      <c r="CK8" s="458"/>
      <c r="CL8" s="458"/>
      <c r="CM8" s="458"/>
      <c r="CN8" s="458"/>
      <c r="CO8" s="458"/>
      <c r="CP8" s="458"/>
      <c r="CQ8" s="458"/>
      <c r="CR8" s="458"/>
      <c r="CS8" s="458"/>
      <c r="CT8" s="458"/>
      <c r="CU8" s="458"/>
      <c r="CV8" s="458"/>
      <c r="CW8" s="458"/>
      <c r="CX8" s="458"/>
      <c r="CY8" s="458"/>
      <c r="CZ8" s="458"/>
      <c r="DA8" s="458"/>
      <c r="DB8" s="458"/>
      <c r="DC8" s="458"/>
      <c r="DD8" s="458"/>
      <c r="DE8" s="458"/>
      <c r="DF8" s="458"/>
      <c r="DG8" s="458"/>
      <c r="DH8" s="458"/>
      <c r="DI8" s="458"/>
      <c r="DJ8" s="458"/>
      <c r="DK8" s="458"/>
      <c r="DL8" s="458"/>
      <c r="DM8" s="458"/>
      <c r="DN8" s="458"/>
      <c r="DO8" s="458"/>
      <c r="DP8" s="458"/>
      <c r="DQ8" s="458"/>
      <c r="DR8" s="458"/>
      <c r="DS8" s="458"/>
      <c r="DT8" s="458"/>
      <c r="DU8" s="458"/>
      <c r="DV8" s="458"/>
      <c r="DW8" s="458"/>
      <c r="DX8" s="458"/>
      <c r="DY8" s="458"/>
      <c r="DZ8" s="458"/>
      <c r="EA8" s="458"/>
      <c r="EB8" s="458"/>
      <c r="EC8" s="458"/>
      <c r="ED8" s="458"/>
      <c r="EE8" s="458"/>
      <c r="EF8" s="458"/>
      <c r="EG8" s="458"/>
      <c r="EH8" s="458"/>
      <c r="EI8" s="458"/>
      <c r="EJ8" s="458"/>
      <c r="EK8" s="458"/>
      <c r="EL8" s="458"/>
      <c r="EM8" s="458"/>
      <c r="EN8" s="458"/>
      <c r="EO8" s="458"/>
      <c r="EP8" s="458"/>
      <c r="EQ8" s="458"/>
      <c r="ER8" s="458"/>
      <c r="ES8" s="458"/>
      <c r="ET8" s="458"/>
      <c r="EU8" s="458"/>
      <c r="EV8" s="458"/>
      <c r="EW8" s="458"/>
      <c r="EX8" s="458"/>
      <c r="EY8" s="458"/>
      <c r="EZ8" s="458"/>
      <c r="FA8" s="458"/>
      <c r="FB8" s="458"/>
      <c r="FC8" s="458"/>
      <c r="FD8" s="458"/>
      <c r="FE8" s="458"/>
      <c r="FF8" s="458"/>
      <c r="FG8" s="458"/>
      <c r="FH8" s="458"/>
      <c r="FI8" s="458"/>
      <c r="FJ8" s="458"/>
      <c r="FK8" s="458"/>
      <c r="FL8" s="458"/>
      <c r="FM8" s="458"/>
      <c r="FN8" s="458"/>
      <c r="FO8" s="458"/>
      <c r="FP8" s="458"/>
      <c r="FQ8" s="458"/>
      <c r="FR8" s="458"/>
      <c r="FS8" s="458"/>
      <c r="FT8" s="458"/>
      <c r="FU8" s="458"/>
      <c r="FV8" s="458"/>
      <c r="FW8" s="458"/>
      <c r="FX8" s="458"/>
      <c r="FY8" s="458"/>
      <c r="FZ8" s="458"/>
      <c r="GA8" s="458"/>
      <c r="GB8" s="458"/>
      <c r="GC8" s="458"/>
      <c r="GD8" s="458"/>
      <c r="GE8" s="458"/>
      <c r="GF8" s="458"/>
      <c r="GG8" s="458"/>
      <c r="GH8" s="458"/>
      <c r="GI8" s="458"/>
      <c r="GJ8" s="458"/>
      <c r="GK8" s="458"/>
      <c r="GL8" s="458"/>
      <c r="GM8" s="458"/>
      <c r="GN8" s="458"/>
      <c r="GO8" s="458"/>
      <c r="GP8" s="458"/>
      <c r="GQ8" s="458"/>
      <c r="GR8" s="458"/>
      <c r="GS8" s="458"/>
      <c r="GT8" s="458"/>
      <c r="GU8" s="458"/>
      <c r="GV8" s="458"/>
      <c r="GW8" s="458"/>
      <c r="GX8" s="458"/>
      <c r="GY8" s="458"/>
      <c r="GZ8" s="458"/>
      <c r="HA8" s="458"/>
      <c r="HB8" s="458"/>
      <c r="HC8" s="458"/>
      <c r="HD8" s="458"/>
      <c r="HE8" s="458"/>
      <c r="HF8" s="458"/>
      <c r="HG8" s="458"/>
      <c r="HH8" s="458"/>
      <c r="HI8" s="458"/>
      <c r="HJ8" s="458"/>
      <c r="HK8" s="458"/>
      <c r="HL8" s="458"/>
      <c r="HM8" s="458"/>
      <c r="HN8" s="458"/>
      <c r="HO8" s="458"/>
      <c r="HP8" s="458"/>
      <c r="HQ8" s="458"/>
      <c r="HR8" s="458"/>
      <c r="HS8" s="458"/>
      <c r="HT8" s="458"/>
      <c r="HU8" s="458"/>
      <c r="HV8" s="458"/>
      <c r="HW8" s="458"/>
      <c r="HX8" s="458"/>
      <c r="HY8" s="458"/>
      <c r="HZ8" s="458"/>
      <c r="IA8" s="458"/>
      <c r="IB8" s="458"/>
      <c r="IC8" s="458"/>
      <c r="ID8" s="458"/>
      <c r="IE8" s="458"/>
      <c r="IF8" s="458"/>
      <c r="IG8" s="458"/>
      <c r="IH8" s="458"/>
      <c r="II8" s="458"/>
      <c r="IJ8" s="458"/>
      <c r="IK8" s="458"/>
      <c r="IL8" s="458"/>
      <c r="IM8" s="458"/>
      <c r="IN8" s="458"/>
      <c r="IO8" s="458"/>
      <c r="IP8" s="458"/>
      <c r="IQ8" s="458"/>
      <c r="IR8" s="458"/>
      <c r="IS8" s="458"/>
    </row>
    <row r="9" spans="1:253" s="459" customFormat="1" ht="51.75" customHeight="1" x14ac:dyDescent="0.2">
      <c r="A9" s="444">
        <v>39</v>
      </c>
      <c r="B9" s="445" t="s">
        <v>51</v>
      </c>
      <c r="C9" s="445" t="s">
        <v>52</v>
      </c>
      <c r="D9" s="445"/>
      <c r="E9" s="445"/>
      <c r="F9" s="445"/>
      <c r="G9" s="446">
        <v>461</v>
      </c>
      <c r="H9" s="445">
        <v>14</v>
      </c>
      <c r="I9" s="445"/>
      <c r="J9" s="445">
        <v>8</v>
      </c>
      <c r="K9" s="447">
        <v>11</v>
      </c>
      <c r="L9" s="445" t="s">
        <v>54</v>
      </c>
      <c r="M9" s="445">
        <v>5</v>
      </c>
      <c r="N9" s="445" t="s">
        <v>72</v>
      </c>
      <c r="O9" s="449" t="s">
        <v>964</v>
      </c>
      <c r="P9" s="450">
        <v>1.758</v>
      </c>
      <c r="Q9" s="451">
        <f t="shared" si="1"/>
        <v>1.758</v>
      </c>
      <c r="R9" s="451">
        <f>SUMIF('Wege im Detail'!$A:$A,"39",'Wege im Detail'!$P:$P)</f>
        <v>79.774000000000015</v>
      </c>
      <c r="S9" s="452" t="s">
        <v>57</v>
      </c>
      <c r="T9" s="453">
        <v>42795</v>
      </c>
      <c r="U9" s="448"/>
      <c r="V9" s="457"/>
      <c r="W9" s="44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458"/>
      <c r="AW9" s="458"/>
      <c r="AX9" s="458"/>
      <c r="AY9" s="458"/>
      <c r="AZ9" s="458"/>
      <c r="BA9" s="458"/>
      <c r="BB9" s="458"/>
      <c r="BC9" s="458"/>
      <c r="BD9" s="458"/>
      <c r="BE9" s="458"/>
      <c r="BF9" s="458"/>
      <c r="BG9" s="458"/>
      <c r="BH9" s="458"/>
      <c r="BI9" s="458"/>
      <c r="BJ9" s="458"/>
      <c r="BK9" s="458"/>
      <c r="BL9" s="458"/>
      <c r="BM9" s="458"/>
      <c r="BN9" s="458"/>
      <c r="BO9" s="458"/>
      <c r="BP9" s="458"/>
      <c r="BQ9" s="458"/>
      <c r="BR9" s="458"/>
      <c r="BS9" s="458"/>
      <c r="BT9" s="458"/>
      <c r="BU9" s="458"/>
      <c r="BV9" s="458"/>
      <c r="BW9" s="458"/>
      <c r="BX9" s="458"/>
      <c r="BY9" s="458"/>
      <c r="BZ9" s="458"/>
      <c r="CA9" s="458"/>
      <c r="CB9" s="458"/>
      <c r="CC9" s="458"/>
      <c r="CD9" s="458"/>
      <c r="CE9" s="458"/>
      <c r="CF9" s="458"/>
      <c r="CG9" s="458"/>
      <c r="CH9" s="458"/>
      <c r="CI9" s="458"/>
      <c r="CJ9" s="458"/>
      <c r="CK9" s="458"/>
      <c r="CL9" s="458"/>
      <c r="CM9" s="458"/>
      <c r="CN9" s="458"/>
      <c r="CO9" s="458"/>
      <c r="CP9" s="458"/>
      <c r="CQ9" s="458"/>
      <c r="CR9" s="458"/>
      <c r="CS9" s="458"/>
      <c r="CT9" s="458"/>
      <c r="CU9" s="458"/>
      <c r="CV9" s="458"/>
      <c r="CW9" s="458"/>
      <c r="CX9" s="458"/>
      <c r="CY9" s="458"/>
      <c r="CZ9" s="458"/>
      <c r="DA9" s="458"/>
      <c r="DB9" s="458"/>
      <c r="DC9" s="458"/>
      <c r="DD9" s="458"/>
      <c r="DE9" s="458"/>
      <c r="DF9" s="458"/>
      <c r="DG9" s="458"/>
      <c r="DH9" s="458"/>
      <c r="DI9" s="458"/>
      <c r="DJ9" s="458"/>
      <c r="DK9" s="458"/>
      <c r="DL9" s="458"/>
      <c r="DM9" s="458"/>
      <c r="DN9" s="458"/>
      <c r="DO9" s="458"/>
      <c r="DP9" s="458"/>
      <c r="DQ9" s="458"/>
      <c r="DR9" s="458"/>
      <c r="DS9" s="458"/>
      <c r="DT9" s="458"/>
      <c r="DU9" s="458"/>
      <c r="DV9" s="458"/>
      <c r="DW9" s="458"/>
      <c r="DX9" s="458"/>
      <c r="DY9" s="458"/>
      <c r="DZ9" s="458"/>
      <c r="EA9" s="458"/>
      <c r="EB9" s="458"/>
      <c r="EC9" s="458"/>
      <c r="ED9" s="458"/>
      <c r="EE9" s="458"/>
      <c r="EF9" s="458"/>
      <c r="EG9" s="458"/>
      <c r="EH9" s="458"/>
      <c r="EI9" s="458"/>
      <c r="EJ9" s="458"/>
      <c r="EK9" s="458"/>
      <c r="EL9" s="458"/>
      <c r="EM9" s="458"/>
      <c r="EN9" s="458"/>
      <c r="EO9" s="458"/>
      <c r="EP9" s="458"/>
      <c r="EQ9" s="458"/>
      <c r="ER9" s="458"/>
      <c r="ES9" s="458"/>
      <c r="ET9" s="458"/>
      <c r="EU9" s="458"/>
      <c r="EV9" s="458"/>
      <c r="EW9" s="458"/>
      <c r="EX9" s="458"/>
      <c r="EY9" s="458"/>
      <c r="EZ9" s="458"/>
      <c r="FA9" s="458"/>
      <c r="FB9" s="458"/>
      <c r="FC9" s="458"/>
      <c r="FD9" s="458"/>
      <c r="FE9" s="458"/>
      <c r="FF9" s="458"/>
      <c r="FG9" s="458"/>
      <c r="FH9" s="458"/>
      <c r="FI9" s="458"/>
      <c r="FJ9" s="458"/>
      <c r="FK9" s="458"/>
      <c r="FL9" s="458"/>
      <c r="FM9" s="458"/>
      <c r="FN9" s="458"/>
      <c r="FO9" s="458"/>
      <c r="FP9" s="458"/>
      <c r="FQ9" s="458"/>
      <c r="FR9" s="458"/>
      <c r="FS9" s="458"/>
      <c r="FT9" s="458"/>
      <c r="FU9" s="458"/>
      <c r="FV9" s="458"/>
      <c r="FW9" s="458"/>
      <c r="FX9" s="458"/>
      <c r="FY9" s="458"/>
      <c r="FZ9" s="458"/>
      <c r="GA9" s="458"/>
      <c r="GB9" s="458"/>
      <c r="GC9" s="458"/>
      <c r="GD9" s="458"/>
      <c r="GE9" s="458"/>
      <c r="GF9" s="458"/>
      <c r="GG9" s="458"/>
      <c r="GH9" s="458"/>
      <c r="GI9" s="458"/>
      <c r="GJ9" s="458"/>
      <c r="GK9" s="458"/>
      <c r="GL9" s="458"/>
      <c r="GM9" s="458"/>
      <c r="GN9" s="458"/>
      <c r="GO9" s="458"/>
      <c r="GP9" s="458"/>
      <c r="GQ9" s="458"/>
      <c r="GR9" s="458"/>
      <c r="GS9" s="458"/>
      <c r="GT9" s="458"/>
      <c r="GU9" s="458"/>
      <c r="GV9" s="458"/>
      <c r="GW9" s="458"/>
      <c r="GX9" s="458"/>
      <c r="GY9" s="458"/>
      <c r="GZ9" s="458"/>
      <c r="HA9" s="458"/>
      <c r="HB9" s="458"/>
      <c r="HC9" s="458"/>
      <c r="HD9" s="458"/>
      <c r="HE9" s="458"/>
      <c r="HF9" s="458"/>
      <c r="HG9" s="458"/>
      <c r="HH9" s="458"/>
      <c r="HI9" s="458"/>
      <c r="HJ9" s="458"/>
      <c r="HK9" s="458"/>
      <c r="HL9" s="458"/>
      <c r="HM9" s="458"/>
      <c r="HN9" s="458"/>
      <c r="HO9" s="458"/>
      <c r="HP9" s="458"/>
      <c r="HQ9" s="458"/>
      <c r="HR9" s="458"/>
      <c r="HS9" s="458"/>
      <c r="HT9" s="458"/>
      <c r="HU9" s="458"/>
      <c r="HV9" s="458"/>
      <c r="HW9" s="458"/>
      <c r="HX9" s="458"/>
      <c r="HY9" s="458"/>
      <c r="HZ9" s="458"/>
      <c r="IA9" s="458"/>
      <c r="IB9" s="458"/>
      <c r="IC9" s="458"/>
      <c r="ID9" s="458"/>
      <c r="IE9" s="458"/>
      <c r="IF9" s="458"/>
      <c r="IG9" s="458"/>
      <c r="IH9" s="458"/>
      <c r="II9" s="458"/>
      <c r="IJ9" s="458"/>
      <c r="IK9" s="458"/>
      <c r="IL9" s="458"/>
      <c r="IM9" s="458"/>
      <c r="IN9" s="458"/>
      <c r="IO9" s="458"/>
      <c r="IP9" s="458"/>
      <c r="IQ9" s="458"/>
      <c r="IR9" s="458"/>
      <c r="IS9" s="458"/>
    </row>
    <row r="10" spans="1:253" s="458" customFormat="1" ht="45" x14ac:dyDescent="0.2">
      <c r="A10" s="444">
        <v>39</v>
      </c>
      <c r="B10" s="445" t="s">
        <v>51</v>
      </c>
      <c r="C10" s="445" t="s">
        <v>52</v>
      </c>
      <c r="D10" s="445"/>
      <c r="E10" s="445"/>
      <c r="F10" s="445"/>
      <c r="G10" s="446">
        <v>461</v>
      </c>
      <c r="H10" s="445">
        <v>14</v>
      </c>
      <c r="I10" s="445"/>
      <c r="J10" s="445">
        <v>9</v>
      </c>
      <c r="K10" s="447">
        <v>11</v>
      </c>
      <c r="L10" s="445" t="s">
        <v>54</v>
      </c>
      <c r="M10" s="445">
        <v>2</v>
      </c>
      <c r="N10" s="445" t="s">
        <v>67</v>
      </c>
      <c r="O10" s="449" t="s">
        <v>965</v>
      </c>
      <c r="P10" s="450">
        <v>17.292000000000002</v>
      </c>
      <c r="Q10" s="451">
        <f t="shared" si="1"/>
        <v>17.292000000000002</v>
      </c>
      <c r="R10" s="451">
        <f>SUMIF('Wege im Detail'!$A:$A,"39",'Wege im Detail'!$P:$P)</f>
        <v>79.774000000000015</v>
      </c>
      <c r="S10" s="452" t="s">
        <v>57</v>
      </c>
      <c r="T10" s="453">
        <v>43952</v>
      </c>
      <c r="U10" s="448"/>
      <c r="V10" s="460"/>
      <c r="W10" s="448"/>
    </row>
    <row r="11" spans="1:253" s="458" customFormat="1" ht="45" x14ac:dyDescent="0.2">
      <c r="A11" s="444">
        <v>39</v>
      </c>
      <c r="B11" s="445" t="s">
        <v>51</v>
      </c>
      <c r="C11" s="445" t="s">
        <v>52</v>
      </c>
      <c r="D11" s="445"/>
      <c r="E11" s="445"/>
      <c r="F11" s="445"/>
      <c r="G11" s="446">
        <v>461</v>
      </c>
      <c r="H11" s="445">
        <v>14</v>
      </c>
      <c r="I11" s="445"/>
      <c r="J11" s="445">
        <v>10</v>
      </c>
      <c r="K11" s="447">
        <v>11</v>
      </c>
      <c r="L11" s="445" t="s">
        <v>54</v>
      </c>
      <c r="M11" s="445">
        <v>1</v>
      </c>
      <c r="N11" s="445" t="s">
        <v>425</v>
      </c>
      <c r="O11" s="449" t="s">
        <v>966</v>
      </c>
      <c r="P11" s="450">
        <v>9.7940000000000005</v>
      </c>
      <c r="Q11" s="451">
        <f t="shared" si="1"/>
        <v>9.7940000000000005</v>
      </c>
      <c r="R11" s="451">
        <f>SUMIF('Wege im Detail'!$A:$A,"39",'Wege im Detail'!$P:$P)</f>
        <v>79.774000000000015</v>
      </c>
      <c r="S11" s="452" t="s">
        <v>57</v>
      </c>
      <c r="T11" s="453">
        <v>42795</v>
      </c>
      <c r="U11" s="448"/>
      <c r="V11" s="457"/>
      <c r="W11" s="448"/>
    </row>
    <row r="12" spans="1:253" s="458" customFormat="1" ht="36" x14ac:dyDescent="0.2">
      <c r="A12" s="444">
        <v>39</v>
      </c>
      <c r="B12" s="445" t="s">
        <v>51</v>
      </c>
      <c r="C12" s="445" t="s">
        <v>52</v>
      </c>
      <c r="D12" s="445"/>
      <c r="E12" s="445"/>
      <c r="F12" s="445"/>
      <c r="G12" s="446">
        <v>461</v>
      </c>
      <c r="H12" s="445">
        <v>14</v>
      </c>
      <c r="I12" s="445"/>
      <c r="J12" s="445">
        <v>11</v>
      </c>
      <c r="K12" s="447">
        <v>11</v>
      </c>
      <c r="L12" s="445" t="s">
        <v>54</v>
      </c>
      <c r="M12" s="445">
        <v>1</v>
      </c>
      <c r="N12" s="445" t="s">
        <v>425</v>
      </c>
      <c r="O12" s="461" t="s">
        <v>967</v>
      </c>
      <c r="P12" s="450">
        <v>3.9590000000000001</v>
      </c>
      <c r="Q12" s="451">
        <f t="shared" si="1"/>
        <v>3.9590000000000001</v>
      </c>
      <c r="R12" s="451">
        <f>SUMIF('Wege im Detail'!$A:$A,"39",'Wege im Detail'!$P:$P)</f>
        <v>79.774000000000015</v>
      </c>
      <c r="S12" s="452" t="s">
        <v>57</v>
      </c>
      <c r="T12" s="453">
        <v>43313</v>
      </c>
      <c r="U12" s="448"/>
      <c r="V12" s="457"/>
      <c r="W12" s="448"/>
    </row>
    <row r="13" spans="1:253" s="458" customFormat="1" ht="45" x14ac:dyDescent="0.2">
      <c r="A13" s="444">
        <v>206</v>
      </c>
      <c r="B13" s="445" t="s">
        <v>51</v>
      </c>
      <c r="C13" s="445" t="s">
        <v>52</v>
      </c>
      <c r="D13" s="445"/>
      <c r="E13" s="445"/>
      <c r="F13" s="445"/>
      <c r="G13" s="446">
        <v>91</v>
      </c>
      <c r="H13" s="445">
        <v>15</v>
      </c>
      <c r="I13" s="445"/>
      <c r="J13" s="445">
        <v>1</v>
      </c>
      <c r="K13" s="447">
        <v>5</v>
      </c>
      <c r="L13" s="445" t="s">
        <v>62</v>
      </c>
      <c r="M13" s="445">
        <v>3</v>
      </c>
      <c r="N13" s="445" t="s">
        <v>187</v>
      </c>
      <c r="O13" s="449" t="s">
        <v>968</v>
      </c>
      <c r="P13" s="450">
        <v>5.1079999999999997</v>
      </c>
      <c r="Q13" s="451">
        <f t="shared" si="1"/>
        <v>5.1079999999999997</v>
      </c>
      <c r="R13" s="451">
        <f>SUMIF('Wege im Detail'!$A:$A,"206",'Wege im Detail'!$P:$P)</f>
        <v>30.138999999999999</v>
      </c>
      <c r="S13" s="452" t="s">
        <v>64</v>
      </c>
      <c r="T13" s="453">
        <v>42795</v>
      </c>
      <c r="U13" s="448"/>
      <c r="V13" s="457" t="s">
        <v>58</v>
      </c>
      <c r="W13" s="448"/>
    </row>
    <row r="14" spans="1:253" s="458" customFormat="1" ht="33.75" x14ac:dyDescent="0.2">
      <c r="A14" s="444">
        <v>206</v>
      </c>
      <c r="B14" s="445" t="s">
        <v>51</v>
      </c>
      <c r="C14" s="445" t="s">
        <v>52</v>
      </c>
      <c r="D14" s="445"/>
      <c r="E14" s="445"/>
      <c r="F14" s="445"/>
      <c r="G14" s="446">
        <v>91</v>
      </c>
      <c r="H14" s="445">
        <v>15</v>
      </c>
      <c r="I14" s="445"/>
      <c r="J14" s="445">
        <v>2</v>
      </c>
      <c r="K14" s="447">
        <v>5</v>
      </c>
      <c r="L14" s="445" t="s">
        <v>62</v>
      </c>
      <c r="M14" s="445">
        <v>3</v>
      </c>
      <c r="N14" s="445" t="s">
        <v>202</v>
      </c>
      <c r="O14" s="449" t="s">
        <v>969</v>
      </c>
      <c r="P14" s="450">
        <v>6.0979999999999999</v>
      </c>
      <c r="Q14" s="451">
        <f t="shared" si="1"/>
        <v>6.0979999999999999</v>
      </c>
      <c r="R14" s="451">
        <f>SUMIF('Wege im Detail'!$A:$A,"206",'Wege im Detail'!$P:$P)</f>
        <v>30.138999999999999</v>
      </c>
      <c r="S14" s="452" t="s">
        <v>64</v>
      </c>
      <c r="T14" s="453">
        <v>42795</v>
      </c>
      <c r="U14" s="448"/>
      <c r="V14" s="457" t="s">
        <v>58</v>
      </c>
      <c r="W14" s="448"/>
    </row>
    <row r="15" spans="1:253" s="458" customFormat="1" ht="45" x14ac:dyDescent="0.2">
      <c r="A15" s="444">
        <v>206</v>
      </c>
      <c r="B15" s="445" t="s">
        <v>51</v>
      </c>
      <c r="C15" s="445" t="s">
        <v>52</v>
      </c>
      <c r="D15" s="445"/>
      <c r="E15" s="445"/>
      <c r="F15" s="445"/>
      <c r="G15" s="446">
        <v>91</v>
      </c>
      <c r="H15" s="445">
        <v>15</v>
      </c>
      <c r="I15" s="445"/>
      <c r="J15" s="445">
        <v>3</v>
      </c>
      <c r="K15" s="447">
        <v>5</v>
      </c>
      <c r="L15" s="445" t="s">
        <v>62</v>
      </c>
      <c r="M15" s="445">
        <v>2</v>
      </c>
      <c r="N15" s="445" t="s">
        <v>834</v>
      </c>
      <c r="O15" s="449" t="s">
        <v>970</v>
      </c>
      <c r="P15" s="450">
        <v>5.8239999999999998</v>
      </c>
      <c r="Q15" s="451">
        <f t="shared" si="1"/>
        <v>5.8239999999999998</v>
      </c>
      <c r="R15" s="451">
        <f>SUMIF('Wege im Detail'!$A:$A,"206",'Wege im Detail'!$P:$P)</f>
        <v>30.138999999999999</v>
      </c>
      <c r="S15" s="452" t="s">
        <v>64</v>
      </c>
      <c r="T15" s="453">
        <v>42795</v>
      </c>
      <c r="U15" s="448"/>
      <c r="V15" s="457" t="s">
        <v>58</v>
      </c>
      <c r="W15" s="448"/>
    </row>
    <row r="16" spans="1:253" s="458" customFormat="1" ht="45" x14ac:dyDescent="0.2">
      <c r="A16" s="444">
        <v>206</v>
      </c>
      <c r="B16" s="445" t="s">
        <v>51</v>
      </c>
      <c r="C16" s="445" t="s">
        <v>52</v>
      </c>
      <c r="D16" s="445"/>
      <c r="E16" s="445"/>
      <c r="F16" s="445"/>
      <c r="G16" s="446">
        <v>91</v>
      </c>
      <c r="H16" s="445">
        <v>15</v>
      </c>
      <c r="I16" s="445"/>
      <c r="J16" s="445">
        <v>4</v>
      </c>
      <c r="K16" s="447">
        <v>5</v>
      </c>
      <c r="L16" s="445" t="s">
        <v>62</v>
      </c>
      <c r="M16" s="445">
        <v>2</v>
      </c>
      <c r="N16" s="445" t="s">
        <v>63</v>
      </c>
      <c r="O16" s="449" t="s">
        <v>971</v>
      </c>
      <c r="P16" s="450">
        <v>10.055</v>
      </c>
      <c r="Q16" s="451">
        <f t="shared" si="1"/>
        <v>10.055</v>
      </c>
      <c r="R16" s="451">
        <f>SUMIF('Wege im Detail'!$A:$A,"206",'Wege im Detail'!$P:$P)</f>
        <v>30.138999999999999</v>
      </c>
      <c r="S16" s="452" t="s">
        <v>64</v>
      </c>
      <c r="T16" s="453">
        <v>42795</v>
      </c>
      <c r="U16" s="448"/>
      <c r="V16" s="457" t="s">
        <v>58</v>
      </c>
      <c r="W16" s="448"/>
    </row>
    <row r="17" spans="1:253" s="458" customFormat="1" ht="45" x14ac:dyDescent="0.2">
      <c r="A17" s="444">
        <v>206</v>
      </c>
      <c r="B17" s="445" t="s">
        <v>51</v>
      </c>
      <c r="C17" s="445" t="s">
        <v>52</v>
      </c>
      <c r="D17" s="445"/>
      <c r="E17" s="445"/>
      <c r="F17" s="445"/>
      <c r="G17" s="446">
        <v>91</v>
      </c>
      <c r="H17" s="445">
        <v>15</v>
      </c>
      <c r="I17" s="445"/>
      <c r="J17" s="445">
        <v>5</v>
      </c>
      <c r="K17" s="447">
        <v>5</v>
      </c>
      <c r="L17" s="445" t="s">
        <v>62</v>
      </c>
      <c r="M17" s="445">
        <v>2</v>
      </c>
      <c r="N17" s="445" t="s">
        <v>454</v>
      </c>
      <c r="O17" s="449" t="s">
        <v>972</v>
      </c>
      <c r="P17" s="450">
        <v>3.0539999999999998</v>
      </c>
      <c r="Q17" s="451">
        <f t="shared" si="1"/>
        <v>3.0539999999999998</v>
      </c>
      <c r="R17" s="451">
        <f>SUMIF('Wege im Detail'!$A:$A,"206",'Wege im Detail'!$P:$P)</f>
        <v>30.138999999999999</v>
      </c>
      <c r="S17" s="452" t="s">
        <v>64</v>
      </c>
      <c r="T17" s="453">
        <v>42795</v>
      </c>
      <c r="U17" s="448"/>
      <c r="V17" s="457" t="s">
        <v>58</v>
      </c>
      <c r="W17" s="448"/>
    </row>
    <row r="18" spans="1:253" s="458" customFormat="1" ht="51.75" customHeight="1" x14ac:dyDescent="0.2">
      <c r="A18" s="444">
        <v>353</v>
      </c>
      <c r="B18" s="445" t="s">
        <v>51</v>
      </c>
      <c r="C18" s="445" t="s">
        <v>52</v>
      </c>
      <c r="D18" s="445"/>
      <c r="E18" s="445"/>
      <c r="F18" s="445"/>
      <c r="G18" s="446">
        <v>97</v>
      </c>
      <c r="H18" s="445">
        <v>18</v>
      </c>
      <c r="I18" s="445"/>
      <c r="J18" s="445">
        <v>1</v>
      </c>
      <c r="K18" s="447">
        <v>2</v>
      </c>
      <c r="L18" s="445" t="s">
        <v>66</v>
      </c>
      <c r="M18" s="445">
        <v>2</v>
      </c>
      <c r="N18" s="445" t="s">
        <v>67</v>
      </c>
      <c r="O18" s="449" t="s">
        <v>973</v>
      </c>
      <c r="P18" s="450">
        <v>2.6869999999999998</v>
      </c>
      <c r="Q18" s="451">
        <f t="shared" si="1"/>
        <v>2.6869999999999998</v>
      </c>
      <c r="R18" s="451">
        <f>SUMIF('Wege im Detail'!$A:$A,"353",'Wege im Detail'!$P:$P)</f>
        <v>13.914</v>
      </c>
      <c r="S18" s="452" t="s">
        <v>68</v>
      </c>
      <c r="T18" s="453">
        <v>42795</v>
      </c>
      <c r="U18" s="448"/>
      <c r="V18" s="455" t="s">
        <v>69</v>
      </c>
      <c r="W18" s="448"/>
    </row>
    <row r="19" spans="1:253" s="458" customFormat="1" ht="45" x14ac:dyDescent="0.2">
      <c r="A19" s="444">
        <v>353</v>
      </c>
      <c r="B19" s="445" t="s">
        <v>51</v>
      </c>
      <c r="C19" s="530" t="s">
        <v>52</v>
      </c>
      <c r="D19" s="445"/>
      <c r="E19" s="445"/>
      <c r="F19" s="445"/>
      <c r="G19" s="446">
        <v>97</v>
      </c>
      <c r="H19" s="445">
        <v>18</v>
      </c>
      <c r="I19" s="445"/>
      <c r="J19" s="445">
        <v>2</v>
      </c>
      <c r="K19" s="447">
        <v>2</v>
      </c>
      <c r="L19" s="445" t="s">
        <v>66</v>
      </c>
      <c r="M19" s="445">
        <v>2</v>
      </c>
      <c r="N19" s="445" t="s">
        <v>433</v>
      </c>
      <c r="O19" s="449" t="s">
        <v>974</v>
      </c>
      <c r="P19" s="450">
        <v>11.227</v>
      </c>
      <c r="Q19" s="451">
        <f t="shared" si="1"/>
        <v>11.227</v>
      </c>
      <c r="R19" s="451">
        <f>SUMIF('Wege im Detail'!$A:$A,"353",'Wege im Detail'!$P:$P)</f>
        <v>13.914</v>
      </c>
      <c r="S19" s="452" t="s">
        <v>975</v>
      </c>
      <c r="T19" s="453">
        <v>42795</v>
      </c>
      <c r="U19" s="448"/>
      <c r="V19" s="455" t="s">
        <v>69</v>
      </c>
      <c r="W19" s="448"/>
    </row>
    <row r="20" spans="1:253" s="458" customFormat="1" ht="45" x14ac:dyDescent="0.2">
      <c r="A20" s="438">
        <v>1992</v>
      </c>
      <c r="B20" s="445" t="s">
        <v>51</v>
      </c>
      <c r="C20" s="445" t="s">
        <v>52</v>
      </c>
      <c r="D20" s="445"/>
      <c r="E20" s="445"/>
      <c r="F20" s="445"/>
      <c r="G20" s="446">
        <v>22</v>
      </c>
      <c r="H20" s="445">
        <v>8</v>
      </c>
      <c r="I20" s="445"/>
      <c r="J20" s="445">
        <v>1</v>
      </c>
      <c r="K20" s="447">
        <v>9</v>
      </c>
      <c r="L20" s="445" t="s">
        <v>71</v>
      </c>
      <c r="M20" s="445">
        <v>4</v>
      </c>
      <c r="N20" s="445" t="s">
        <v>56</v>
      </c>
      <c r="O20" s="449" t="s">
        <v>976</v>
      </c>
      <c r="P20" s="450">
        <v>9.8879999999999999</v>
      </c>
      <c r="Q20" s="451">
        <f t="shared" si="1"/>
        <v>9.8879999999999999</v>
      </c>
      <c r="R20" s="451">
        <f>SUMIF('Wege im Detail'!$A:$A,"1992",'Wege im Detail'!$P:$P)</f>
        <v>52.558999999999997</v>
      </c>
      <c r="S20" s="452" t="s">
        <v>73</v>
      </c>
      <c r="T20" s="453">
        <v>43952</v>
      </c>
      <c r="U20" s="462" t="s">
        <v>955</v>
      </c>
      <c r="W20" s="462"/>
    </row>
    <row r="21" spans="1:253" s="458" customFormat="1" ht="45" x14ac:dyDescent="0.2">
      <c r="A21" s="444">
        <v>1992</v>
      </c>
      <c r="B21" s="445" t="s">
        <v>51</v>
      </c>
      <c r="C21" s="445" t="s">
        <v>52</v>
      </c>
      <c r="D21" s="445"/>
      <c r="E21" s="445"/>
      <c r="F21" s="445"/>
      <c r="G21" s="446">
        <v>22</v>
      </c>
      <c r="H21" s="445">
        <v>8</v>
      </c>
      <c r="I21" s="445"/>
      <c r="J21" s="445">
        <v>2</v>
      </c>
      <c r="K21" s="447">
        <v>9</v>
      </c>
      <c r="L21" s="445" t="s">
        <v>71</v>
      </c>
      <c r="M21" s="445">
        <v>4</v>
      </c>
      <c r="N21" s="445" t="s">
        <v>118</v>
      </c>
      <c r="O21" s="449" t="s">
        <v>977</v>
      </c>
      <c r="P21" s="450">
        <v>4.1360000000000001</v>
      </c>
      <c r="Q21" s="451">
        <f t="shared" si="1"/>
        <v>4.1360000000000001</v>
      </c>
      <c r="R21" s="451">
        <f>SUMIF('Wege im Detail'!$A:$A,"1992",'Wege im Detail'!$P:$P)</f>
        <v>52.558999999999997</v>
      </c>
      <c r="S21" s="452" t="s">
        <v>73</v>
      </c>
      <c r="T21" s="453">
        <v>42887</v>
      </c>
      <c r="U21" s="448"/>
      <c r="V21" s="457"/>
      <c r="W21" s="448"/>
    </row>
    <row r="22" spans="1:253" s="458" customFormat="1" ht="45" x14ac:dyDescent="0.2">
      <c r="A22" s="444">
        <v>1992</v>
      </c>
      <c r="B22" s="445" t="s">
        <v>51</v>
      </c>
      <c r="C22" s="445" t="s">
        <v>52</v>
      </c>
      <c r="D22" s="445"/>
      <c r="E22" s="445"/>
      <c r="F22" s="445"/>
      <c r="G22" s="446">
        <v>22</v>
      </c>
      <c r="H22" s="445">
        <v>8</v>
      </c>
      <c r="I22" s="445"/>
      <c r="J22" s="445">
        <v>3</v>
      </c>
      <c r="K22" s="447">
        <v>9</v>
      </c>
      <c r="L22" s="445" t="s">
        <v>71</v>
      </c>
      <c r="M22" s="445">
        <v>5</v>
      </c>
      <c r="N22" s="445" t="s">
        <v>111</v>
      </c>
      <c r="O22" s="449" t="s">
        <v>978</v>
      </c>
      <c r="P22" s="450">
        <v>6.7380000000000004</v>
      </c>
      <c r="Q22" s="451">
        <f t="shared" si="1"/>
        <v>6.7380000000000004</v>
      </c>
      <c r="R22" s="451">
        <f>SUMIF('Wege im Detail'!$A:$A,"1992",'Wege im Detail'!$P:$P)</f>
        <v>52.558999999999997</v>
      </c>
      <c r="S22" s="452" t="s">
        <v>73</v>
      </c>
      <c r="T22" s="453">
        <v>42887</v>
      </c>
      <c r="U22" s="448"/>
      <c r="V22" s="457"/>
      <c r="W22" s="448"/>
    </row>
    <row r="23" spans="1:253" s="458" customFormat="1" ht="56.25" x14ac:dyDescent="0.2">
      <c r="A23" s="444">
        <v>1992</v>
      </c>
      <c r="B23" s="445" t="s">
        <v>51</v>
      </c>
      <c r="C23" s="445" t="s">
        <v>52</v>
      </c>
      <c r="D23" s="445"/>
      <c r="E23" s="445"/>
      <c r="F23" s="445"/>
      <c r="G23" s="446">
        <v>22</v>
      </c>
      <c r="H23" s="445">
        <v>8</v>
      </c>
      <c r="I23" s="445"/>
      <c r="J23" s="445">
        <v>4</v>
      </c>
      <c r="K23" s="447">
        <v>9</v>
      </c>
      <c r="L23" s="445" t="s">
        <v>71</v>
      </c>
      <c r="M23" s="445">
        <v>5</v>
      </c>
      <c r="N23" s="445" t="s">
        <v>187</v>
      </c>
      <c r="O23" s="449" t="s">
        <v>979</v>
      </c>
      <c r="P23" s="450">
        <v>6.1159999999999997</v>
      </c>
      <c r="Q23" s="451">
        <f t="shared" si="1"/>
        <v>6.1159999999999997</v>
      </c>
      <c r="R23" s="451">
        <f>SUMIF('Wege im Detail'!$A:$A,"1992",'Wege im Detail'!$P:$P)</f>
        <v>52.558999999999997</v>
      </c>
      <c r="S23" s="452" t="s">
        <v>73</v>
      </c>
      <c r="T23" s="453">
        <v>42887</v>
      </c>
      <c r="U23" s="448"/>
      <c r="V23" s="457"/>
      <c r="W23" s="448"/>
    </row>
    <row r="24" spans="1:253" s="458" customFormat="1" ht="45" x14ac:dyDescent="0.2">
      <c r="A24" s="444">
        <v>1992</v>
      </c>
      <c r="B24" s="445" t="s">
        <v>51</v>
      </c>
      <c r="C24" s="445" t="s">
        <v>52</v>
      </c>
      <c r="D24" s="445"/>
      <c r="E24" s="445"/>
      <c r="F24" s="445"/>
      <c r="G24" s="446">
        <v>22</v>
      </c>
      <c r="H24" s="445">
        <v>8</v>
      </c>
      <c r="I24" s="445"/>
      <c r="J24" s="445">
        <v>5</v>
      </c>
      <c r="K24" s="447">
        <v>9</v>
      </c>
      <c r="L24" s="445" t="s">
        <v>71</v>
      </c>
      <c r="M24" s="445">
        <v>3</v>
      </c>
      <c r="N24" s="445" t="s">
        <v>202</v>
      </c>
      <c r="O24" s="449" t="s">
        <v>980</v>
      </c>
      <c r="P24" s="450">
        <v>6.04</v>
      </c>
      <c r="Q24" s="451">
        <f t="shared" si="1"/>
        <v>6.04</v>
      </c>
      <c r="R24" s="451">
        <f>SUMIF('Wege im Detail'!$A:$A,"1992",'Wege im Detail'!$P:$P)</f>
        <v>52.558999999999997</v>
      </c>
      <c r="S24" s="452" t="s">
        <v>73</v>
      </c>
      <c r="T24" s="453">
        <v>44378</v>
      </c>
      <c r="U24" s="534" t="s">
        <v>981</v>
      </c>
      <c r="V24" s="457"/>
      <c r="W24" s="448"/>
    </row>
    <row r="25" spans="1:253" s="458" customFormat="1" ht="56.25" x14ac:dyDescent="0.2">
      <c r="A25" s="444">
        <v>1992</v>
      </c>
      <c r="B25" s="445" t="s">
        <v>51</v>
      </c>
      <c r="C25" s="445" t="s">
        <v>52</v>
      </c>
      <c r="D25" s="445"/>
      <c r="E25" s="445"/>
      <c r="F25" s="445"/>
      <c r="G25" s="446">
        <v>22</v>
      </c>
      <c r="H25" s="445">
        <v>8</v>
      </c>
      <c r="I25" s="445"/>
      <c r="J25" s="445">
        <v>6</v>
      </c>
      <c r="K25" s="447">
        <v>9</v>
      </c>
      <c r="L25" s="445" t="s">
        <v>71</v>
      </c>
      <c r="M25" s="445">
        <v>2</v>
      </c>
      <c r="N25" s="445" t="s">
        <v>834</v>
      </c>
      <c r="O25" s="449" t="s">
        <v>982</v>
      </c>
      <c r="P25" s="450">
        <v>9.1189999999999998</v>
      </c>
      <c r="Q25" s="451">
        <f t="shared" si="1"/>
        <v>9.1189999999999998</v>
      </c>
      <c r="R25" s="451">
        <f>SUMIF('Wege im Detail'!$A:$A,"1992",'Wege im Detail'!$P:$P)</f>
        <v>52.558999999999997</v>
      </c>
      <c r="S25" s="452" t="s">
        <v>73</v>
      </c>
      <c r="T25" s="453">
        <v>42887</v>
      </c>
      <c r="U25" s="448"/>
      <c r="V25" s="457"/>
      <c r="W25" s="448"/>
    </row>
    <row r="26" spans="1:253" s="458" customFormat="1" ht="56.25" x14ac:dyDescent="0.2">
      <c r="A26" s="444">
        <v>1992</v>
      </c>
      <c r="B26" s="445" t="s">
        <v>51</v>
      </c>
      <c r="C26" s="445" t="s">
        <v>52</v>
      </c>
      <c r="D26" s="445"/>
      <c r="E26" s="445"/>
      <c r="F26" s="445"/>
      <c r="G26" s="446">
        <v>22</v>
      </c>
      <c r="H26" s="445">
        <v>8</v>
      </c>
      <c r="I26" s="445"/>
      <c r="J26" s="445">
        <v>7</v>
      </c>
      <c r="K26" s="447">
        <v>9</v>
      </c>
      <c r="L26" s="445" t="s">
        <v>71</v>
      </c>
      <c r="M26" s="445">
        <v>5</v>
      </c>
      <c r="N26" s="445" t="s">
        <v>181</v>
      </c>
      <c r="O26" s="449" t="s">
        <v>983</v>
      </c>
      <c r="P26" s="450">
        <v>3.0529999999999999</v>
      </c>
      <c r="Q26" s="451">
        <f t="shared" si="1"/>
        <v>3.0529999999999999</v>
      </c>
      <c r="R26" s="451">
        <f>SUMIF('Wege im Detail'!$A:$A,"1992",'Wege im Detail'!$P:$P)</f>
        <v>52.558999999999997</v>
      </c>
      <c r="S26" s="452" t="s">
        <v>73</v>
      </c>
      <c r="T26" s="453">
        <v>42887</v>
      </c>
      <c r="U26" s="448"/>
      <c r="V26" s="457"/>
      <c r="W26" s="448"/>
    </row>
    <row r="27" spans="1:253" s="458" customFormat="1" ht="45" x14ac:dyDescent="0.2">
      <c r="A27" s="444">
        <v>1992</v>
      </c>
      <c r="B27" s="445" t="s">
        <v>51</v>
      </c>
      <c r="C27" s="445" t="s">
        <v>52</v>
      </c>
      <c r="D27" s="445"/>
      <c r="E27" s="445"/>
      <c r="F27" s="445"/>
      <c r="G27" s="446">
        <v>22</v>
      </c>
      <c r="H27" s="445">
        <v>8</v>
      </c>
      <c r="I27" s="445"/>
      <c r="J27" s="445">
        <v>8</v>
      </c>
      <c r="K27" s="447">
        <v>9</v>
      </c>
      <c r="L27" s="445" t="s">
        <v>71</v>
      </c>
      <c r="M27" s="445">
        <v>5</v>
      </c>
      <c r="N27" s="445" t="s">
        <v>72</v>
      </c>
      <c r="O27" s="449" t="s">
        <v>984</v>
      </c>
      <c r="P27" s="450">
        <v>1.756</v>
      </c>
      <c r="Q27" s="451">
        <f t="shared" si="1"/>
        <v>1.756</v>
      </c>
      <c r="R27" s="451">
        <f>SUMIF('Wege im Detail'!$A:$A,"1992",'Wege im Detail'!$P:$P)</f>
        <v>52.558999999999997</v>
      </c>
      <c r="S27" s="452" t="s">
        <v>73</v>
      </c>
      <c r="T27" s="453">
        <v>42887</v>
      </c>
      <c r="U27" s="448"/>
      <c r="V27" s="457"/>
      <c r="W27" s="448"/>
    </row>
    <row r="28" spans="1:253" s="458" customFormat="1" ht="36" x14ac:dyDescent="0.2">
      <c r="A28" s="444">
        <v>1992</v>
      </c>
      <c r="B28" s="445" t="s">
        <v>51</v>
      </c>
      <c r="C28" s="445" t="s">
        <v>52</v>
      </c>
      <c r="D28" s="445"/>
      <c r="E28" s="445"/>
      <c r="F28" s="445"/>
      <c r="G28" s="446">
        <v>22</v>
      </c>
      <c r="H28" s="445">
        <v>8</v>
      </c>
      <c r="I28" s="445"/>
      <c r="J28" s="445">
        <v>9</v>
      </c>
      <c r="K28" s="447">
        <v>9</v>
      </c>
      <c r="L28" s="445" t="s">
        <v>71</v>
      </c>
      <c r="M28" s="445">
        <v>2</v>
      </c>
      <c r="N28" s="445" t="s">
        <v>67</v>
      </c>
      <c r="O28" s="449" t="s">
        <v>985</v>
      </c>
      <c r="P28" s="450">
        <v>5.7130000000000001</v>
      </c>
      <c r="Q28" s="451">
        <f t="shared" si="1"/>
        <v>5.7130000000000001</v>
      </c>
      <c r="R28" s="451">
        <f>SUMIF('Wege im Detail'!$A:$A,"1992",'Wege im Detail'!$P:$P)</f>
        <v>52.558999999999997</v>
      </c>
      <c r="S28" s="452" t="s">
        <v>73</v>
      </c>
      <c r="T28" s="453">
        <v>42887</v>
      </c>
      <c r="U28" s="448"/>
      <c r="V28" s="457"/>
      <c r="W28" s="448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455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  <c r="CI28" s="455"/>
      <c r="CJ28" s="455"/>
      <c r="CK28" s="455"/>
      <c r="CL28" s="455"/>
      <c r="CM28" s="455"/>
      <c r="CN28" s="455"/>
      <c r="CO28" s="455"/>
      <c r="CP28" s="455"/>
      <c r="CQ28" s="455"/>
      <c r="CR28" s="455"/>
      <c r="CS28" s="455"/>
      <c r="CT28" s="455"/>
      <c r="CU28" s="455"/>
      <c r="CV28" s="455"/>
      <c r="CW28" s="455"/>
      <c r="CX28" s="455"/>
      <c r="CY28" s="455"/>
      <c r="CZ28" s="455"/>
      <c r="DA28" s="455"/>
      <c r="DB28" s="455"/>
      <c r="DC28" s="455"/>
      <c r="DD28" s="455"/>
      <c r="DE28" s="455"/>
      <c r="DF28" s="455"/>
      <c r="DG28" s="455"/>
      <c r="DH28" s="455"/>
      <c r="DI28" s="455"/>
      <c r="DJ28" s="455"/>
      <c r="DK28" s="455"/>
      <c r="DL28" s="455"/>
      <c r="DM28" s="455"/>
      <c r="DN28" s="455"/>
      <c r="DO28" s="455"/>
      <c r="DP28" s="455"/>
      <c r="DQ28" s="455"/>
      <c r="DR28" s="455"/>
      <c r="DS28" s="455"/>
      <c r="DT28" s="455"/>
      <c r="DU28" s="455"/>
      <c r="DV28" s="455"/>
      <c r="DW28" s="455"/>
      <c r="DX28" s="455"/>
      <c r="DY28" s="455"/>
      <c r="DZ28" s="455"/>
      <c r="EA28" s="455"/>
      <c r="EB28" s="455"/>
      <c r="EC28" s="455"/>
      <c r="ED28" s="455"/>
      <c r="EE28" s="455"/>
      <c r="EF28" s="455"/>
      <c r="EG28" s="455"/>
      <c r="EH28" s="455"/>
      <c r="EI28" s="455"/>
      <c r="EJ28" s="455"/>
      <c r="EK28" s="455"/>
      <c r="EL28" s="455"/>
      <c r="EM28" s="455"/>
      <c r="EN28" s="455"/>
      <c r="EO28" s="455"/>
      <c r="EP28" s="455"/>
      <c r="EQ28" s="455"/>
      <c r="ER28" s="455"/>
      <c r="ES28" s="455"/>
      <c r="ET28" s="455"/>
      <c r="EU28" s="455"/>
      <c r="EV28" s="455"/>
      <c r="EW28" s="455"/>
      <c r="EX28" s="455"/>
      <c r="EY28" s="455"/>
      <c r="EZ28" s="455"/>
      <c r="FA28" s="455"/>
      <c r="FB28" s="455"/>
      <c r="FC28" s="455"/>
      <c r="FD28" s="455"/>
      <c r="FE28" s="455"/>
      <c r="FF28" s="455"/>
      <c r="FG28" s="455"/>
      <c r="FH28" s="455"/>
      <c r="FI28" s="455"/>
      <c r="FJ28" s="455"/>
      <c r="FK28" s="455"/>
      <c r="FL28" s="455"/>
      <c r="FM28" s="455"/>
      <c r="FN28" s="455"/>
      <c r="FO28" s="455"/>
      <c r="FP28" s="455"/>
      <c r="FQ28" s="455"/>
      <c r="FR28" s="455"/>
      <c r="FS28" s="455"/>
      <c r="FT28" s="455"/>
      <c r="FU28" s="455"/>
      <c r="FV28" s="455"/>
      <c r="FW28" s="455"/>
      <c r="FX28" s="455"/>
      <c r="FY28" s="455"/>
      <c r="FZ28" s="455"/>
      <c r="GA28" s="455"/>
      <c r="GB28" s="455"/>
      <c r="GC28" s="455"/>
      <c r="GD28" s="455"/>
      <c r="GE28" s="455"/>
      <c r="GF28" s="455"/>
      <c r="GG28" s="455"/>
      <c r="GH28" s="455"/>
      <c r="GI28" s="455"/>
      <c r="GJ28" s="455"/>
      <c r="GK28" s="455"/>
      <c r="GL28" s="455"/>
      <c r="GM28" s="455"/>
      <c r="GN28" s="455"/>
      <c r="GO28" s="455"/>
      <c r="GP28" s="455"/>
      <c r="GQ28" s="455"/>
      <c r="GR28" s="455"/>
      <c r="GS28" s="455"/>
      <c r="GT28" s="455"/>
      <c r="GU28" s="455"/>
      <c r="GV28" s="455"/>
      <c r="GW28" s="455"/>
      <c r="GX28" s="455"/>
      <c r="GY28" s="455"/>
      <c r="GZ28" s="455"/>
      <c r="HA28" s="455"/>
      <c r="HB28" s="455"/>
      <c r="HC28" s="455"/>
      <c r="HD28" s="455"/>
      <c r="HE28" s="455"/>
      <c r="HF28" s="455"/>
      <c r="HG28" s="455"/>
      <c r="HH28" s="455"/>
      <c r="HI28" s="455"/>
      <c r="HJ28" s="455"/>
      <c r="HK28" s="455"/>
      <c r="HL28" s="455"/>
      <c r="HM28" s="455"/>
      <c r="HN28" s="455"/>
      <c r="HO28" s="455"/>
      <c r="HP28" s="455"/>
      <c r="HQ28" s="455"/>
      <c r="HR28" s="455"/>
      <c r="HS28" s="455"/>
      <c r="HT28" s="455"/>
      <c r="HU28" s="455"/>
      <c r="HV28" s="455"/>
      <c r="HW28" s="455"/>
      <c r="HX28" s="455"/>
      <c r="HY28" s="455"/>
      <c r="HZ28" s="455"/>
      <c r="IA28" s="455"/>
      <c r="IB28" s="455"/>
      <c r="IC28" s="455"/>
      <c r="ID28" s="455"/>
      <c r="IE28" s="455"/>
      <c r="IF28" s="455"/>
      <c r="IG28" s="455"/>
      <c r="IH28" s="455"/>
      <c r="II28" s="455"/>
      <c r="IJ28" s="455"/>
      <c r="IK28" s="455"/>
      <c r="IL28" s="455"/>
      <c r="IM28" s="455"/>
      <c r="IN28" s="455"/>
      <c r="IO28" s="455"/>
      <c r="IP28" s="455"/>
      <c r="IQ28" s="455"/>
      <c r="IR28" s="455"/>
      <c r="IS28" s="455"/>
    </row>
    <row r="29" spans="1:253" s="458" customFormat="1" ht="45" x14ac:dyDescent="0.2">
      <c r="A29" s="444">
        <v>1993</v>
      </c>
      <c r="B29" s="445" t="s">
        <v>51</v>
      </c>
      <c r="C29" s="445" t="s">
        <v>52</v>
      </c>
      <c r="D29" s="445"/>
      <c r="E29" s="445"/>
      <c r="F29" s="445"/>
      <c r="G29" s="446">
        <v>4</v>
      </c>
      <c r="H29" s="445">
        <v>5</v>
      </c>
      <c r="I29" s="445"/>
      <c r="J29" s="445">
        <v>1</v>
      </c>
      <c r="K29" s="447">
        <v>9</v>
      </c>
      <c r="L29" s="445" t="s">
        <v>75</v>
      </c>
      <c r="M29" s="445">
        <v>4</v>
      </c>
      <c r="N29" s="445" t="s">
        <v>56</v>
      </c>
      <c r="O29" s="461" t="s">
        <v>986</v>
      </c>
      <c r="P29" s="450">
        <v>9.5570000000000004</v>
      </c>
      <c r="Q29" s="451"/>
      <c r="R29" s="451">
        <f>SUMIF('Wege im Detail'!$A:$A,"1993",'Wege im Detail'!$P:$P)</f>
        <v>82.712000000000003</v>
      </c>
      <c r="S29" s="452" t="s">
        <v>76</v>
      </c>
      <c r="T29" s="453">
        <v>43952</v>
      </c>
      <c r="U29" s="448"/>
      <c r="V29" s="454"/>
      <c r="W29" s="448"/>
    </row>
    <row r="30" spans="1:253" s="458" customFormat="1" ht="45" x14ac:dyDescent="0.2">
      <c r="A30" s="438">
        <v>1993</v>
      </c>
      <c r="B30" s="445" t="s">
        <v>51</v>
      </c>
      <c r="C30" s="445" t="s">
        <v>52</v>
      </c>
      <c r="D30" s="445"/>
      <c r="E30" s="445"/>
      <c r="F30" s="445"/>
      <c r="G30" s="446">
        <v>4</v>
      </c>
      <c r="H30" s="445">
        <v>5</v>
      </c>
      <c r="I30" s="445"/>
      <c r="J30" s="445">
        <v>2</v>
      </c>
      <c r="K30" s="447">
        <v>9</v>
      </c>
      <c r="L30" s="445" t="s">
        <v>75</v>
      </c>
      <c r="M30" s="445">
        <v>4</v>
      </c>
      <c r="N30" s="445" t="s">
        <v>987</v>
      </c>
      <c r="O30" s="461" t="s">
        <v>988</v>
      </c>
      <c r="P30" s="450">
        <v>4.258</v>
      </c>
      <c r="Q30" s="451">
        <f>P30</f>
        <v>4.258</v>
      </c>
      <c r="R30" s="451">
        <f>SUMIF('Wege im Detail'!$A:$A,"1993",'Wege im Detail'!$P:$P)</f>
        <v>82.712000000000003</v>
      </c>
      <c r="S30" s="452" t="s">
        <v>76</v>
      </c>
      <c r="T30" s="453">
        <v>43952</v>
      </c>
      <c r="U30" s="462" t="s">
        <v>989</v>
      </c>
      <c r="W30" s="462"/>
    </row>
    <row r="31" spans="1:253" s="458" customFormat="1" ht="45" x14ac:dyDescent="0.2">
      <c r="A31" s="444">
        <v>1993</v>
      </c>
      <c r="B31" s="445" t="s">
        <v>51</v>
      </c>
      <c r="C31" s="445" t="s">
        <v>52</v>
      </c>
      <c r="D31" s="445"/>
      <c r="E31" s="445"/>
      <c r="F31" s="445"/>
      <c r="G31" s="446">
        <v>4</v>
      </c>
      <c r="H31" s="445">
        <v>5</v>
      </c>
      <c r="I31" s="445"/>
      <c r="J31" s="445">
        <v>3</v>
      </c>
      <c r="K31" s="447">
        <v>9</v>
      </c>
      <c r="L31" s="445" t="s">
        <v>75</v>
      </c>
      <c r="M31" s="445">
        <v>5</v>
      </c>
      <c r="N31" s="445" t="s">
        <v>98</v>
      </c>
      <c r="O31" s="461" t="s">
        <v>990</v>
      </c>
      <c r="P31" s="450">
        <v>10.464</v>
      </c>
      <c r="Q31" s="451">
        <f>P31</f>
        <v>10.464</v>
      </c>
      <c r="R31" s="451">
        <f>SUMIF('Wege im Detail'!$A:$A,"1993",'Wege im Detail'!$P:$P)</f>
        <v>82.712000000000003</v>
      </c>
      <c r="S31" s="452" t="s">
        <v>76</v>
      </c>
      <c r="T31" s="453">
        <v>43952</v>
      </c>
      <c r="U31" s="534" t="s">
        <v>991</v>
      </c>
      <c r="V31" s="463"/>
      <c r="W31" s="448"/>
    </row>
    <row r="32" spans="1:253" s="458" customFormat="1" ht="33.75" x14ac:dyDescent="0.2">
      <c r="A32" s="444">
        <v>1993</v>
      </c>
      <c r="B32" s="445" t="s">
        <v>51</v>
      </c>
      <c r="C32" s="445" t="s">
        <v>52</v>
      </c>
      <c r="D32" s="445"/>
      <c r="E32" s="445"/>
      <c r="F32" s="445"/>
      <c r="G32" s="446">
        <v>4</v>
      </c>
      <c r="H32" s="445">
        <v>5</v>
      </c>
      <c r="I32" s="445"/>
      <c r="J32" s="445">
        <v>4</v>
      </c>
      <c r="K32" s="447">
        <v>9</v>
      </c>
      <c r="L32" s="445" t="s">
        <v>75</v>
      </c>
      <c r="M32" s="445">
        <v>3</v>
      </c>
      <c r="N32" s="445" t="s">
        <v>93</v>
      </c>
      <c r="O32" s="461" t="s">
        <v>992</v>
      </c>
      <c r="P32" s="450">
        <v>7.9219999999999997</v>
      </c>
      <c r="Q32" s="451">
        <f>P32</f>
        <v>7.9219999999999997</v>
      </c>
      <c r="R32" s="451">
        <f>SUMIF('Wege im Detail'!$A:$A,"1993",'Wege im Detail'!$P:$P)</f>
        <v>82.712000000000003</v>
      </c>
      <c r="S32" s="452" t="s">
        <v>76</v>
      </c>
      <c r="T32" s="453">
        <v>43952</v>
      </c>
      <c r="U32" s="448"/>
      <c r="V32" s="462"/>
      <c r="W32" s="448"/>
    </row>
    <row r="33" spans="1:253" s="458" customFormat="1" ht="45" x14ac:dyDescent="0.2">
      <c r="A33" s="444">
        <v>1993</v>
      </c>
      <c r="B33" s="445" t="s">
        <v>51</v>
      </c>
      <c r="C33" s="445" t="s">
        <v>52</v>
      </c>
      <c r="D33" s="445"/>
      <c r="E33" s="445"/>
      <c r="F33" s="445"/>
      <c r="G33" s="446">
        <v>4</v>
      </c>
      <c r="H33" s="445">
        <v>5</v>
      </c>
      <c r="I33" s="445"/>
      <c r="J33" s="445">
        <v>5</v>
      </c>
      <c r="K33" s="447">
        <v>9</v>
      </c>
      <c r="L33" s="445" t="s">
        <v>75</v>
      </c>
      <c r="M33" s="445">
        <v>3</v>
      </c>
      <c r="N33" s="445" t="s">
        <v>303</v>
      </c>
      <c r="O33" s="461" t="s">
        <v>993</v>
      </c>
      <c r="P33" s="450">
        <v>4.0439999999999996</v>
      </c>
      <c r="Q33" s="451">
        <f>P33</f>
        <v>4.0439999999999996</v>
      </c>
      <c r="R33" s="451">
        <f>SUMIF('Wege im Detail'!$A:$A,"1993",'Wege im Detail'!$P:$P)</f>
        <v>82.712000000000003</v>
      </c>
      <c r="S33" s="452" t="s">
        <v>76</v>
      </c>
      <c r="T33" s="453">
        <v>42917</v>
      </c>
      <c r="U33" s="448"/>
      <c r="V33" s="457"/>
      <c r="W33" s="448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  <c r="AV33" s="455"/>
      <c r="AW33" s="455"/>
      <c r="AX33" s="455"/>
      <c r="AY33" s="455"/>
      <c r="AZ33" s="455"/>
      <c r="BA33" s="455"/>
      <c r="BB33" s="455"/>
      <c r="BC33" s="455"/>
      <c r="BD33" s="455"/>
      <c r="BE33" s="455"/>
      <c r="BF33" s="455"/>
      <c r="BG33" s="455"/>
      <c r="BH33" s="455"/>
      <c r="BI33" s="455"/>
      <c r="BJ33" s="455"/>
      <c r="BK33" s="455"/>
      <c r="BL33" s="455"/>
      <c r="BM33" s="455"/>
      <c r="BN33" s="455"/>
      <c r="BO33" s="455"/>
      <c r="BP33" s="455"/>
      <c r="BQ33" s="455"/>
      <c r="BR33" s="455"/>
      <c r="BS33" s="455"/>
      <c r="BT33" s="455"/>
      <c r="BU33" s="455"/>
      <c r="BV33" s="455"/>
      <c r="BW33" s="455"/>
      <c r="BX33" s="455"/>
      <c r="BY33" s="455"/>
      <c r="BZ33" s="455"/>
      <c r="CA33" s="455"/>
      <c r="CB33" s="455"/>
      <c r="CC33" s="455"/>
      <c r="CD33" s="455"/>
      <c r="CE33" s="455"/>
      <c r="CF33" s="455"/>
      <c r="CG33" s="455"/>
      <c r="CH33" s="455"/>
      <c r="CI33" s="455"/>
      <c r="CJ33" s="455"/>
      <c r="CK33" s="455"/>
      <c r="CL33" s="455"/>
      <c r="CM33" s="455"/>
      <c r="CN33" s="455"/>
      <c r="CO33" s="455"/>
      <c r="CP33" s="455"/>
      <c r="CQ33" s="455"/>
      <c r="CR33" s="455"/>
      <c r="CS33" s="455"/>
      <c r="CT33" s="455"/>
      <c r="CU33" s="455"/>
      <c r="CV33" s="455"/>
      <c r="CW33" s="455"/>
      <c r="CX33" s="455"/>
      <c r="CY33" s="455"/>
      <c r="CZ33" s="455"/>
      <c r="DA33" s="455"/>
      <c r="DB33" s="455"/>
      <c r="DC33" s="455"/>
      <c r="DD33" s="455"/>
      <c r="DE33" s="455"/>
      <c r="DF33" s="455"/>
      <c r="DG33" s="455"/>
      <c r="DH33" s="455"/>
      <c r="DI33" s="455"/>
      <c r="DJ33" s="455"/>
      <c r="DK33" s="455"/>
      <c r="DL33" s="455"/>
      <c r="DM33" s="455"/>
      <c r="DN33" s="455"/>
      <c r="DO33" s="455"/>
      <c r="DP33" s="455"/>
      <c r="DQ33" s="455"/>
      <c r="DR33" s="455"/>
      <c r="DS33" s="455"/>
      <c r="DT33" s="455"/>
      <c r="DU33" s="455"/>
      <c r="DV33" s="455"/>
      <c r="DW33" s="455"/>
      <c r="DX33" s="455"/>
      <c r="DY33" s="455"/>
      <c r="DZ33" s="455"/>
      <c r="EA33" s="455"/>
      <c r="EB33" s="455"/>
      <c r="EC33" s="455"/>
      <c r="ED33" s="455"/>
      <c r="EE33" s="455"/>
      <c r="EF33" s="455"/>
      <c r="EG33" s="455"/>
      <c r="EH33" s="455"/>
      <c r="EI33" s="455"/>
      <c r="EJ33" s="455"/>
      <c r="EK33" s="455"/>
      <c r="EL33" s="455"/>
      <c r="EM33" s="455"/>
      <c r="EN33" s="455"/>
      <c r="EO33" s="455"/>
      <c r="EP33" s="455"/>
      <c r="EQ33" s="455"/>
      <c r="ER33" s="455"/>
      <c r="ES33" s="455"/>
      <c r="ET33" s="455"/>
      <c r="EU33" s="455"/>
      <c r="EV33" s="455"/>
      <c r="EW33" s="455"/>
      <c r="EX33" s="455"/>
      <c r="EY33" s="455"/>
      <c r="EZ33" s="455"/>
      <c r="FA33" s="455"/>
      <c r="FB33" s="455"/>
      <c r="FC33" s="455"/>
      <c r="FD33" s="455"/>
      <c r="FE33" s="455"/>
      <c r="FF33" s="455"/>
      <c r="FG33" s="455"/>
      <c r="FH33" s="455"/>
      <c r="FI33" s="455"/>
      <c r="FJ33" s="455"/>
      <c r="FK33" s="455"/>
      <c r="FL33" s="455"/>
      <c r="FM33" s="455"/>
      <c r="FN33" s="455"/>
      <c r="FO33" s="455"/>
      <c r="FP33" s="455"/>
      <c r="FQ33" s="455"/>
      <c r="FR33" s="455"/>
      <c r="FS33" s="455"/>
      <c r="FT33" s="455"/>
      <c r="FU33" s="455"/>
      <c r="FV33" s="455"/>
      <c r="FW33" s="455"/>
      <c r="FX33" s="455"/>
      <c r="FY33" s="455"/>
      <c r="FZ33" s="455"/>
      <c r="GA33" s="455"/>
      <c r="GB33" s="455"/>
      <c r="GC33" s="455"/>
      <c r="GD33" s="455"/>
      <c r="GE33" s="455"/>
      <c r="GF33" s="455"/>
      <c r="GG33" s="455"/>
      <c r="GH33" s="455"/>
      <c r="GI33" s="455"/>
      <c r="GJ33" s="455"/>
      <c r="GK33" s="455"/>
      <c r="GL33" s="455"/>
      <c r="GM33" s="455"/>
      <c r="GN33" s="455"/>
      <c r="GO33" s="455"/>
      <c r="GP33" s="455"/>
      <c r="GQ33" s="455"/>
      <c r="GR33" s="455"/>
      <c r="GS33" s="455"/>
      <c r="GT33" s="455"/>
      <c r="GU33" s="455"/>
      <c r="GV33" s="455"/>
      <c r="GW33" s="455"/>
      <c r="GX33" s="455"/>
      <c r="GY33" s="455"/>
      <c r="GZ33" s="455"/>
      <c r="HA33" s="455"/>
      <c r="HB33" s="455"/>
      <c r="HC33" s="455"/>
      <c r="HD33" s="455"/>
      <c r="HE33" s="455"/>
      <c r="HF33" s="455"/>
      <c r="HG33" s="455"/>
      <c r="HH33" s="455"/>
      <c r="HI33" s="455"/>
      <c r="HJ33" s="455"/>
      <c r="HK33" s="455"/>
      <c r="HL33" s="455"/>
      <c r="HM33" s="455"/>
      <c r="HN33" s="455"/>
      <c r="HO33" s="455"/>
      <c r="HP33" s="455"/>
      <c r="HQ33" s="455"/>
      <c r="HR33" s="455"/>
      <c r="HS33" s="455"/>
      <c r="HT33" s="455"/>
      <c r="HU33" s="455"/>
      <c r="HV33" s="455"/>
      <c r="HW33" s="455"/>
      <c r="HX33" s="455"/>
      <c r="HY33" s="455"/>
      <c r="HZ33" s="455"/>
      <c r="IA33" s="455"/>
      <c r="IB33" s="455"/>
      <c r="IC33" s="455"/>
      <c r="ID33" s="455"/>
      <c r="IE33" s="455"/>
      <c r="IF33" s="455"/>
      <c r="IG33" s="455"/>
      <c r="IH33" s="455"/>
      <c r="II33" s="455"/>
      <c r="IJ33" s="455"/>
      <c r="IK33" s="455"/>
      <c r="IL33" s="455"/>
      <c r="IM33" s="455"/>
      <c r="IN33" s="455"/>
      <c r="IO33" s="455"/>
      <c r="IP33" s="455"/>
      <c r="IQ33" s="455"/>
      <c r="IR33" s="455"/>
      <c r="IS33" s="455"/>
    </row>
    <row r="34" spans="1:253" s="458" customFormat="1" ht="56.25" x14ac:dyDescent="0.2">
      <c r="A34" s="444">
        <v>1993</v>
      </c>
      <c r="B34" s="445" t="s">
        <v>51</v>
      </c>
      <c r="C34" s="445" t="s">
        <v>52</v>
      </c>
      <c r="D34" s="445"/>
      <c r="E34" s="445"/>
      <c r="F34" s="445"/>
      <c r="G34" s="446">
        <v>4</v>
      </c>
      <c r="H34" s="445">
        <v>5</v>
      </c>
      <c r="I34" s="445"/>
      <c r="J34" s="445">
        <v>6</v>
      </c>
      <c r="K34" s="447">
        <v>9</v>
      </c>
      <c r="L34" s="445" t="s">
        <v>75</v>
      </c>
      <c r="M34" s="445">
        <v>3</v>
      </c>
      <c r="N34" s="445" t="s">
        <v>351</v>
      </c>
      <c r="O34" s="461" t="s">
        <v>994</v>
      </c>
      <c r="P34" s="450">
        <v>7.5049999999999999</v>
      </c>
      <c r="Q34" s="451"/>
      <c r="R34" s="451">
        <f>SUMIF('Wege im Detail'!$A:$A,"1993",'Wege im Detail'!$P:$P)</f>
        <v>82.712000000000003</v>
      </c>
      <c r="S34" s="452" t="s">
        <v>76</v>
      </c>
      <c r="T34" s="453">
        <v>42917</v>
      </c>
      <c r="U34" s="448"/>
      <c r="V34" s="457"/>
      <c r="W34" s="448"/>
      <c r="X34" s="455"/>
      <c r="Y34" s="455"/>
      <c r="Z34" s="455"/>
      <c r="AA34" s="455"/>
      <c r="AB34" s="455"/>
      <c r="AC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  <c r="AO34" s="455"/>
      <c r="AP34" s="455"/>
      <c r="AQ34" s="455"/>
      <c r="AR34" s="455"/>
      <c r="AS34" s="455"/>
      <c r="AT34" s="455"/>
      <c r="AU34" s="455"/>
      <c r="AV34" s="455"/>
      <c r="AW34" s="455"/>
      <c r="AX34" s="455"/>
      <c r="AY34" s="455"/>
      <c r="AZ34" s="455"/>
      <c r="BA34" s="455"/>
      <c r="BB34" s="455"/>
      <c r="BC34" s="455"/>
      <c r="BD34" s="455"/>
      <c r="BE34" s="455"/>
      <c r="BF34" s="455"/>
      <c r="BG34" s="455"/>
      <c r="BH34" s="455"/>
      <c r="BI34" s="455"/>
      <c r="BJ34" s="455"/>
      <c r="BK34" s="455"/>
      <c r="BL34" s="455"/>
      <c r="BM34" s="455"/>
      <c r="BN34" s="455"/>
      <c r="BO34" s="455"/>
      <c r="BP34" s="455"/>
      <c r="BQ34" s="455"/>
      <c r="BR34" s="455"/>
      <c r="BS34" s="455"/>
      <c r="BT34" s="455"/>
      <c r="BU34" s="455"/>
      <c r="BV34" s="455"/>
      <c r="BW34" s="455"/>
      <c r="BX34" s="455"/>
      <c r="BY34" s="455"/>
      <c r="BZ34" s="455"/>
      <c r="CA34" s="455"/>
      <c r="CB34" s="455"/>
      <c r="CC34" s="455"/>
      <c r="CD34" s="455"/>
      <c r="CE34" s="455"/>
      <c r="CF34" s="455"/>
      <c r="CG34" s="455"/>
      <c r="CH34" s="455"/>
      <c r="CI34" s="455"/>
      <c r="CJ34" s="455"/>
      <c r="CK34" s="455"/>
      <c r="CL34" s="455"/>
      <c r="CM34" s="455"/>
      <c r="CN34" s="455"/>
      <c r="CO34" s="455"/>
      <c r="CP34" s="455"/>
      <c r="CQ34" s="455"/>
      <c r="CR34" s="455"/>
      <c r="CS34" s="455"/>
      <c r="CT34" s="455"/>
      <c r="CU34" s="455"/>
      <c r="CV34" s="455"/>
      <c r="CW34" s="455"/>
      <c r="CX34" s="455"/>
      <c r="CY34" s="455"/>
      <c r="CZ34" s="455"/>
      <c r="DA34" s="455"/>
      <c r="DB34" s="455"/>
      <c r="DC34" s="455"/>
      <c r="DD34" s="455"/>
      <c r="DE34" s="455"/>
      <c r="DF34" s="455"/>
      <c r="DG34" s="455"/>
      <c r="DH34" s="455"/>
      <c r="DI34" s="455"/>
      <c r="DJ34" s="455"/>
      <c r="DK34" s="455"/>
      <c r="DL34" s="455"/>
      <c r="DM34" s="455"/>
      <c r="DN34" s="455"/>
      <c r="DO34" s="455"/>
      <c r="DP34" s="455"/>
      <c r="DQ34" s="455"/>
      <c r="DR34" s="455"/>
      <c r="DS34" s="455"/>
      <c r="DT34" s="455"/>
      <c r="DU34" s="455"/>
      <c r="DV34" s="455"/>
      <c r="DW34" s="455"/>
      <c r="DX34" s="455"/>
      <c r="DY34" s="455"/>
      <c r="DZ34" s="455"/>
      <c r="EA34" s="455"/>
      <c r="EB34" s="455"/>
      <c r="EC34" s="455"/>
      <c r="ED34" s="455"/>
      <c r="EE34" s="455"/>
      <c r="EF34" s="455"/>
      <c r="EG34" s="455"/>
      <c r="EH34" s="455"/>
      <c r="EI34" s="455"/>
      <c r="EJ34" s="455"/>
      <c r="EK34" s="455"/>
      <c r="EL34" s="455"/>
      <c r="EM34" s="455"/>
      <c r="EN34" s="455"/>
      <c r="EO34" s="455"/>
      <c r="EP34" s="455"/>
      <c r="EQ34" s="455"/>
      <c r="ER34" s="455"/>
      <c r="ES34" s="455"/>
      <c r="ET34" s="455"/>
      <c r="EU34" s="455"/>
      <c r="EV34" s="455"/>
      <c r="EW34" s="455"/>
      <c r="EX34" s="455"/>
      <c r="EY34" s="455"/>
      <c r="EZ34" s="455"/>
      <c r="FA34" s="455"/>
      <c r="FB34" s="455"/>
      <c r="FC34" s="455"/>
      <c r="FD34" s="455"/>
      <c r="FE34" s="455"/>
      <c r="FF34" s="455"/>
      <c r="FG34" s="455"/>
      <c r="FH34" s="455"/>
      <c r="FI34" s="455"/>
      <c r="FJ34" s="455"/>
      <c r="FK34" s="455"/>
      <c r="FL34" s="455"/>
      <c r="FM34" s="455"/>
      <c r="FN34" s="455"/>
      <c r="FO34" s="455"/>
      <c r="FP34" s="455"/>
      <c r="FQ34" s="455"/>
      <c r="FR34" s="455"/>
      <c r="FS34" s="455"/>
      <c r="FT34" s="455"/>
      <c r="FU34" s="455"/>
      <c r="FV34" s="455"/>
      <c r="FW34" s="455"/>
      <c r="FX34" s="455"/>
      <c r="FY34" s="455"/>
      <c r="FZ34" s="455"/>
      <c r="GA34" s="455"/>
      <c r="GB34" s="455"/>
      <c r="GC34" s="455"/>
      <c r="GD34" s="455"/>
      <c r="GE34" s="455"/>
      <c r="GF34" s="455"/>
      <c r="GG34" s="455"/>
      <c r="GH34" s="455"/>
      <c r="GI34" s="455"/>
      <c r="GJ34" s="455"/>
      <c r="GK34" s="455"/>
      <c r="GL34" s="455"/>
      <c r="GM34" s="455"/>
      <c r="GN34" s="455"/>
      <c r="GO34" s="455"/>
      <c r="GP34" s="455"/>
      <c r="GQ34" s="455"/>
      <c r="GR34" s="455"/>
      <c r="GS34" s="455"/>
      <c r="GT34" s="455"/>
      <c r="GU34" s="455"/>
      <c r="GV34" s="455"/>
      <c r="GW34" s="455"/>
      <c r="GX34" s="455"/>
      <c r="GY34" s="455"/>
      <c r="GZ34" s="455"/>
      <c r="HA34" s="455"/>
      <c r="HB34" s="455"/>
      <c r="HC34" s="455"/>
      <c r="HD34" s="455"/>
      <c r="HE34" s="455"/>
      <c r="HF34" s="455"/>
      <c r="HG34" s="455"/>
      <c r="HH34" s="455"/>
      <c r="HI34" s="455"/>
      <c r="HJ34" s="455"/>
      <c r="HK34" s="455"/>
      <c r="HL34" s="455"/>
      <c r="HM34" s="455"/>
      <c r="HN34" s="455"/>
      <c r="HO34" s="455"/>
      <c r="HP34" s="455"/>
      <c r="HQ34" s="455"/>
      <c r="HR34" s="455"/>
      <c r="HS34" s="455"/>
      <c r="HT34" s="455"/>
      <c r="HU34" s="455"/>
      <c r="HV34" s="455"/>
      <c r="HW34" s="455"/>
      <c r="HX34" s="455"/>
      <c r="HY34" s="455"/>
      <c r="HZ34" s="455"/>
      <c r="IA34" s="455"/>
      <c r="IB34" s="455"/>
      <c r="IC34" s="455"/>
      <c r="ID34" s="455"/>
      <c r="IE34" s="455"/>
      <c r="IF34" s="455"/>
      <c r="IG34" s="455"/>
      <c r="IH34" s="455"/>
      <c r="II34" s="455"/>
      <c r="IJ34" s="455"/>
      <c r="IK34" s="455"/>
      <c r="IL34" s="455"/>
      <c r="IM34" s="455"/>
      <c r="IN34" s="455"/>
      <c r="IO34" s="455"/>
      <c r="IP34" s="455"/>
      <c r="IQ34" s="455"/>
      <c r="IR34" s="455"/>
      <c r="IS34" s="455"/>
    </row>
    <row r="35" spans="1:253" s="458" customFormat="1" ht="56.25" x14ac:dyDescent="0.2">
      <c r="A35" s="444">
        <v>1993</v>
      </c>
      <c r="B35" s="445" t="s">
        <v>51</v>
      </c>
      <c r="C35" s="445" t="s">
        <v>52</v>
      </c>
      <c r="D35" s="445"/>
      <c r="E35" s="445"/>
      <c r="F35" s="445"/>
      <c r="G35" s="446">
        <v>4</v>
      </c>
      <c r="H35" s="445">
        <v>5</v>
      </c>
      <c r="I35" s="445"/>
      <c r="J35" s="445">
        <v>7</v>
      </c>
      <c r="K35" s="447">
        <v>9</v>
      </c>
      <c r="L35" s="445" t="s">
        <v>75</v>
      </c>
      <c r="M35" s="445">
        <v>3</v>
      </c>
      <c r="N35" s="445" t="s">
        <v>466</v>
      </c>
      <c r="O35" s="461" t="s">
        <v>995</v>
      </c>
      <c r="P35" s="450">
        <v>14.387</v>
      </c>
      <c r="Q35" s="451">
        <f t="shared" ref="Q35:Q78" si="2">P35</f>
        <v>14.387</v>
      </c>
      <c r="R35" s="451">
        <f>SUMIF('Wege im Detail'!$A:$A,"1993",'Wege im Detail'!$P:$P)</f>
        <v>82.712000000000003</v>
      </c>
      <c r="S35" s="452" t="s">
        <v>76</v>
      </c>
      <c r="T35" s="453">
        <v>42917</v>
      </c>
      <c r="U35" s="448"/>
      <c r="V35" s="457"/>
      <c r="W35" s="448"/>
    </row>
    <row r="36" spans="1:253" s="458" customFormat="1" ht="45" x14ac:dyDescent="0.2">
      <c r="A36" s="444">
        <v>1993</v>
      </c>
      <c r="B36" s="445" t="s">
        <v>51</v>
      </c>
      <c r="C36" s="445" t="s">
        <v>52</v>
      </c>
      <c r="D36" s="445"/>
      <c r="E36" s="445"/>
      <c r="F36" s="445"/>
      <c r="G36" s="446">
        <v>4</v>
      </c>
      <c r="H36" s="445">
        <v>5</v>
      </c>
      <c r="I36" s="445"/>
      <c r="J36" s="445">
        <v>8</v>
      </c>
      <c r="K36" s="447">
        <v>9</v>
      </c>
      <c r="L36" s="445" t="s">
        <v>75</v>
      </c>
      <c r="M36" s="445">
        <v>3</v>
      </c>
      <c r="N36" s="445" t="s">
        <v>106</v>
      </c>
      <c r="O36" s="461" t="s">
        <v>996</v>
      </c>
      <c r="P36" s="450">
        <v>9.0449999999999999</v>
      </c>
      <c r="Q36" s="451">
        <f t="shared" si="2"/>
        <v>9.0449999999999999</v>
      </c>
      <c r="R36" s="451">
        <f>SUMIF('Wege im Detail'!$A:$A,"1993",'Wege im Detail'!$P:$P)</f>
        <v>82.712000000000003</v>
      </c>
      <c r="S36" s="452" t="s">
        <v>76</v>
      </c>
      <c r="T36" s="453">
        <v>42917</v>
      </c>
      <c r="U36" s="448"/>
      <c r="V36" s="457"/>
      <c r="W36" s="448"/>
      <c r="X36" s="455"/>
      <c r="Y36" s="455"/>
      <c r="Z36" s="455"/>
      <c r="AA36" s="455"/>
      <c r="AB36" s="45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5"/>
      <c r="AS36" s="455"/>
      <c r="AT36" s="455"/>
      <c r="AU36" s="455"/>
      <c r="AV36" s="455"/>
      <c r="AW36" s="455"/>
      <c r="AX36" s="455"/>
      <c r="AY36" s="455"/>
      <c r="AZ36" s="455"/>
      <c r="BA36" s="455"/>
      <c r="BB36" s="455"/>
      <c r="BC36" s="455"/>
      <c r="BD36" s="455"/>
      <c r="BE36" s="455"/>
      <c r="BF36" s="455"/>
      <c r="BG36" s="455"/>
      <c r="BH36" s="455"/>
      <c r="BI36" s="455"/>
      <c r="BJ36" s="455"/>
      <c r="BK36" s="455"/>
      <c r="BL36" s="455"/>
      <c r="BM36" s="455"/>
      <c r="BN36" s="455"/>
      <c r="BO36" s="455"/>
      <c r="BP36" s="455"/>
      <c r="BQ36" s="455"/>
      <c r="BR36" s="455"/>
      <c r="BS36" s="455"/>
      <c r="BT36" s="455"/>
      <c r="BU36" s="455"/>
      <c r="BV36" s="455"/>
      <c r="BW36" s="455"/>
      <c r="BX36" s="455"/>
      <c r="BY36" s="455"/>
      <c r="BZ36" s="455"/>
      <c r="CA36" s="455"/>
      <c r="CB36" s="455"/>
      <c r="CC36" s="455"/>
      <c r="CD36" s="455"/>
      <c r="CE36" s="455"/>
      <c r="CF36" s="455"/>
      <c r="CG36" s="455"/>
      <c r="CH36" s="455"/>
      <c r="CI36" s="455"/>
      <c r="CJ36" s="455"/>
      <c r="CK36" s="455"/>
      <c r="CL36" s="455"/>
      <c r="CM36" s="455"/>
      <c r="CN36" s="455"/>
      <c r="CO36" s="455"/>
      <c r="CP36" s="455"/>
      <c r="CQ36" s="455"/>
      <c r="CR36" s="455"/>
      <c r="CS36" s="455"/>
      <c r="CT36" s="455"/>
      <c r="CU36" s="455"/>
      <c r="CV36" s="455"/>
      <c r="CW36" s="455"/>
      <c r="CX36" s="455"/>
      <c r="CY36" s="455"/>
      <c r="CZ36" s="455"/>
      <c r="DA36" s="455"/>
      <c r="DB36" s="455"/>
      <c r="DC36" s="455"/>
      <c r="DD36" s="455"/>
      <c r="DE36" s="455"/>
      <c r="DF36" s="455"/>
      <c r="DG36" s="455"/>
      <c r="DH36" s="455"/>
      <c r="DI36" s="455"/>
      <c r="DJ36" s="455"/>
      <c r="DK36" s="455"/>
      <c r="DL36" s="455"/>
      <c r="DM36" s="455"/>
      <c r="DN36" s="455"/>
      <c r="DO36" s="455"/>
      <c r="DP36" s="455"/>
      <c r="DQ36" s="455"/>
      <c r="DR36" s="455"/>
      <c r="DS36" s="455"/>
      <c r="DT36" s="455"/>
      <c r="DU36" s="455"/>
      <c r="DV36" s="455"/>
      <c r="DW36" s="455"/>
      <c r="DX36" s="455"/>
      <c r="DY36" s="455"/>
      <c r="DZ36" s="455"/>
      <c r="EA36" s="455"/>
      <c r="EB36" s="455"/>
      <c r="EC36" s="455"/>
      <c r="ED36" s="455"/>
      <c r="EE36" s="455"/>
      <c r="EF36" s="455"/>
      <c r="EG36" s="455"/>
      <c r="EH36" s="455"/>
      <c r="EI36" s="455"/>
      <c r="EJ36" s="455"/>
      <c r="EK36" s="455"/>
      <c r="EL36" s="455"/>
      <c r="EM36" s="455"/>
      <c r="EN36" s="455"/>
      <c r="EO36" s="455"/>
      <c r="EP36" s="455"/>
      <c r="EQ36" s="455"/>
      <c r="ER36" s="455"/>
      <c r="ES36" s="455"/>
      <c r="ET36" s="455"/>
      <c r="EU36" s="455"/>
      <c r="EV36" s="455"/>
      <c r="EW36" s="455"/>
      <c r="EX36" s="455"/>
      <c r="EY36" s="455"/>
      <c r="EZ36" s="455"/>
      <c r="FA36" s="455"/>
      <c r="FB36" s="455"/>
      <c r="FC36" s="455"/>
      <c r="FD36" s="455"/>
      <c r="FE36" s="455"/>
      <c r="FF36" s="455"/>
      <c r="FG36" s="455"/>
      <c r="FH36" s="455"/>
      <c r="FI36" s="455"/>
      <c r="FJ36" s="455"/>
      <c r="FK36" s="455"/>
      <c r="FL36" s="455"/>
      <c r="FM36" s="455"/>
      <c r="FN36" s="455"/>
      <c r="FO36" s="455"/>
      <c r="FP36" s="455"/>
      <c r="FQ36" s="455"/>
      <c r="FR36" s="455"/>
      <c r="FS36" s="455"/>
      <c r="FT36" s="455"/>
      <c r="FU36" s="455"/>
      <c r="FV36" s="455"/>
      <c r="FW36" s="455"/>
      <c r="FX36" s="455"/>
      <c r="FY36" s="455"/>
      <c r="FZ36" s="455"/>
      <c r="GA36" s="455"/>
      <c r="GB36" s="455"/>
      <c r="GC36" s="455"/>
      <c r="GD36" s="455"/>
      <c r="GE36" s="455"/>
      <c r="GF36" s="455"/>
      <c r="GG36" s="455"/>
      <c r="GH36" s="455"/>
      <c r="GI36" s="455"/>
      <c r="GJ36" s="455"/>
      <c r="GK36" s="455"/>
      <c r="GL36" s="455"/>
      <c r="GM36" s="455"/>
      <c r="GN36" s="455"/>
      <c r="GO36" s="455"/>
      <c r="GP36" s="455"/>
      <c r="GQ36" s="455"/>
      <c r="GR36" s="455"/>
      <c r="GS36" s="455"/>
      <c r="GT36" s="455"/>
      <c r="GU36" s="455"/>
      <c r="GV36" s="455"/>
      <c r="GW36" s="455"/>
      <c r="GX36" s="455"/>
      <c r="GY36" s="455"/>
      <c r="GZ36" s="455"/>
      <c r="HA36" s="455"/>
      <c r="HB36" s="455"/>
      <c r="HC36" s="455"/>
      <c r="HD36" s="455"/>
      <c r="HE36" s="455"/>
      <c r="HF36" s="455"/>
      <c r="HG36" s="455"/>
      <c r="HH36" s="455"/>
      <c r="HI36" s="455"/>
      <c r="HJ36" s="455"/>
      <c r="HK36" s="455"/>
      <c r="HL36" s="455"/>
      <c r="HM36" s="455"/>
      <c r="HN36" s="455"/>
      <c r="HO36" s="455"/>
      <c r="HP36" s="455"/>
      <c r="HQ36" s="455"/>
      <c r="HR36" s="455"/>
      <c r="HS36" s="455"/>
      <c r="HT36" s="455"/>
      <c r="HU36" s="455"/>
      <c r="HV36" s="455"/>
      <c r="HW36" s="455"/>
      <c r="HX36" s="455"/>
      <c r="HY36" s="455"/>
      <c r="HZ36" s="455"/>
      <c r="IA36" s="455"/>
      <c r="IB36" s="455"/>
      <c r="IC36" s="455"/>
      <c r="ID36" s="455"/>
      <c r="IE36" s="455"/>
      <c r="IF36" s="455"/>
      <c r="IG36" s="455"/>
      <c r="IH36" s="455"/>
      <c r="II36" s="455"/>
      <c r="IJ36" s="455"/>
      <c r="IK36" s="455"/>
      <c r="IL36" s="455"/>
      <c r="IM36" s="455"/>
      <c r="IN36" s="455"/>
      <c r="IO36" s="455"/>
      <c r="IP36" s="455"/>
      <c r="IQ36" s="455"/>
      <c r="IR36" s="455"/>
      <c r="IS36" s="455"/>
    </row>
    <row r="37" spans="1:253" s="455" customFormat="1" ht="45" x14ac:dyDescent="0.2">
      <c r="A37" s="444">
        <v>1993</v>
      </c>
      <c r="B37" s="445" t="s">
        <v>51</v>
      </c>
      <c r="C37" s="445" t="s">
        <v>52</v>
      </c>
      <c r="D37" s="445"/>
      <c r="E37" s="445"/>
      <c r="F37" s="445"/>
      <c r="G37" s="446">
        <v>4</v>
      </c>
      <c r="H37" s="445">
        <v>5</v>
      </c>
      <c r="I37" s="445"/>
      <c r="J37" s="445">
        <v>9</v>
      </c>
      <c r="K37" s="447">
        <v>9</v>
      </c>
      <c r="L37" s="445" t="s">
        <v>75</v>
      </c>
      <c r="M37" s="445">
        <v>2</v>
      </c>
      <c r="N37" s="445" t="s">
        <v>454</v>
      </c>
      <c r="O37" s="461" t="s">
        <v>997</v>
      </c>
      <c r="P37" s="450">
        <v>15.53</v>
      </c>
      <c r="Q37" s="451">
        <f t="shared" si="2"/>
        <v>15.53</v>
      </c>
      <c r="R37" s="451">
        <f>SUMIF('Wege im Detail'!$A:$A,"1993",'Wege im Detail'!$P:$P)</f>
        <v>82.712000000000003</v>
      </c>
      <c r="S37" s="452" t="s">
        <v>76</v>
      </c>
      <c r="T37" s="453">
        <v>42917</v>
      </c>
      <c r="U37" s="448"/>
      <c r="V37" s="457"/>
      <c r="W37" s="448"/>
      <c r="X37" s="458"/>
      <c r="Y37" s="458"/>
      <c r="Z37" s="458"/>
      <c r="AA37" s="458"/>
      <c r="AB37" s="458"/>
      <c r="AC37" s="458"/>
      <c r="AD37" s="458"/>
      <c r="AE37" s="458"/>
      <c r="AF37" s="458"/>
      <c r="AG37" s="458"/>
      <c r="AH37" s="458"/>
      <c r="AI37" s="458"/>
      <c r="AJ37" s="458"/>
      <c r="AK37" s="458"/>
      <c r="AL37" s="458"/>
      <c r="AM37" s="458"/>
      <c r="AN37" s="458"/>
      <c r="AO37" s="458"/>
      <c r="AP37" s="458"/>
      <c r="AQ37" s="458"/>
      <c r="AR37" s="458"/>
      <c r="AS37" s="458"/>
      <c r="AT37" s="458"/>
      <c r="AU37" s="458"/>
      <c r="AV37" s="458"/>
      <c r="AW37" s="458"/>
      <c r="AX37" s="458"/>
      <c r="AY37" s="458"/>
      <c r="AZ37" s="458"/>
      <c r="BA37" s="458"/>
      <c r="BB37" s="458"/>
      <c r="BC37" s="458"/>
      <c r="BD37" s="458"/>
      <c r="BE37" s="458"/>
      <c r="BF37" s="458"/>
      <c r="BG37" s="458"/>
      <c r="BH37" s="458"/>
      <c r="BI37" s="458"/>
      <c r="BJ37" s="458"/>
      <c r="BK37" s="458"/>
      <c r="BL37" s="458"/>
      <c r="BM37" s="458"/>
      <c r="BN37" s="458"/>
      <c r="BO37" s="458"/>
      <c r="BP37" s="458"/>
      <c r="BQ37" s="458"/>
      <c r="BR37" s="458"/>
      <c r="BS37" s="458"/>
      <c r="BT37" s="458"/>
      <c r="BU37" s="458"/>
      <c r="BV37" s="458"/>
      <c r="BW37" s="458"/>
      <c r="BX37" s="458"/>
      <c r="BY37" s="458"/>
      <c r="BZ37" s="458"/>
      <c r="CA37" s="458"/>
      <c r="CB37" s="458"/>
      <c r="CC37" s="458"/>
      <c r="CD37" s="458"/>
      <c r="CE37" s="458"/>
      <c r="CF37" s="458"/>
      <c r="CG37" s="458"/>
      <c r="CH37" s="458"/>
      <c r="CI37" s="458"/>
      <c r="CJ37" s="458"/>
      <c r="CK37" s="458"/>
      <c r="CL37" s="458"/>
      <c r="CM37" s="458"/>
      <c r="CN37" s="458"/>
      <c r="CO37" s="458"/>
      <c r="CP37" s="458"/>
      <c r="CQ37" s="458"/>
      <c r="CR37" s="458"/>
      <c r="CS37" s="458"/>
      <c r="CT37" s="458"/>
      <c r="CU37" s="458"/>
      <c r="CV37" s="458"/>
      <c r="CW37" s="458"/>
      <c r="CX37" s="458"/>
      <c r="CY37" s="458"/>
      <c r="CZ37" s="458"/>
      <c r="DA37" s="458"/>
      <c r="DB37" s="458"/>
      <c r="DC37" s="458"/>
      <c r="DD37" s="458"/>
      <c r="DE37" s="458"/>
      <c r="DF37" s="458"/>
      <c r="DG37" s="458"/>
      <c r="DH37" s="458"/>
      <c r="DI37" s="458"/>
      <c r="DJ37" s="458"/>
      <c r="DK37" s="458"/>
      <c r="DL37" s="458"/>
      <c r="DM37" s="458"/>
      <c r="DN37" s="458"/>
      <c r="DO37" s="458"/>
      <c r="DP37" s="458"/>
      <c r="DQ37" s="458"/>
      <c r="DR37" s="458"/>
      <c r="DS37" s="458"/>
      <c r="DT37" s="458"/>
      <c r="DU37" s="458"/>
      <c r="DV37" s="458"/>
      <c r="DW37" s="458"/>
      <c r="DX37" s="458"/>
      <c r="DY37" s="458"/>
      <c r="DZ37" s="458"/>
      <c r="EA37" s="458"/>
      <c r="EB37" s="458"/>
      <c r="EC37" s="458"/>
      <c r="ED37" s="458"/>
      <c r="EE37" s="458"/>
      <c r="EF37" s="458"/>
      <c r="EG37" s="458"/>
      <c r="EH37" s="458"/>
      <c r="EI37" s="458"/>
      <c r="EJ37" s="458"/>
      <c r="EK37" s="458"/>
      <c r="EL37" s="458"/>
      <c r="EM37" s="458"/>
      <c r="EN37" s="458"/>
      <c r="EO37" s="458"/>
      <c r="EP37" s="458"/>
      <c r="EQ37" s="458"/>
      <c r="ER37" s="458"/>
      <c r="ES37" s="458"/>
      <c r="ET37" s="458"/>
      <c r="EU37" s="458"/>
      <c r="EV37" s="458"/>
      <c r="EW37" s="458"/>
      <c r="EX37" s="458"/>
      <c r="EY37" s="458"/>
      <c r="EZ37" s="458"/>
      <c r="FA37" s="458"/>
      <c r="FB37" s="458"/>
      <c r="FC37" s="458"/>
      <c r="FD37" s="458"/>
      <c r="FE37" s="458"/>
      <c r="FF37" s="458"/>
      <c r="FG37" s="458"/>
      <c r="FH37" s="458"/>
      <c r="FI37" s="458"/>
      <c r="FJ37" s="458"/>
      <c r="FK37" s="458"/>
      <c r="FL37" s="458"/>
      <c r="FM37" s="458"/>
      <c r="FN37" s="458"/>
      <c r="FO37" s="458"/>
      <c r="FP37" s="458"/>
      <c r="FQ37" s="458"/>
      <c r="FR37" s="458"/>
      <c r="FS37" s="458"/>
      <c r="FT37" s="458"/>
      <c r="FU37" s="458"/>
      <c r="FV37" s="458"/>
      <c r="FW37" s="458"/>
      <c r="FX37" s="458"/>
      <c r="FY37" s="458"/>
      <c r="FZ37" s="458"/>
      <c r="GA37" s="458"/>
      <c r="GB37" s="458"/>
      <c r="GC37" s="458"/>
      <c r="GD37" s="458"/>
      <c r="GE37" s="458"/>
      <c r="GF37" s="458"/>
      <c r="GG37" s="458"/>
      <c r="GH37" s="458"/>
      <c r="GI37" s="458"/>
      <c r="GJ37" s="458"/>
      <c r="GK37" s="458"/>
      <c r="GL37" s="458"/>
      <c r="GM37" s="458"/>
      <c r="GN37" s="458"/>
      <c r="GO37" s="458"/>
      <c r="GP37" s="458"/>
      <c r="GQ37" s="458"/>
      <c r="GR37" s="458"/>
      <c r="GS37" s="458"/>
      <c r="GT37" s="458"/>
      <c r="GU37" s="458"/>
      <c r="GV37" s="458"/>
      <c r="GW37" s="458"/>
      <c r="GX37" s="458"/>
      <c r="GY37" s="458"/>
      <c r="GZ37" s="458"/>
      <c r="HA37" s="458"/>
      <c r="HB37" s="458"/>
      <c r="HC37" s="458"/>
      <c r="HD37" s="458"/>
      <c r="HE37" s="458"/>
      <c r="HF37" s="458"/>
      <c r="HG37" s="458"/>
      <c r="HH37" s="458"/>
      <c r="HI37" s="458"/>
      <c r="HJ37" s="458"/>
      <c r="HK37" s="458"/>
      <c r="HL37" s="458"/>
      <c r="HM37" s="458"/>
      <c r="HN37" s="458"/>
      <c r="HO37" s="458"/>
      <c r="HP37" s="458"/>
      <c r="HQ37" s="458"/>
      <c r="HR37" s="458"/>
      <c r="HS37" s="458"/>
      <c r="HT37" s="458"/>
      <c r="HU37" s="458"/>
      <c r="HV37" s="458"/>
      <c r="HW37" s="458"/>
      <c r="HX37" s="458"/>
      <c r="HY37" s="458"/>
      <c r="HZ37" s="458"/>
      <c r="IA37" s="458"/>
      <c r="IB37" s="458"/>
      <c r="IC37" s="458"/>
      <c r="ID37" s="458"/>
      <c r="IE37" s="458"/>
      <c r="IF37" s="458"/>
      <c r="IG37" s="458"/>
      <c r="IH37" s="458"/>
      <c r="II37" s="458"/>
      <c r="IJ37" s="458"/>
      <c r="IK37" s="458"/>
      <c r="IL37" s="458"/>
      <c r="IM37" s="458"/>
      <c r="IN37" s="458"/>
      <c r="IO37" s="458"/>
      <c r="IP37" s="458"/>
      <c r="IQ37" s="458"/>
      <c r="IR37" s="458"/>
      <c r="IS37" s="458"/>
    </row>
    <row r="38" spans="1:253" s="458" customFormat="1" ht="45" x14ac:dyDescent="0.2">
      <c r="A38" s="444">
        <v>1994</v>
      </c>
      <c r="B38" s="445" t="s">
        <v>51</v>
      </c>
      <c r="C38" s="445" t="s">
        <v>52</v>
      </c>
      <c r="D38" s="445"/>
      <c r="E38" s="445"/>
      <c r="F38" s="445"/>
      <c r="G38" s="446">
        <v>2</v>
      </c>
      <c r="H38" s="445">
        <v>2</v>
      </c>
      <c r="I38" s="445"/>
      <c r="J38" s="445">
        <v>1</v>
      </c>
      <c r="K38" s="447">
        <v>8</v>
      </c>
      <c r="L38" s="445" t="s">
        <v>78</v>
      </c>
      <c r="M38" s="445">
        <v>5</v>
      </c>
      <c r="N38" s="445" t="s">
        <v>307</v>
      </c>
      <c r="O38" s="464" t="s">
        <v>998</v>
      </c>
      <c r="P38" s="450">
        <v>18.048999999999999</v>
      </c>
      <c r="Q38" s="451">
        <f t="shared" si="2"/>
        <v>18.048999999999999</v>
      </c>
      <c r="R38" s="451">
        <f>SUMIF('Wege im Detail'!$A:$A,"1994",'Wege im Detail'!$P:$P)</f>
        <v>72.644999999999996</v>
      </c>
      <c r="S38" s="452" t="s">
        <v>999</v>
      </c>
      <c r="T38" s="453">
        <v>43101</v>
      </c>
      <c r="U38" s="448"/>
      <c r="V38" s="457"/>
      <c r="W38" s="448"/>
    </row>
    <row r="39" spans="1:253" s="458" customFormat="1" ht="33.75" x14ac:dyDescent="0.2">
      <c r="A39" s="438">
        <v>1994</v>
      </c>
      <c r="B39" s="445" t="s">
        <v>51</v>
      </c>
      <c r="C39" s="445" t="s">
        <v>52</v>
      </c>
      <c r="D39" s="445"/>
      <c r="E39" s="445"/>
      <c r="F39" s="445"/>
      <c r="G39" s="446">
        <v>2</v>
      </c>
      <c r="H39" s="445">
        <v>2</v>
      </c>
      <c r="I39" s="445"/>
      <c r="J39" s="445">
        <v>2</v>
      </c>
      <c r="K39" s="447">
        <v>8</v>
      </c>
      <c r="L39" s="445" t="s">
        <v>78</v>
      </c>
      <c r="M39" s="445">
        <v>5</v>
      </c>
      <c r="N39" s="445" t="s">
        <v>98</v>
      </c>
      <c r="O39" s="464" t="s">
        <v>1000</v>
      </c>
      <c r="P39" s="450">
        <v>17.529</v>
      </c>
      <c r="Q39" s="451">
        <f t="shared" si="2"/>
        <v>17.529</v>
      </c>
      <c r="R39" s="451">
        <f>SUMIF('Wege im Detail'!$A:$A,"1994",'Wege im Detail'!$P:$P)</f>
        <v>72.644999999999996</v>
      </c>
      <c r="S39" s="452" t="s">
        <v>999</v>
      </c>
      <c r="T39" s="453">
        <v>43101</v>
      </c>
      <c r="V39" s="457"/>
      <c r="W39" s="448"/>
    </row>
    <row r="40" spans="1:253" s="458" customFormat="1" ht="33.75" x14ac:dyDescent="0.2">
      <c r="A40" s="444">
        <v>1994</v>
      </c>
      <c r="B40" s="445" t="s">
        <v>51</v>
      </c>
      <c r="C40" s="445" t="s">
        <v>52</v>
      </c>
      <c r="D40" s="445"/>
      <c r="E40" s="445"/>
      <c r="F40" s="445"/>
      <c r="G40" s="446">
        <v>2</v>
      </c>
      <c r="H40" s="445">
        <v>2</v>
      </c>
      <c r="I40" s="445"/>
      <c r="J40" s="445">
        <v>3</v>
      </c>
      <c r="K40" s="447">
        <v>8</v>
      </c>
      <c r="L40" s="445" t="s">
        <v>78</v>
      </c>
      <c r="M40" s="445">
        <v>5</v>
      </c>
      <c r="N40" s="445" t="s">
        <v>111</v>
      </c>
      <c r="O40" s="464" t="s">
        <v>1001</v>
      </c>
      <c r="P40" s="450">
        <v>2.5830000000000002</v>
      </c>
      <c r="Q40" s="451">
        <f t="shared" si="2"/>
        <v>2.5830000000000002</v>
      </c>
      <c r="R40" s="451">
        <f>SUMIF('Wege im Detail'!$A:$A,"1994",'Wege im Detail'!$P:$P)</f>
        <v>72.644999999999996</v>
      </c>
      <c r="S40" s="452" t="s">
        <v>999</v>
      </c>
      <c r="T40" s="453">
        <v>43101</v>
      </c>
      <c r="U40" s="448"/>
      <c r="V40" s="457"/>
      <c r="W40" s="448"/>
    </row>
    <row r="41" spans="1:253" s="458" customFormat="1" ht="33.75" x14ac:dyDescent="0.2">
      <c r="A41" s="444">
        <v>1994</v>
      </c>
      <c r="B41" s="445" t="s">
        <v>51</v>
      </c>
      <c r="C41" s="445" t="s">
        <v>52</v>
      </c>
      <c r="D41" s="445"/>
      <c r="E41" s="445"/>
      <c r="F41" s="445"/>
      <c r="G41" s="446">
        <v>2</v>
      </c>
      <c r="H41" s="445">
        <v>2</v>
      </c>
      <c r="I41" s="445"/>
      <c r="J41" s="445">
        <v>4</v>
      </c>
      <c r="K41" s="447">
        <v>8</v>
      </c>
      <c r="L41" s="445" t="s">
        <v>78</v>
      </c>
      <c r="M41" s="445">
        <v>4</v>
      </c>
      <c r="N41" s="445" t="s">
        <v>56</v>
      </c>
      <c r="O41" s="464" t="s">
        <v>1002</v>
      </c>
      <c r="P41" s="450">
        <v>1.8</v>
      </c>
      <c r="Q41" s="451">
        <f t="shared" si="2"/>
        <v>1.8</v>
      </c>
      <c r="R41" s="451">
        <f>SUMIF('Wege im Detail'!$A:$A,"1994",'Wege im Detail'!$P:$P)</f>
        <v>72.644999999999996</v>
      </c>
      <c r="S41" s="452" t="s">
        <v>999</v>
      </c>
      <c r="T41" s="453">
        <v>43101</v>
      </c>
      <c r="U41" s="448"/>
      <c r="V41" s="457"/>
      <c r="W41" s="448"/>
    </row>
    <row r="42" spans="1:253" s="455" customFormat="1" ht="33.75" x14ac:dyDescent="0.2">
      <c r="A42" s="444">
        <v>1994</v>
      </c>
      <c r="B42" s="445" t="s">
        <v>51</v>
      </c>
      <c r="C42" s="445" t="s">
        <v>52</v>
      </c>
      <c r="D42" s="445"/>
      <c r="E42" s="445"/>
      <c r="F42" s="445"/>
      <c r="G42" s="446">
        <v>2</v>
      </c>
      <c r="H42" s="445">
        <v>2</v>
      </c>
      <c r="I42" s="445"/>
      <c r="J42" s="445">
        <v>5</v>
      </c>
      <c r="K42" s="447">
        <v>8</v>
      </c>
      <c r="L42" s="445" t="s">
        <v>78</v>
      </c>
      <c r="M42" s="445">
        <v>5</v>
      </c>
      <c r="N42" s="445" t="s">
        <v>143</v>
      </c>
      <c r="O42" s="464" t="s">
        <v>1003</v>
      </c>
      <c r="P42" s="450">
        <v>10.785</v>
      </c>
      <c r="Q42" s="451">
        <f t="shared" si="2"/>
        <v>10.785</v>
      </c>
      <c r="R42" s="451">
        <f>SUMIF('Wege im Detail'!$A:$A,"1994",'Wege im Detail'!$P:$P)</f>
        <v>72.644999999999996</v>
      </c>
      <c r="S42" s="452" t="s">
        <v>999</v>
      </c>
      <c r="T42" s="453">
        <v>43101</v>
      </c>
      <c r="U42" s="448"/>
      <c r="V42" s="457"/>
      <c r="W42" s="448"/>
      <c r="X42" s="458"/>
      <c r="Y42" s="458"/>
      <c r="Z42" s="458"/>
      <c r="AA42" s="458"/>
      <c r="AB42" s="458"/>
      <c r="AC42" s="458"/>
      <c r="AD42" s="458"/>
      <c r="AE42" s="458"/>
      <c r="AF42" s="458"/>
      <c r="AG42" s="458"/>
      <c r="AH42" s="458"/>
      <c r="AI42" s="458"/>
      <c r="AJ42" s="458"/>
      <c r="AK42" s="458"/>
      <c r="AL42" s="458"/>
      <c r="AM42" s="458"/>
      <c r="AN42" s="458"/>
      <c r="AO42" s="458"/>
      <c r="AP42" s="458"/>
      <c r="AQ42" s="458"/>
      <c r="AR42" s="458"/>
      <c r="AS42" s="458"/>
      <c r="AT42" s="458"/>
      <c r="AU42" s="458"/>
      <c r="AV42" s="458"/>
      <c r="AW42" s="458"/>
      <c r="AX42" s="458"/>
      <c r="AY42" s="458"/>
      <c r="AZ42" s="458"/>
      <c r="BA42" s="458"/>
      <c r="BB42" s="458"/>
      <c r="BC42" s="458"/>
      <c r="BD42" s="458"/>
      <c r="BE42" s="458"/>
      <c r="BF42" s="458"/>
      <c r="BG42" s="458"/>
      <c r="BH42" s="458"/>
      <c r="BI42" s="458"/>
      <c r="BJ42" s="458"/>
      <c r="BK42" s="458"/>
      <c r="BL42" s="458"/>
      <c r="BM42" s="458"/>
      <c r="BN42" s="458"/>
      <c r="BO42" s="458"/>
      <c r="BP42" s="458"/>
      <c r="BQ42" s="458"/>
      <c r="BR42" s="458"/>
      <c r="BS42" s="458"/>
      <c r="BT42" s="458"/>
      <c r="BU42" s="458"/>
      <c r="BV42" s="458"/>
      <c r="BW42" s="458"/>
      <c r="BX42" s="458"/>
      <c r="BY42" s="458"/>
      <c r="BZ42" s="458"/>
      <c r="CA42" s="458"/>
      <c r="CB42" s="458"/>
      <c r="CC42" s="458"/>
      <c r="CD42" s="458"/>
      <c r="CE42" s="458"/>
      <c r="CF42" s="458"/>
      <c r="CG42" s="458"/>
      <c r="CH42" s="458"/>
      <c r="CI42" s="458"/>
      <c r="CJ42" s="458"/>
      <c r="CK42" s="458"/>
      <c r="CL42" s="458"/>
      <c r="CM42" s="458"/>
      <c r="CN42" s="458"/>
      <c r="CO42" s="458"/>
      <c r="CP42" s="458"/>
      <c r="CQ42" s="458"/>
      <c r="CR42" s="458"/>
      <c r="CS42" s="458"/>
      <c r="CT42" s="458"/>
      <c r="CU42" s="458"/>
      <c r="CV42" s="458"/>
      <c r="CW42" s="458"/>
      <c r="CX42" s="458"/>
      <c r="CY42" s="458"/>
      <c r="CZ42" s="458"/>
      <c r="DA42" s="458"/>
      <c r="DB42" s="458"/>
      <c r="DC42" s="458"/>
      <c r="DD42" s="458"/>
      <c r="DE42" s="458"/>
      <c r="DF42" s="458"/>
      <c r="DG42" s="458"/>
      <c r="DH42" s="458"/>
      <c r="DI42" s="458"/>
      <c r="DJ42" s="458"/>
      <c r="DK42" s="458"/>
      <c r="DL42" s="458"/>
      <c r="DM42" s="458"/>
      <c r="DN42" s="458"/>
      <c r="DO42" s="458"/>
      <c r="DP42" s="458"/>
      <c r="DQ42" s="458"/>
      <c r="DR42" s="458"/>
      <c r="DS42" s="458"/>
      <c r="DT42" s="458"/>
      <c r="DU42" s="458"/>
      <c r="DV42" s="458"/>
      <c r="DW42" s="458"/>
      <c r="DX42" s="458"/>
      <c r="DY42" s="458"/>
      <c r="DZ42" s="458"/>
      <c r="EA42" s="458"/>
      <c r="EB42" s="458"/>
      <c r="EC42" s="458"/>
      <c r="ED42" s="458"/>
      <c r="EE42" s="458"/>
      <c r="EF42" s="458"/>
      <c r="EG42" s="458"/>
      <c r="EH42" s="458"/>
      <c r="EI42" s="458"/>
      <c r="EJ42" s="458"/>
      <c r="EK42" s="458"/>
      <c r="EL42" s="458"/>
      <c r="EM42" s="458"/>
      <c r="EN42" s="458"/>
      <c r="EO42" s="458"/>
      <c r="EP42" s="458"/>
      <c r="EQ42" s="458"/>
      <c r="ER42" s="458"/>
      <c r="ES42" s="458"/>
      <c r="ET42" s="458"/>
      <c r="EU42" s="458"/>
      <c r="EV42" s="458"/>
      <c r="EW42" s="458"/>
      <c r="EX42" s="458"/>
      <c r="EY42" s="458"/>
      <c r="EZ42" s="458"/>
      <c r="FA42" s="458"/>
      <c r="FB42" s="458"/>
      <c r="FC42" s="458"/>
      <c r="FD42" s="458"/>
      <c r="FE42" s="458"/>
      <c r="FF42" s="458"/>
      <c r="FG42" s="458"/>
      <c r="FH42" s="458"/>
      <c r="FI42" s="458"/>
      <c r="FJ42" s="458"/>
      <c r="FK42" s="458"/>
      <c r="FL42" s="458"/>
      <c r="FM42" s="458"/>
      <c r="FN42" s="458"/>
      <c r="FO42" s="458"/>
      <c r="FP42" s="458"/>
      <c r="FQ42" s="458"/>
      <c r="FR42" s="458"/>
      <c r="FS42" s="458"/>
      <c r="FT42" s="458"/>
      <c r="FU42" s="458"/>
      <c r="FV42" s="458"/>
      <c r="FW42" s="458"/>
      <c r="FX42" s="458"/>
      <c r="FY42" s="458"/>
      <c r="FZ42" s="458"/>
      <c r="GA42" s="458"/>
      <c r="GB42" s="458"/>
      <c r="GC42" s="458"/>
      <c r="GD42" s="458"/>
      <c r="GE42" s="458"/>
      <c r="GF42" s="458"/>
      <c r="GG42" s="458"/>
      <c r="GH42" s="458"/>
      <c r="GI42" s="458"/>
      <c r="GJ42" s="458"/>
      <c r="GK42" s="458"/>
      <c r="GL42" s="458"/>
      <c r="GM42" s="458"/>
      <c r="GN42" s="458"/>
      <c r="GO42" s="458"/>
      <c r="GP42" s="458"/>
      <c r="GQ42" s="458"/>
      <c r="GR42" s="458"/>
      <c r="GS42" s="458"/>
      <c r="GT42" s="458"/>
      <c r="GU42" s="458"/>
      <c r="GV42" s="458"/>
      <c r="GW42" s="458"/>
      <c r="GX42" s="458"/>
      <c r="GY42" s="458"/>
      <c r="GZ42" s="458"/>
      <c r="HA42" s="458"/>
      <c r="HB42" s="458"/>
      <c r="HC42" s="458"/>
      <c r="HD42" s="458"/>
      <c r="HE42" s="458"/>
      <c r="HF42" s="458"/>
      <c r="HG42" s="458"/>
      <c r="HH42" s="458"/>
      <c r="HI42" s="458"/>
      <c r="HJ42" s="458"/>
      <c r="HK42" s="458"/>
      <c r="HL42" s="458"/>
      <c r="HM42" s="458"/>
      <c r="HN42" s="458"/>
      <c r="HO42" s="458"/>
      <c r="HP42" s="458"/>
      <c r="HQ42" s="458"/>
      <c r="HR42" s="458"/>
      <c r="HS42" s="458"/>
      <c r="HT42" s="458"/>
      <c r="HU42" s="458"/>
      <c r="HV42" s="458"/>
      <c r="HW42" s="458"/>
      <c r="HX42" s="458"/>
      <c r="HY42" s="458"/>
      <c r="HZ42" s="458"/>
      <c r="IA42" s="458"/>
      <c r="IB42" s="458"/>
      <c r="IC42" s="458"/>
      <c r="ID42" s="458"/>
      <c r="IE42" s="458"/>
      <c r="IF42" s="458"/>
      <c r="IG42" s="458"/>
      <c r="IH42" s="458"/>
      <c r="II42" s="458"/>
      <c r="IJ42" s="458"/>
      <c r="IK42" s="458"/>
      <c r="IL42" s="458"/>
      <c r="IM42" s="458"/>
      <c r="IN42" s="458"/>
      <c r="IO42" s="458"/>
      <c r="IP42" s="458"/>
      <c r="IQ42" s="458"/>
      <c r="IR42" s="458"/>
      <c r="IS42" s="458"/>
    </row>
    <row r="43" spans="1:253" s="458" customFormat="1" ht="33.75" x14ac:dyDescent="0.2">
      <c r="A43" s="444">
        <v>1994</v>
      </c>
      <c r="B43" s="445" t="s">
        <v>51</v>
      </c>
      <c r="C43" s="445" t="s">
        <v>52</v>
      </c>
      <c r="D43" s="445"/>
      <c r="E43" s="445"/>
      <c r="F43" s="445"/>
      <c r="G43" s="446">
        <v>2</v>
      </c>
      <c r="H43" s="445">
        <v>2</v>
      </c>
      <c r="I43" s="445"/>
      <c r="J43" s="445">
        <v>6</v>
      </c>
      <c r="K43" s="447">
        <v>8</v>
      </c>
      <c r="L43" s="445" t="s">
        <v>78</v>
      </c>
      <c r="M43" s="445">
        <v>5</v>
      </c>
      <c r="N43" s="445" t="s">
        <v>1004</v>
      </c>
      <c r="O43" s="464" t="s">
        <v>1005</v>
      </c>
      <c r="P43" s="450">
        <v>6.5</v>
      </c>
      <c r="Q43" s="451">
        <f t="shared" si="2"/>
        <v>6.5</v>
      </c>
      <c r="R43" s="451">
        <f>SUMIF('Wege im Detail'!$A:$A,"1994",'Wege im Detail'!$P:$P)</f>
        <v>72.644999999999996</v>
      </c>
      <c r="S43" s="452" t="s">
        <v>999</v>
      </c>
      <c r="T43" s="453">
        <v>43101</v>
      </c>
      <c r="U43" s="448"/>
      <c r="V43" s="457"/>
      <c r="W43" s="448"/>
    </row>
    <row r="44" spans="1:253" s="458" customFormat="1" ht="33.75" x14ac:dyDescent="0.2">
      <c r="A44" s="444">
        <v>1994</v>
      </c>
      <c r="B44" s="445" t="s">
        <v>51</v>
      </c>
      <c r="C44" s="445" t="s">
        <v>52</v>
      </c>
      <c r="D44" s="445"/>
      <c r="E44" s="445"/>
      <c r="F44" s="445"/>
      <c r="G44" s="446">
        <v>2</v>
      </c>
      <c r="H44" s="445">
        <v>2</v>
      </c>
      <c r="I44" s="445"/>
      <c r="J44" s="445">
        <v>7</v>
      </c>
      <c r="K44" s="447">
        <v>8</v>
      </c>
      <c r="L44" s="445" t="s">
        <v>78</v>
      </c>
      <c r="M44" s="445">
        <v>1</v>
      </c>
      <c r="N44" s="445" t="s">
        <v>384</v>
      </c>
      <c r="O44" s="464" t="s">
        <v>1006</v>
      </c>
      <c r="P44" s="450">
        <v>5.7380000000000004</v>
      </c>
      <c r="Q44" s="451">
        <f t="shared" si="2"/>
        <v>5.7380000000000004</v>
      </c>
      <c r="R44" s="451">
        <f>SUMIF('Wege im Detail'!$A:$A,"1994",'Wege im Detail'!$P:$P)</f>
        <v>72.644999999999996</v>
      </c>
      <c r="S44" s="452" t="s">
        <v>999</v>
      </c>
      <c r="T44" s="453">
        <v>43101</v>
      </c>
      <c r="U44" s="448"/>
      <c r="V44" s="457"/>
      <c r="W44" s="448"/>
    </row>
    <row r="45" spans="1:253" s="458" customFormat="1" ht="45" x14ac:dyDescent="0.2">
      <c r="A45" s="444">
        <v>1994</v>
      </c>
      <c r="B45" s="445" t="s">
        <v>51</v>
      </c>
      <c r="C45" s="445" t="s">
        <v>52</v>
      </c>
      <c r="D45" s="445"/>
      <c r="E45" s="445"/>
      <c r="F45" s="445"/>
      <c r="G45" s="446">
        <v>2</v>
      </c>
      <c r="H45" s="445">
        <v>2</v>
      </c>
      <c r="I45" s="445"/>
      <c r="J45" s="445">
        <v>8</v>
      </c>
      <c r="K45" s="447">
        <v>8</v>
      </c>
      <c r="L45" s="445" t="s">
        <v>78</v>
      </c>
      <c r="M45" s="445">
        <v>1</v>
      </c>
      <c r="N45" s="445" t="s">
        <v>79</v>
      </c>
      <c r="O45" s="464" t="s">
        <v>1007</v>
      </c>
      <c r="P45" s="450">
        <v>9.6609999999999996</v>
      </c>
      <c r="Q45" s="451">
        <f t="shared" si="2"/>
        <v>9.6609999999999996</v>
      </c>
      <c r="R45" s="451">
        <f>SUMIF('Wege im Detail'!$A:$A,"1994",'Wege im Detail'!$P:$P)</f>
        <v>72.644999999999996</v>
      </c>
      <c r="S45" s="452" t="s">
        <v>999</v>
      </c>
      <c r="T45" s="453">
        <v>43101</v>
      </c>
      <c r="U45" s="448"/>
      <c r="V45" s="457"/>
      <c r="W45" s="448"/>
      <c r="X45" s="455"/>
      <c r="Y45" s="455"/>
      <c r="Z45" s="455"/>
      <c r="AA45" s="455"/>
      <c r="AB45" s="455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5"/>
      <c r="AS45" s="455"/>
      <c r="AT45" s="455"/>
      <c r="AU45" s="455"/>
      <c r="AV45" s="455"/>
      <c r="AW45" s="455"/>
      <c r="AX45" s="455"/>
      <c r="AY45" s="455"/>
      <c r="AZ45" s="455"/>
      <c r="BA45" s="455"/>
      <c r="BB45" s="455"/>
      <c r="BC45" s="455"/>
      <c r="BD45" s="455"/>
      <c r="BE45" s="455"/>
      <c r="BF45" s="455"/>
      <c r="BG45" s="455"/>
      <c r="BH45" s="455"/>
      <c r="BI45" s="455"/>
      <c r="BJ45" s="455"/>
      <c r="BK45" s="455"/>
      <c r="BL45" s="455"/>
      <c r="BM45" s="455"/>
      <c r="BN45" s="455"/>
      <c r="BO45" s="455"/>
      <c r="BP45" s="455"/>
      <c r="BQ45" s="455"/>
      <c r="BR45" s="455"/>
      <c r="BS45" s="455"/>
      <c r="BT45" s="455"/>
      <c r="BU45" s="455"/>
      <c r="BV45" s="455"/>
      <c r="BW45" s="455"/>
      <c r="BX45" s="455"/>
      <c r="BY45" s="455"/>
      <c r="BZ45" s="455"/>
      <c r="CA45" s="455"/>
      <c r="CB45" s="455"/>
      <c r="CC45" s="455"/>
      <c r="CD45" s="455"/>
      <c r="CE45" s="455"/>
      <c r="CF45" s="455"/>
      <c r="CG45" s="455"/>
      <c r="CH45" s="455"/>
      <c r="CI45" s="455"/>
      <c r="CJ45" s="455"/>
      <c r="CK45" s="455"/>
      <c r="CL45" s="455"/>
      <c r="CM45" s="455"/>
      <c r="CN45" s="455"/>
      <c r="CO45" s="455"/>
      <c r="CP45" s="455"/>
      <c r="CQ45" s="455"/>
      <c r="CR45" s="455"/>
      <c r="CS45" s="455"/>
      <c r="CT45" s="455"/>
      <c r="CU45" s="455"/>
      <c r="CV45" s="455"/>
      <c r="CW45" s="455"/>
      <c r="CX45" s="455"/>
      <c r="CY45" s="455"/>
      <c r="CZ45" s="455"/>
      <c r="DA45" s="455"/>
      <c r="DB45" s="455"/>
      <c r="DC45" s="455"/>
      <c r="DD45" s="455"/>
      <c r="DE45" s="455"/>
      <c r="DF45" s="455"/>
      <c r="DG45" s="455"/>
      <c r="DH45" s="455"/>
      <c r="DI45" s="455"/>
      <c r="DJ45" s="455"/>
      <c r="DK45" s="455"/>
      <c r="DL45" s="455"/>
      <c r="DM45" s="455"/>
      <c r="DN45" s="455"/>
      <c r="DO45" s="455"/>
      <c r="DP45" s="455"/>
      <c r="DQ45" s="455"/>
      <c r="DR45" s="455"/>
      <c r="DS45" s="455"/>
      <c r="DT45" s="455"/>
      <c r="DU45" s="455"/>
      <c r="DV45" s="455"/>
      <c r="DW45" s="455"/>
      <c r="DX45" s="455"/>
      <c r="DY45" s="455"/>
      <c r="DZ45" s="455"/>
      <c r="EA45" s="455"/>
      <c r="EB45" s="455"/>
      <c r="EC45" s="455"/>
      <c r="ED45" s="455"/>
      <c r="EE45" s="455"/>
      <c r="EF45" s="455"/>
      <c r="EG45" s="455"/>
      <c r="EH45" s="455"/>
      <c r="EI45" s="455"/>
      <c r="EJ45" s="455"/>
      <c r="EK45" s="455"/>
      <c r="EL45" s="455"/>
      <c r="EM45" s="455"/>
      <c r="EN45" s="455"/>
      <c r="EO45" s="455"/>
      <c r="EP45" s="455"/>
      <c r="EQ45" s="455"/>
      <c r="ER45" s="455"/>
      <c r="ES45" s="455"/>
      <c r="ET45" s="455"/>
      <c r="EU45" s="455"/>
      <c r="EV45" s="455"/>
      <c r="EW45" s="455"/>
      <c r="EX45" s="455"/>
      <c r="EY45" s="455"/>
      <c r="EZ45" s="455"/>
      <c r="FA45" s="455"/>
      <c r="FB45" s="455"/>
      <c r="FC45" s="455"/>
      <c r="FD45" s="455"/>
      <c r="FE45" s="455"/>
      <c r="FF45" s="455"/>
      <c r="FG45" s="455"/>
      <c r="FH45" s="455"/>
      <c r="FI45" s="455"/>
      <c r="FJ45" s="455"/>
      <c r="FK45" s="455"/>
      <c r="FL45" s="455"/>
      <c r="FM45" s="455"/>
      <c r="FN45" s="455"/>
      <c r="FO45" s="455"/>
      <c r="FP45" s="455"/>
      <c r="FQ45" s="455"/>
      <c r="FR45" s="455"/>
      <c r="FS45" s="455"/>
      <c r="FT45" s="455"/>
      <c r="FU45" s="455"/>
      <c r="FV45" s="455"/>
      <c r="FW45" s="455"/>
      <c r="FX45" s="455"/>
      <c r="FY45" s="455"/>
      <c r="FZ45" s="455"/>
      <c r="GA45" s="455"/>
      <c r="GB45" s="455"/>
      <c r="GC45" s="455"/>
      <c r="GD45" s="455"/>
      <c r="GE45" s="455"/>
      <c r="GF45" s="455"/>
      <c r="GG45" s="455"/>
      <c r="GH45" s="455"/>
      <c r="GI45" s="455"/>
      <c r="GJ45" s="455"/>
      <c r="GK45" s="455"/>
      <c r="GL45" s="455"/>
      <c r="GM45" s="455"/>
      <c r="GN45" s="455"/>
      <c r="GO45" s="455"/>
      <c r="GP45" s="455"/>
      <c r="GQ45" s="455"/>
      <c r="GR45" s="455"/>
      <c r="GS45" s="455"/>
      <c r="GT45" s="455"/>
      <c r="GU45" s="455"/>
      <c r="GV45" s="455"/>
      <c r="GW45" s="455"/>
      <c r="GX45" s="455"/>
      <c r="GY45" s="455"/>
      <c r="GZ45" s="455"/>
      <c r="HA45" s="455"/>
      <c r="HB45" s="455"/>
      <c r="HC45" s="455"/>
      <c r="HD45" s="455"/>
      <c r="HE45" s="455"/>
      <c r="HF45" s="455"/>
      <c r="HG45" s="455"/>
      <c r="HH45" s="455"/>
      <c r="HI45" s="455"/>
      <c r="HJ45" s="455"/>
      <c r="HK45" s="455"/>
      <c r="HL45" s="455"/>
      <c r="HM45" s="455"/>
      <c r="HN45" s="455"/>
      <c r="HO45" s="455"/>
      <c r="HP45" s="455"/>
      <c r="HQ45" s="455"/>
      <c r="HR45" s="455"/>
      <c r="HS45" s="455"/>
      <c r="HT45" s="455"/>
      <c r="HU45" s="455"/>
      <c r="HV45" s="455"/>
      <c r="HW45" s="455"/>
      <c r="HX45" s="455"/>
      <c r="HY45" s="455"/>
      <c r="HZ45" s="455"/>
      <c r="IA45" s="455"/>
      <c r="IB45" s="455"/>
      <c r="IC45" s="455"/>
      <c r="ID45" s="455"/>
      <c r="IE45" s="455"/>
      <c r="IF45" s="455"/>
      <c r="IG45" s="455"/>
      <c r="IH45" s="455"/>
      <c r="II45" s="455"/>
      <c r="IJ45" s="455"/>
      <c r="IK45" s="455"/>
      <c r="IL45" s="455"/>
      <c r="IM45" s="455"/>
      <c r="IN45" s="455"/>
      <c r="IO45" s="455"/>
      <c r="IP45" s="455"/>
      <c r="IQ45" s="455"/>
      <c r="IR45" s="455"/>
      <c r="IS45" s="455"/>
    </row>
    <row r="46" spans="1:253" s="458" customFormat="1" ht="45" x14ac:dyDescent="0.2">
      <c r="A46" s="438">
        <v>1996</v>
      </c>
      <c r="B46" s="445" t="s">
        <v>51</v>
      </c>
      <c r="C46" s="445" t="s">
        <v>52</v>
      </c>
      <c r="D46" s="445"/>
      <c r="E46" s="445"/>
      <c r="F46" s="445"/>
      <c r="G46" s="446">
        <v>431</v>
      </c>
      <c r="H46" s="445">
        <v>13</v>
      </c>
      <c r="I46" s="445"/>
      <c r="J46" s="445">
        <v>1</v>
      </c>
      <c r="K46" s="447">
        <v>16</v>
      </c>
      <c r="L46" s="445" t="s">
        <v>82</v>
      </c>
      <c r="M46" s="445">
        <v>4</v>
      </c>
      <c r="N46" s="445" t="s">
        <v>56</v>
      </c>
      <c r="O46" s="449" t="s">
        <v>1008</v>
      </c>
      <c r="P46" s="450">
        <v>11.702999999999999</v>
      </c>
      <c r="Q46" s="451">
        <f t="shared" si="2"/>
        <v>11.702999999999999</v>
      </c>
      <c r="R46" s="451">
        <f>SUMIF('Wege im Detail'!$A:$A,"1996",'Wege im Detail'!$P:$P)</f>
        <v>107.31700000000001</v>
      </c>
      <c r="S46" s="452" t="s">
        <v>1009</v>
      </c>
      <c r="T46" s="453">
        <v>43952</v>
      </c>
      <c r="U46" s="462" t="s">
        <v>955</v>
      </c>
      <c r="W46" s="462"/>
    </row>
    <row r="47" spans="1:253" s="458" customFormat="1" ht="45" x14ac:dyDescent="0.2">
      <c r="A47" s="444">
        <v>1996</v>
      </c>
      <c r="B47" s="445" t="s">
        <v>51</v>
      </c>
      <c r="C47" s="445" t="s">
        <v>52</v>
      </c>
      <c r="D47" s="445"/>
      <c r="E47" s="445"/>
      <c r="F47" s="445"/>
      <c r="G47" s="446">
        <v>431</v>
      </c>
      <c r="H47" s="445">
        <v>13</v>
      </c>
      <c r="I47" s="445"/>
      <c r="J47" s="445">
        <v>2</v>
      </c>
      <c r="K47" s="447">
        <v>16</v>
      </c>
      <c r="L47" s="445" t="s">
        <v>82</v>
      </c>
      <c r="M47" s="445">
        <v>4</v>
      </c>
      <c r="N47" s="445" t="s">
        <v>118</v>
      </c>
      <c r="O47" s="449" t="s">
        <v>1010</v>
      </c>
      <c r="P47" s="450">
        <v>4.1660000000000004</v>
      </c>
      <c r="Q47" s="451">
        <f t="shared" si="2"/>
        <v>4.1660000000000004</v>
      </c>
      <c r="R47" s="451">
        <f>SUMIF('Wege im Detail'!$A:$A,"1996",'Wege im Detail'!$P:$P)</f>
        <v>107.31700000000001</v>
      </c>
      <c r="S47" s="452" t="s">
        <v>1009</v>
      </c>
      <c r="T47" s="453">
        <v>43952</v>
      </c>
      <c r="U47" s="448"/>
      <c r="V47" s="465"/>
      <c r="W47" s="448"/>
    </row>
    <row r="48" spans="1:253" s="458" customFormat="1" ht="45" x14ac:dyDescent="0.2">
      <c r="A48" s="444">
        <v>1996</v>
      </c>
      <c r="B48" s="445" t="s">
        <v>51</v>
      </c>
      <c r="C48" s="445" t="s">
        <v>52</v>
      </c>
      <c r="D48" s="445"/>
      <c r="E48" s="445"/>
      <c r="F48" s="445"/>
      <c r="G48" s="446">
        <v>431</v>
      </c>
      <c r="H48" s="445">
        <v>13</v>
      </c>
      <c r="I48" s="445"/>
      <c r="J48" s="445">
        <v>3</v>
      </c>
      <c r="K48" s="447">
        <v>16</v>
      </c>
      <c r="L48" s="445" t="s">
        <v>82</v>
      </c>
      <c r="M48" s="445">
        <v>4</v>
      </c>
      <c r="N48" s="445" t="s">
        <v>56</v>
      </c>
      <c r="O48" s="449" t="s">
        <v>1011</v>
      </c>
      <c r="P48" s="450">
        <v>1.839</v>
      </c>
      <c r="Q48" s="451">
        <f t="shared" si="2"/>
        <v>1.839</v>
      </c>
      <c r="R48" s="451">
        <f>SUMIF('Wege im Detail'!$A:$A,"1996",'Wege im Detail'!$P:$P)</f>
        <v>107.31700000000001</v>
      </c>
      <c r="S48" s="452" t="s">
        <v>1009</v>
      </c>
      <c r="T48" s="453">
        <v>43160</v>
      </c>
      <c r="U48" s="448"/>
      <c r="V48" s="455"/>
      <c r="W48" s="448"/>
    </row>
    <row r="49" spans="1:253" s="458" customFormat="1" ht="56.25" x14ac:dyDescent="0.2">
      <c r="A49" s="444">
        <v>1996</v>
      </c>
      <c r="B49" s="445" t="s">
        <v>51</v>
      </c>
      <c r="C49" s="445" t="s">
        <v>52</v>
      </c>
      <c r="D49" s="445"/>
      <c r="E49" s="445"/>
      <c r="F49" s="445"/>
      <c r="G49" s="446">
        <v>431</v>
      </c>
      <c r="H49" s="445">
        <v>13</v>
      </c>
      <c r="I49" s="445"/>
      <c r="J49" s="445">
        <v>4</v>
      </c>
      <c r="K49" s="447">
        <v>16</v>
      </c>
      <c r="L49" s="445" t="s">
        <v>82</v>
      </c>
      <c r="M49" s="445">
        <v>5</v>
      </c>
      <c r="N49" s="445" t="s">
        <v>111</v>
      </c>
      <c r="O49" s="449" t="s">
        <v>1012</v>
      </c>
      <c r="P49" s="450">
        <v>4.9420000000000002</v>
      </c>
      <c r="Q49" s="451">
        <f t="shared" si="2"/>
        <v>4.9420000000000002</v>
      </c>
      <c r="R49" s="451">
        <f>SUMIF('Wege im Detail'!$A:$A,"1996",'Wege im Detail'!$P:$P)</f>
        <v>107.31700000000001</v>
      </c>
      <c r="S49" s="452" t="s">
        <v>1009</v>
      </c>
      <c r="T49" s="453">
        <v>44321</v>
      </c>
      <c r="U49" s="472"/>
      <c r="V49" s="455" t="s">
        <v>1013</v>
      </c>
      <c r="W49" s="534"/>
    </row>
    <row r="50" spans="1:253" s="458" customFormat="1" ht="45" x14ac:dyDescent="0.2">
      <c r="A50" s="444">
        <v>1996</v>
      </c>
      <c r="B50" s="445" t="s">
        <v>51</v>
      </c>
      <c r="C50" s="445" t="s">
        <v>52</v>
      </c>
      <c r="D50" s="445"/>
      <c r="E50" s="445"/>
      <c r="F50" s="445"/>
      <c r="G50" s="446">
        <v>431</v>
      </c>
      <c r="H50" s="445">
        <v>13</v>
      </c>
      <c r="I50" s="445"/>
      <c r="J50" s="445">
        <v>5</v>
      </c>
      <c r="K50" s="447">
        <v>16</v>
      </c>
      <c r="L50" s="445" t="s">
        <v>82</v>
      </c>
      <c r="M50" s="445">
        <v>5</v>
      </c>
      <c r="N50" s="445" t="s">
        <v>1014</v>
      </c>
      <c r="O50" s="449" t="s">
        <v>1015</v>
      </c>
      <c r="P50" s="450">
        <v>3.403</v>
      </c>
      <c r="Q50" s="451">
        <f t="shared" si="2"/>
        <v>3.403</v>
      </c>
      <c r="R50" s="451">
        <f>SUMIF('Wege im Detail'!$A:$A,"1996",'Wege im Detail'!$P:$P)</f>
        <v>107.31700000000001</v>
      </c>
      <c r="S50" s="452" t="s">
        <v>1009</v>
      </c>
      <c r="T50" s="453">
        <v>43160</v>
      </c>
      <c r="U50" s="448"/>
      <c r="V50" s="455"/>
      <c r="W50" s="448"/>
    </row>
    <row r="51" spans="1:253" s="458" customFormat="1" ht="45" x14ac:dyDescent="0.2">
      <c r="A51" s="444">
        <v>1996</v>
      </c>
      <c r="B51" s="445" t="s">
        <v>51</v>
      </c>
      <c r="C51" s="445" t="s">
        <v>52</v>
      </c>
      <c r="D51" s="445"/>
      <c r="E51" s="445"/>
      <c r="F51" s="445"/>
      <c r="G51" s="446">
        <v>431</v>
      </c>
      <c r="H51" s="445">
        <v>13</v>
      </c>
      <c r="I51" s="445"/>
      <c r="J51" s="445">
        <v>6</v>
      </c>
      <c r="K51" s="447">
        <v>16</v>
      </c>
      <c r="L51" s="445" t="s">
        <v>82</v>
      </c>
      <c r="M51" s="445">
        <v>5</v>
      </c>
      <c r="N51" s="445" t="s">
        <v>248</v>
      </c>
      <c r="O51" s="449" t="s">
        <v>1016</v>
      </c>
      <c r="P51" s="450">
        <v>9.2370000000000001</v>
      </c>
      <c r="Q51" s="451">
        <f t="shared" si="2"/>
        <v>9.2370000000000001</v>
      </c>
      <c r="R51" s="451">
        <f>SUMIF('Wege im Detail'!$A:$A,"1996",'Wege im Detail'!$P:$P)</f>
        <v>107.31700000000001</v>
      </c>
      <c r="S51" s="452" t="s">
        <v>1009</v>
      </c>
      <c r="T51" s="453">
        <v>43160</v>
      </c>
      <c r="U51" s="448"/>
      <c r="V51" s="455"/>
      <c r="W51" s="448"/>
    </row>
    <row r="52" spans="1:253" s="458" customFormat="1" ht="45" x14ac:dyDescent="0.2">
      <c r="A52" s="444">
        <v>1996</v>
      </c>
      <c r="B52" s="445" t="s">
        <v>51</v>
      </c>
      <c r="C52" s="445" t="s">
        <v>52</v>
      </c>
      <c r="D52" s="445"/>
      <c r="E52" s="445"/>
      <c r="F52" s="445"/>
      <c r="G52" s="446">
        <v>431</v>
      </c>
      <c r="H52" s="445">
        <v>13</v>
      </c>
      <c r="I52" s="445"/>
      <c r="J52" s="445">
        <v>7</v>
      </c>
      <c r="K52" s="447">
        <v>16</v>
      </c>
      <c r="L52" s="445" t="s">
        <v>82</v>
      </c>
      <c r="M52" s="445">
        <v>5</v>
      </c>
      <c r="N52" s="445" t="s">
        <v>208</v>
      </c>
      <c r="O52" s="449" t="s">
        <v>1017</v>
      </c>
      <c r="P52" s="450">
        <v>3.4289999999999998</v>
      </c>
      <c r="Q52" s="451">
        <f t="shared" si="2"/>
        <v>3.4289999999999998</v>
      </c>
      <c r="R52" s="451">
        <f>SUMIF('Wege im Detail'!$A:$A,"1996",'Wege im Detail'!$P:$P)</f>
        <v>107.31700000000001</v>
      </c>
      <c r="S52" s="452" t="s">
        <v>1009</v>
      </c>
      <c r="T52" s="453">
        <v>43160</v>
      </c>
      <c r="U52" s="448"/>
      <c r="V52" s="466"/>
      <c r="W52" s="448"/>
    </row>
    <row r="53" spans="1:253" s="458" customFormat="1" ht="45" x14ac:dyDescent="0.2">
      <c r="A53" s="444">
        <v>1996</v>
      </c>
      <c r="B53" s="445" t="s">
        <v>51</v>
      </c>
      <c r="C53" s="445" t="s">
        <v>52</v>
      </c>
      <c r="D53" s="445"/>
      <c r="E53" s="445"/>
      <c r="F53" s="445"/>
      <c r="G53" s="446">
        <v>431</v>
      </c>
      <c r="H53" s="445">
        <v>13</v>
      </c>
      <c r="I53" s="445"/>
      <c r="J53" s="445">
        <v>8</v>
      </c>
      <c r="K53" s="447">
        <v>16</v>
      </c>
      <c r="L53" s="445" t="s">
        <v>82</v>
      </c>
      <c r="M53" s="445">
        <v>2</v>
      </c>
      <c r="N53" s="445" t="s">
        <v>834</v>
      </c>
      <c r="O53" s="449" t="s">
        <v>1018</v>
      </c>
      <c r="P53" s="450">
        <v>3.944</v>
      </c>
      <c r="Q53" s="451">
        <f t="shared" si="2"/>
        <v>3.944</v>
      </c>
      <c r="R53" s="451">
        <f>SUMIF('Wege im Detail'!$A:$A,"1996",'Wege im Detail'!$P:$P)</f>
        <v>107.31700000000001</v>
      </c>
      <c r="S53" s="452" t="s">
        <v>1009</v>
      </c>
      <c r="T53" s="453">
        <v>43160</v>
      </c>
      <c r="U53" s="448"/>
      <c r="V53" s="466"/>
      <c r="W53" s="448"/>
    </row>
    <row r="54" spans="1:253" s="458" customFormat="1" ht="45" x14ac:dyDescent="0.2">
      <c r="A54" s="444">
        <v>1996</v>
      </c>
      <c r="B54" s="445" t="s">
        <v>51</v>
      </c>
      <c r="C54" s="445" t="s">
        <v>52</v>
      </c>
      <c r="D54" s="445"/>
      <c r="E54" s="445"/>
      <c r="F54" s="445"/>
      <c r="G54" s="446">
        <v>431</v>
      </c>
      <c r="H54" s="445">
        <v>13</v>
      </c>
      <c r="I54" s="445"/>
      <c r="J54" s="445">
        <v>9</v>
      </c>
      <c r="K54" s="447">
        <v>16</v>
      </c>
      <c r="L54" s="445" t="s">
        <v>82</v>
      </c>
      <c r="M54" s="445">
        <v>5</v>
      </c>
      <c r="N54" s="445" t="s">
        <v>181</v>
      </c>
      <c r="O54" s="449" t="s">
        <v>1019</v>
      </c>
      <c r="P54" s="450">
        <v>12.22</v>
      </c>
      <c r="Q54" s="451">
        <f t="shared" si="2"/>
        <v>12.22</v>
      </c>
      <c r="R54" s="451">
        <f>SUMIF('Wege im Detail'!$A:$A,"1996",'Wege im Detail'!$P:$P)</f>
        <v>107.31700000000001</v>
      </c>
      <c r="S54" s="452" t="s">
        <v>1009</v>
      </c>
      <c r="T54" s="453">
        <v>43160</v>
      </c>
      <c r="U54" s="448"/>
      <c r="V54" s="455"/>
      <c r="W54" s="448"/>
    </row>
    <row r="55" spans="1:253" s="458" customFormat="1" ht="45" x14ac:dyDescent="0.2">
      <c r="A55" s="444">
        <v>1996</v>
      </c>
      <c r="B55" s="445" t="s">
        <v>51</v>
      </c>
      <c r="C55" s="445" t="s">
        <v>52</v>
      </c>
      <c r="D55" s="445"/>
      <c r="E55" s="445"/>
      <c r="F55" s="445"/>
      <c r="G55" s="446">
        <v>431</v>
      </c>
      <c r="H55" s="445">
        <v>13</v>
      </c>
      <c r="I55" s="445"/>
      <c r="J55" s="445">
        <v>10</v>
      </c>
      <c r="K55" s="447">
        <v>16</v>
      </c>
      <c r="L55" s="445" t="s">
        <v>82</v>
      </c>
      <c r="M55" s="445">
        <v>2</v>
      </c>
      <c r="N55" s="445" t="s">
        <v>67</v>
      </c>
      <c r="O55" s="449" t="s">
        <v>1020</v>
      </c>
      <c r="P55" s="450">
        <v>1.075</v>
      </c>
      <c r="Q55" s="451">
        <f t="shared" si="2"/>
        <v>1.075</v>
      </c>
      <c r="R55" s="451">
        <f>SUMIF('Wege im Detail'!$A:$A,"1996",'Wege im Detail'!$P:$P)</f>
        <v>107.31700000000001</v>
      </c>
      <c r="S55" s="452" t="s">
        <v>1009</v>
      </c>
      <c r="T55" s="453">
        <v>43160</v>
      </c>
      <c r="U55" s="448"/>
      <c r="V55" s="455"/>
      <c r="W55" s="448"/>
    </row>
    <row r="56" spans="1:253" s="458" customFormat="1" ht="45" x14ac:dyDescent="0.2">
      <c r="A56" s="444">
        <v>1996</v>
      </c>
      <c r="B56" s="445" t="s">
        <v>51</v>
      </c>
      <c r="C56" s="445" t="s">
        <v>52</v>
      </c>
      <c r="D56" s="445"/>
      <c r="E56" s="445"/>
      <c r="F56" s="445"/>
      <c r="G56" s="446">
        <v>431</v>
      </c>
      <c r="H56" s="445">
        <v>13</v>
      </c>
      <c r="I56" s="445"/>
      <c r="J56" s="445">
        <v>11</v>
      </c>
      <c r="K56" s="447">
        <v>16</v>
      </c>
      <c r="L56" s="445" t="s">
        <v>82</v>
      </c>
      <c r="M56" s="445">
        <v>1</v>
      </c>
      <c r="N56" s="445" t="s">
        <v>1021</v>
      </c>
      <c r="O56" s="449" t="s">
        <v>1022</v>
      </c>
      <c r="P56" s="450">
        <v>4.1029999999999998</v>
      </c>
      <c r="Q56" s="451">
        <f t="shared" si="2"/>
        <v>4.1029999999999998</v>
      </c>
      <c r="R56" s="451">
        <f>SUMIF('Wege im Detail'!$A:$A,"1996",'Wege im Detail'!$P:$P)</f>
        <v>107.31700000000001</v>
      </c>
      <c r="S56" s="452" t="s">
        <v>1009</v>
      </c>
      <c r="T56" s="453">
        <v>43952</v>
      </c>
      <c r="U56" s="448"/>
      <c r="V56" s="455"/>
      <c r="W56" s="448"/>
    </row>
    <row r="57" spans="1:253" s="458" customFormat="1" ht="45" x14ac:dyDescent="0.2">
      <c r="A57" s="444">
        <v>1996</v>
      </c>
      <c r="B57" s="445" t="s">
        <v>51</v>
      </c>
      <c r="C57" s="445" t="s">
        <v>52</v>
      </c>
      <c r="D57" s="445"/>
      <c r="E57" s="445"/>
      <c r="F57" s="445"/>
      <c r="G57" s="446">
        <v>431</v>
      </c>
      <c r="H57" s="445">
        <v>13</v>
      </c>
      <c r="I57" s="445"/>
      <c r="J57" s="445">
        <v>12</v>
      </c>
      <c r="K57" s="447">
        <v>16</v>
      </c>
      <c r="L57" s="445" t="s">
        <v>82</v>
      </c>
      <c r="M57" s="445">
        <v>1</v>
      </c>
      <c r="N57" s="445" t="s">
        <v>656</v>
      </c>
      <c r="O57" s="449" t="s">
        <v>1023</v>
      </c>
      <c r="P57" s="450">
        <v>4.5739999999999998</v>
      </c>
      <c r="Q57" s="451">
        <f t="shared" si="2"/>
        <v>4.5739999999999998</v>
      </c>
      <c r="R57" s="451">
        <f>SUMIF('Wege im Detail'!$A:$A,"1996",'Wege im Detail'!$P:$P)</f>
        <v>107.31700000000001</v>
      </c>
      <c r="S57" s="452" t="s">
        <v>1009</v>
      </c>
      <c r="T57" s="453">
        <v>43160</v>
      </c>
      <c r="U57" s="448"/>
      <c r="V57" s="455"/>
      <c r="W57" s="448"/>
    </row>
    <row r="58" spans="1:253" s="458" customFormat="1" ht="45" x14ac:dyDescent="0.2">
      <c r="A58" s="444">
        <v>1996</v>
      </c>
      <c r="B58" s="445" t="s">
        <v>51</v>
      </c>
      <c r="C58" s="445" t="s">
        <v>52</v>
      </c>
      <c r="D58" s="445"/>
      <c r="E58" s="445"/>
      <c r="F58" s="445"/>
      <c r="G58" s="446">
        <v>431</v>
      </c>
      <c r="H58" s="445">
        <v>13</v>
      </c>
      <c r="I58" s="445"/>
      <c r="J58" s="445">
        <v>13</v>
      </c>
      <c r="K58" s="447">
        <v>16</v>
      </c>
      <c r="L58" s="445" t="s">
        <v>82</v>
      </c>
      <c r="M58" s="445">
        <v>1</v>
      </c>
      <c r="N58" s="445" t="s">
        <v>126</v>
      </c>
      <c r="O58" s="449" t="s">
        <v>1024</v>
      </c>
      <c r="P58" s="450">
        <v>7.8010000000000002</v>
      </c>
      <c r="Q58" s="451">
        <f t="shared" si="2"/>
        <v>7.8010000000000002</v>
      </c>
      <c r="R58" s="451">
        <f>SUMIF('Wege im Detail'!$A:$A,"1996",'Wege im Detail'!$P:$P)</f>
        <v>107.31700000000001</v>
      </c>
      <c r="S58" s="452" t="s">
        <v>1009</v>
      </c>
      <c r="T58" s="453">
        <v>44562</v>
      </c>
      <c r="U58" s="448"/>
      <c r="V58" s="455"/>
      <c r="W58" s="448"/>
    </row>
    <row r="59" spans="1:253" s="458" customFormat="1" ht="45" x14ac:dyDescent="0.2">
      <c r="A59" s="444">
        <v>1996</v>
      </c>
      <c r="B59" s="445" t="s">
        <v>51</v>
      </c>
      <c r="C59" s="445" t="s">
        <v>52</v>
      </c>
      <c r="D59" s="445"/>
      <c r="E59" s="445"/>
      <c r="F59" s="445"/>
      <c r="G59" s="446">
        <v>431</v>
      </c>
      <c r="H59" s="445">
        <v>13</v>
      </c>
      <c r="I59" s="445"/>
      <c r="J59" s="445">
        <v>14</v>
      </c>
      <c r="K59" s="447">
        <v>16</v>
      </c>
      <c r="L59" s="445" t="s">
        <v>82</v>
      </c>
      <c r="M59" s="445">
        <v>1</v>
      </c>
      <c r="N59" s="445" t="s">
        <v>79</v>
      </c>
      <c r="O59" s="449" t="s">
        <v>1025</v>
      </c>
      <c r="P59" s="450">
        <v>9.2899999999999991</v>
      </c>
      <c r="Q59" s="451">
        <f t="shared" si="2"/>
        <v>9.2899999999999991</v>
      </c>
      <c r="R59" s="451">
        <f>SUMIF('Wege im Detail'!$A:$A,"1996",'Wege im Detail'!$P:$P)</f>
        <v>107.31700000000001</v>
      </c>
      <c r="S59" s="452" t="s">
        <v>1009</v>
      </c>
      <c r="T59" s="453">
        <v>43160</v>
      </c>
      <c r="U59" s="448"/>
      <c r="V59" s="455"/>
      <c r="W59" s="448"/>
    </row>
    <row r="60" spans="1:253" s="458" customFormat="1" ht="45" x14ac:dyDescent="0.2">
      <c r="A60" s="444">
        <v>1996</v>
      </c>
      <c r="B60" s="445" t="s">
        <v>51</v>
      </c>
      <c r="C60" s="445" t="s">
        <v>52</v>
      </c>
      <c r="D60" s="445"/>
      <c r="E60" s="445"/>
      <c r="F60" s="445"/>
      <c r="G60" s="446">
        <v>431</v>
      </c>
      <c r="H60" s="445">
        <v>13</v>
      </c>
      <c r="I60" s="445"/>
      <c r="J60" s="445">
        <v>15</v>
      </c>
      <c r="K60" s="447">
        <v>16</v>
      </c>
      <c r="L60" s="445" t="s">
        <v>82</v>
      </c>
      <c r="M60" s="445">
        <v>1</v>
      </c>
      <c r="N60" s="445" t="s">
        <v>384</v>
      </c>
      <c r="O60" s="449" t="s">
        <v>1026</v>
      </c>
      <c r="P60" s="450">
        <v>4.867</v>
      </c>
      <c r="Q60" s="451">
        <f t="shared" si="2"/>
        <v>4.867</v>
      </c>
      <c r="R60" s="451">
        <f>SUMIF('Wege im Detail'!$A:$A,"1996",'Wege im Detail'!$P:$P)</f>
        <v>107.31700000000001</v>
      </c>
      <c r="S60" s="452" t="s">
        <v>1009</v>
      </c>
      <c r="T60" s="453">
        <v>43160</v>
      </c>
      <c r="U60" s="448"/>
      <c r="V60" s="455"/>
      <c r="W60" s="448"/>
      <c r="X60" s="455"/>
      <c r="Y60" s="455"/>
      <c r="Z60" s="455"/>
      <c r="AA60" s="455"/>
      <c r="AB60" s="455"/>
      <c r="AC60" s="455"/>
      <c r="AD60" s="455"/>
      <c r="AE60" s="455"/>
      <c r="AF60" s="455"/>
      <c r="AG60" s="455"/>
      <c r="AH60" s="455"/>
      <c r="AI60" s="455"/>
      <c r="AJ60" s="455"/>
      <c r="AK60" s="455"/>
      <c r="AL60" s="455"/>
      <c r="AM60" s="455"/>
      <c r="AN60" s="455"/>
      <c r="AO60" s="455"/>
      <c r="AP60" s="455"/>
      <c r="AQ60" s="455"/>
      <c r="AR60" s="455"/>
      <c r="AS60" s="455"/>
      <c r="AT60" s="455"/>
      <c r="AU60" s="455"/>
      <c r="AV60" s="455"/>
      <c r="AW60" s="455"/>
      <c r="AX60" s="455"/>
      <c r="AY60" s="455"/>
      <c r="AZ60" s="455"/>
      <c r="BA60" s="455"/>
      <c r="BB60" s="455"/>
      <c r="BC60" s="455"/>
      <c r="BD60" s="455"/>
      <c r="BE60" s="455"/>
      <c r="BF60" s="455"/>
      <c r="BG60" s="455"/>
      <c r="BH60" s="455"/>
      <c r="BI60" s="455"/>
      <c r="BJ60" s="455"/>
      <c r="BK60" s="455"/>
      <c r="BL60" s="455"/>
      <c r="BM60" s="455"/>
      <c r="BN60" s="455"/>
      <c r="BO60" s="455"/>
      <c r="BP60" s="455"/>
      <c r="BQ60" s="455"/>
      <c r="BR60" s="455"/>
      <c r="BS60" s="455"/>
      <c r="BT60" s="455"/>
      <c r="BU60" s="455"/>
      <c r="BV60" s="455"/>
      <c r="BW60" s="455"/>
      <c r="BX60" s="455"/>
      <c r="BY60" s="455"/>
      <c r="BZ60" s="455"/>
      <c r="CA60" s="455"/>
      <c r="CB60" s="455"/>
      <c r="CC60" s="455"/>
      <c r="CD60" s="455"/>
      <c r="CE60" s="455"/>
      <c r="CF60" s="455"/>
      <c r="CG60" s="455"/>
      <c r="CH60" s="455"/>
      <c r="CI60" s="455"/>
      <c r="CJ60" s="455"/>
      <c r="CK60" s="455"/>
      <c r="CL60" s="455"/>
      <c r="CM60" s="455"/>
      <c r="CN60" s="455"/>
      <c r="CO60" s="455"/>
      <c r="CP60" s="455"/>
      <c r="CQ60" s="455"/>
      <c r="CR60" s="455"/>
      <c r="CS60" s="455"/>
      <c r="CT60" s="455"/>
      <c r="CU60" s="455"/>
      <c r="CV60" s="455"/>
      <c r="CW60" s="455"/>
      <c r="CX60" s="455"/>
      <c r="CY60" s="455"/>
      <c r="CZ60" s="455"/>
      <c r="DA60" s="455"/>
      <c r="DB60" s="455"/>
      <c r="DC60" s="455"/>
      <c r="DD60" s="455"/>
      <c r="DE60" s="455"/>
      <c r="DF60" s="455"/>
      <c r="DG60" s="455"/>
      <c r="DH60" s="455"/>
      <c r="DI60" s="455"/>
      <c r="DJ60" s="455"/>
      <c r="DK60" s="455"/>
      <c r="DL60" s="455"/>
      <c r="DM60" s="455"/>
      <c r="DN60" s="455"/>
      <c r="DO60" s="455"/>
      <c r="DP60" s="455"/>
      <c r="DQ60" s="455"/>
      <c r="DR60" s="455"/>
      <c r="DS60" s="455"/>
      <c r="DT60" s="455"/>
      <c r="DU60" s="455"/>
      <c r="DV60" s="455"/>
      <c r="DW60" s="455"/>
      <c r="DX60" s="455"/>
      <c r="DY60" s="455"/>
      <c r="DZ60" s="455"/>
      <c r="EA60" s="455"/>
      <c r="EB60" s="455"/>
      <c r="EC60" s="455"/>
      <c r="ED60" s="455"/>
      <c r="EE60" s="455"/>
      <c r="EF60" s="455"/>
      <c r="EG60" s="455"/>
      <c r="EH60" s="455"/>
      <c r="EI60" s="455"/>
      <c r="EJ60" s="455"/>
      <c r="EK60" s="455"/>
      <c r="EL60" s="455"/>
      <c r="EM60" s="455"/>
      <c r="EN60" s="455"/>
      <c r="EO60" s="455"/>
      <c r="EP60" s="455"/>
      <c r="EQ60" s="455"/>
      <c r="ER60" s="455"/>
      <c r="ES60" s="455"/>
      <c r="ET60" s="455"/>
      <c r="EU60" s="455"/>
      <c r="EV60" s="455"/>
      <c r="EW60" s="455"/>
      <c r="EX60" s="455"/>
      <c r="EY60" s="455"/>
      <c r="EZ60" s="455"/>
      <c r="FA60" s="455"/>
      <c r="FB60" s="455"/>
      <c r="FC60" s="455"/>
      <c r="FD60" s="455"/>
      <c r="FE60" s="455"/>
      <c r="FF60" s="455"/>
      <c r="FG60" s="455"/>
      <c r="FH60" s="455"/>
      <c r="FI60" s="455"/>
      <c r="FJ60" s="455"/>
      <c r="FK60" s="455"/>
      <c r="FL60" s="455"/>
      <c r="FM60" s="455"/>
      <c r="FN60" s="455"/>
      <c r="FO60" s="455"/>
      <c r="FP60" s="455"/>
      <c r="FQ60" s="455"/>
      <c r="FR60" s="455"/>
      <c r="FS60" s="455"/>
      <c r="FT60" s="455"/>
      <c r="FU60" s="455"/>
      <c r="FV60" s="455"/>
      <c r="FW60" s="455"/>
      <c r="FX60" s="455"/>
      <c r="FY60" s="455"/>
      <c r="FZ60" s="455"/>
      <c r="GA60" s="455"/>
      <c r="GB60" s="455"/>
      <c r="GC60" s="455"/>
      <c r="GD60" s="455"/>
      <c r="GE60" s="455"/>
      <c r="GF60" s="455"/>
      <c r="GG60" s="455"/>
      <c r="GH60" s="455"/>
      <c r="GI60" s="455"/>
      <c r="GJ60" s="455"/>
      <c r="GK60" s="455"/>
      <c r="GL60" s="455"/>
      <c r="GM60" s="455"/>
      <c r="GN60" s="455"/>
      <c r="GO60" s="455"/>
      <c r="GP60" s="455"/>
      <c r="GQ60" s="455"/>
      <c r="GR60" s="455"/>
      <c r="GS60" s="455"/>
      <c r="GT60" s="455"/>
      <c r="GU60" s="455"/>
      <c r="GV60" s="455"/>
      <c r="GW60" s="455"/>
      <c r="GX60" s="455"/>
      <c r="GY60" s="455"/>
      <c r="GZ60" s="455"/>
      <c r="HA60" s="455"/>
      <c r="HB60" s="455"/>
      <c r="HC60" s="455"/>
      <c r="HD60" s="455"/>
      <c r="HE60" s="455"/>
      <c r="HF60" s="455"/>
      <c r="HG60" s="455"/>
      <c r="HH60" s="455"/>
      <c r="HI60" s="455"/>
      <c r="HJ60" s="455"/>
      <c r="HK60" s="455"/>
      <c r="HL60" s="455"/>
      <c r="HM60" s="455"/>
      <c r="HN60" s="455"/>
      <c r="HO60" s="455"/>
      <c r="HP60" s="455"/>
      <c r="HQ60" s="455"/>
      <c r="HR60" s="455"/>
      <c r="HS60" s="455"/>
      <c r="HT60" s="455"/>
      <c r="HU60" s="455"/>
      <c r="HV60" s="455"/>
      <c r="HW60" s="455"/>
      <c r="HX60" s="455"/>
      <c r="HY60" s="455"/>
      <c r="HZ60" s="455"/>
      <c r="IA60" s="455"/>
      <c r="IB60" s="455"/>
      <c r="IC60" s="455"/>
      <c r="ID60" s="455"/>
      <c r="IE60" s="455"/>
      <c r="IF60" s="455"/>
      <c r="IG60" s="455"/>
      <c r="IH60" s="455"/>
      <c r="II60" s="455"/>
      <c r="IJ60" s="455"/>
      <c r="IK60" s="455"/>
      <c r="IL60" s="455"/>
      <c r="IM60" s="455"/>
      <c r="IN60" s="455"/>
      <c r="IO60" s="455"/>
      <c r="IP60" s="455"/>
      <c r="IQ60" s="455"/>
      <c r="IR60" s="455"/>
      <c r="IS60" s="455"/>
    </row>
    <row r="61" spans="1:253" s="458" customFormat="1" ht="56.25" x14ac:dyDescent="0.2">
      <c r="A61" s="444">
        <v>1996</v>
      </c>
      <c r="B61" s="445" t="s">
        <v>51</v>
      </c>
      <c r="C61" s="445" t="s">
        <v>52</v>
      </c>
      <c r="D61" s="445"/>
      <c r="E61" s="445"/>
      <c r="F61" s="445"/>
      <c r="G61" s="446">
        <v>431</v>
      </c>
      <c r="H61" s="445">
        <v>13</v>
      </c>
      <c r="I61" s="445"/>
      <c r="J61" s="445">
        <v>16</v>
      </c>
      <c r="K61" s="447">
        <v>16</v>
      </c>
      <c r="L61" s="445" t="s">
        <v>82</v>
      </c>
      <c r="M61" s="445">
        <v>4</v>
      </c>
      <c r="N61" s="445" t="s">
        <v>124</v>
      </c>
      <c r="O61" s="449" t="s">
        <v>1027</v>
      </c>
      <c r="P61" s="450">
        <v>20.724</v>
      </c>
      <c r="Q61" s="451">
        <f t="shared" si="2"/>
        <v>20.724</v>
      </c>
      <c r="R61" s="451">
        <f>SUMIF('Wege im Detail'!$A:$A,"1996",'Wege im Detail'!$P:$P)</f>
        <v>107.31700000000001</v>
      </c>
      <c r="S61" s="452" t="s">
        <v>1009</v>
      </c>
      <c r="T61" s="453">
        <v>43952</v>
      </c>
      <c r="U61" s="448"/>
      <c r="V61" s="467"/>
      <c r="W61" s="448"/>
    </row>
    <row r="62" spans="1:253" s="458" customFormat="1" ht="67.5" x14ac:dyDescent="0.2">
      <c r="A62" s="444">
        <v>2010</v>
      </c>
      <c r="B62" s="445" t="s">
        <v>84</v>
      </c>
      <c r="C62" s="445" t="s">
        <v>85</v>
      </c>
      <c r="D62" s="445" t="s">
        <v>85</v>
      </c>
      <c r="E62" s="445"/>
      <c r="F62" s="445"/>
      <c r="G62" s="446">
        <v>245</v>
      </c>
      <c r="H62" s="445" t="s">
        <v>87</v>
      </c>
      <c r="I62" s="445"/>
      <c r="J62" s="445"/>
      <c r="K62" s="447"/>
      <c r="L62" s="445" t="s">
        <v>88</v>
      </c>
      <c r="M62" s="445">
        <v>4</v>
      </c>
      <c r="N62" s="445" t="s">
        <v>89</v>
      </c>
      <c r="O62" s="449" t="s">
        <v>1028</v>
      </c>
      <c r="P62" s="450">
        <v>7.899</v>
      </c>
      <c r="Q62" s="451">
        <f t="shared" si="2"/>
        <v>7.899</v>
      </c>
      <c r="R62" s="451">
        <f>SUMIF('Wege im Detail'!$A:$A,"2010",'Wege im Detail'!$P:$P)</f>
        <v>7.899</v>
      </c>
      <c r="S62" s="452" t="s">
        <v>90</v>
      </c>
      <c r="T62" s="453">
        <v>43101</v>
      </c>
      <c r="U62" s="448"/>
      <c r="V62" s="455"/>
      <c r="W62" s="448"/>
    </row>
    <row r="63" spans="1:253" s="458" customFormat="1" ht="33.75" x14ac:dyDescent="0.2">
      <c r="A63" s="444">
        <v>2035</v>
      </c>
      <c r="B63" s="445" t="s">
        <v>51</v>
      </c>
      <c r="C63" s="445" t="s">
        <v>52</v>
      </c>
      <c r="D63" s="445" t="s">
        <v>91</v>
      </c>
      <c r="E63" s="445"/>
      <c r="F63" s="445"/>
      <c r="G63" s="446">
        <v>51</v>
      </c>
      <c r="H63" s="445">
        <v>51</v>
      </c>
      <c r="I63" s="445"/>
      <c r="J63" s="445">
        <v>1</v>
      </c>
      <c r="K63" s="447">
        <v>3</v>
      </c>
      <c r="L63" s="445"/>
      <c r="M63" s="445">
        <v>3</v>
      </c>
      <c r="N63" s="445" t="s">
        <v>93</v>
      </c>
      <c r="O63" s="464" t="s">
        <v>1029</v>
      </c>
      <c r="P63" s="450">
        <v>0.247</v>
      </c>
      <c r="Q63" s="451">
        <f t="shared" si="2"/>
        <v>0.247</v>
      </c>
      <c r="R63" s="451">
        <f>SUMIF('Wege im Detail'!$A:$A,"2035",'Wege im Detail'!$P:$P)</f>
        <v>11.111000000000001</v>
      </c>
      <c r="S63" s="452" t="s">
        <v>1030</v>
      </c>
      <c r="T63" s="453">
        <v>42917</v>
      </c>
      <c r="U63" s="448"/>
      <c r="V63" s="457"/>
      <c r="W63" s="448"/>
      <c r="X63" s="455"/>
      <c r="Y63" s="455"/>
      <c r="Z63" s="455"/>
      <c r="AA63" s="455"/>
      <c r="AB63" s="455"/>
      <c r="AC63" s="455"/>
      <c r="AD63" s="455"/>
      <c r="AE63" s="455"/>
      <c r="AF63" s="455"/>
      <c r="AG63" s="455"/>
      <c r="AH63" s="455"/>
      <c r="AI63" s="455"/>
      <c r="AJ63" s="455"/>
      <c r="AK63" s="455"/>
      <c r="AL63" s="455"/>
      <c r="AM63" s="455"/>
      <c r="AN63" s="455"/>
      <c r="AO63" s="455"/>
      <c r="AP63" s="455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5"/>
      <c r="BH63" s="455"/>
      <c r="BI63" s="455"/>
      <c r="BJ63" s="455"/>
      <c r="BK63" s="455"/>
      <c r="BL63" s="455"/>
      <c r="BM63" s="455"/>
      <c r="BN63" s="455"/>
      <c r="BO63" s="455"/>
      <c r="BP63" s="455"/>
      <c r="BQ63" s="455"/>
      <c r="BR63" s="455"/>
      <c r="BS63" s="455"/>
      <c r="BT63" s="455"/>
      <c r="BU63" s="455"/>
      <c r="BV63" s="455"/>
      <c r="BW63" s="455"/>
      <c r="BX63" s="455"/>
      <c r="BY63" s="455"/>
      <c r="BZ63" s="455"/>
      <c r="CA63" s="455"/>
      <c r="CB63" s="455"/>
      <c r="CC63" s="455"/>
      <c r="CD63" s="455"/>
      <c r="CE63" s="455"/>
      <c r="CF63" s="455"/>
      <c r="CG63" s="455"/>
      <c r="CH63" s="455"/>
      <c r="CI63" s="455"/>
      <c r="CJ63" s="455"/>
      <c r="CK63" s="455"/>
      <c r="CL63" s="455"/>
      <c r="CM63" s="455"/>
      <c r="CN63" s="455"/>
      <c r="CO63" s="455"/>
      <c r="CP63" s="455"/>
      <c r="CQ63" s="455"/>
      <c r="CR63" s="455"/>
      <c r="CS63" s="455"/>
      <c r="CT63" s="455"/>
      <c r="CU63" s="455"/>
      <c r="CV63" s="455"/>
      <c r="CW63" s="455"/>
      <c r="CX63" s="455"/>
      <c r="CY63" s="455"/>
      <c r="CZ63" s="455"/>
      <c r="DA63" s="455"/>
      <c r="DB63" s="455"/>
      <c r="DC63" s="455"/>
      <c r="DD63" s="455"/>
      <c r="DE63" s="455"/>
      <c r="DF63" s="455"/>
      <c r="DG63" s="455"/>
      <c r="DH63" s="455"/>
      <c r="DI63" s="455"/>
      <c r="DJ63" s="455"/>
      <c r="DK63" s="455"/>
      <c r="DL63" s="455"/>
      <c r="DM63" s="455"/>
      <c r="DN63" s="455"/>
      <c r="DO63" s="455"/>
      <c r="DP63" s="455"/>
      <c r="DQ63" s="455"/>
      <c r="DR63" s="455"/>
      <c r="DS63" s="455"/>
      <c r="DT63" s="455"/>
      <c r="DU63" s="455"/>
      <c r="DV63" s="455"/>
      <c r="DW63" s="455"/>
      <c r="DX63" s="455"/>
      <c r="DY63" s="455"/>
      <c r="DZ63" s="455"/>
      <c r="EA63" s="455"/>
      <c r="EB63" s="455"/>
      <c r="EC63" s="455"/>
      <c r="ED63" s="455"/>
      <c r="EE63" s="455"/>
      <c r="EF63" s="455"/>
      <c r="EG63" s="455"/>
      <c r="EH63" s="455"/>
      <c r="EI63" s="455"/>
      <c r="EJ63" s="455"/>
      <c r="EK63" s="455"/>
      <c r="EL63" s="455"/>
      <c r="EM63" s="455"/>
      <c r="EN63" s="455"/>
      <c r="EO63" s="455"/>
      <c r="EP63" s="455"/>
      <c r="EQ63" s="455"/>
      <c r="ER63" s="455"/>
      <c r="ES63" s="455"/>
      <c r="ET63" s="455"/>
      <c r="EU63" s="455"/>
      <c r="EV63" s="455"/>
      <c r="EW63" s="455"/>
      <c r="EX63" s="455"/>
      <c r="EY63" s="455"/>
      <c r="EZ63" s="455"/>
      <c r="FA63" s="455"/>
      <c r="FB63" s="455"/>
      <c r="FC63" s="455"/>
      <c r="FD63" s="455"/>
      <c r="FE63" s="455"/>
      <c r="FF63" s="455"/>
      <c r="FG63" s="455"/>
      <c r="FH63" s="455"/>
      <c r="FI63" s="455"/>
      <c r="FJ63" s="455"/>
      <c r="FK63" s="455"/>
      <c r="FL63" s="455"/>
      <c r="FM63" s="455"/>
      <c r="FN63" s="455"/>
      <c r="FO63" s="455"/>
      <c r="FP63" s="455"/>
      <c r="FQ63" s="455"/>
      <c r="FR63" s="455"/>
      <c r="FS63" s="455"/>
      <c r="FT63" s="455"/>
      <c r="FU63" s="455"/>
      <c r="FV63" s="455"/>
      <c r="FW63" s="455"/>
      <c r="FX63" s="455"/>
      <c r="FY63" s="455"/>
      <c r="FZ63" s="455"/>
      <c r="GA63" s="455"/>
      <c r="GB63" s="455"/>
      <c r="GC63" s="455"/>
      <c r="GD63" s="455"/>
      <c r="GE63" s="455"/>
      <c r="GF63" s="455"/>
      <c r="GG63" s="455"/>
      <c r="GH63" s="455"/>
      <c r="GI63" s="455"/>
      <c r="GJ63" s="455"/>
      <c r="GK63" s="455"/>
      <c r="GL63" s="455"/>
      <c r="GM63" s="455"/>
      <c r="GN63" s="455"/>
      <c r="GO63" s="455"/>
      <c r="GP63" s="455"/>
      <c r="GQ63" s="455"/>
      <c r="GR63" s="455"/>
      <c r="GS63" s="455"/>
      <c r="GT63" s="455"/>
      <c r="GU63" s="455"/>
      <c r="GV63" s="455"/>
      <c r="GW63" s="455"/>
      <c r="GX63" s="455"/>
      <c r="GY63" s="455"/>
      <c r="GZ63" s="455"/>
      <c r="HA63" s="455"/>
      <c r="HB63" s="455"/>
      <c r="HC63" s="455"/>
      <c r="HD63" s="455"/>
      <c r="HE63" s="455"/>
      <c r="HF63" s="455"/>
      <c r="HG63" s="455"/>
      <c r="HH63" s="455"/>
      <c r="HI63" s="455"/>
      <c r="HJ63" s="455"/>
      <c r="HK63" s="455"/>
      <c r="HL63" s="455"/>
      <c r="HM63" s="455"/>
      <c r="HN63" s="455"/>
      <c r="HO63" s="455"/>
      <c r="HP63" s="455"/>
      <c r="HQ63" s="455"/>
      <c r="HR63" s="455"/>
      <c r="HS63" s="455"/>
      <c r="HT63" s="455"/>
      <c r="HU63" s="455"/>
      <c r="HV63" s="455"/>
      <c r="HW63" s="455"/>
      <c r="HX63" s="455"/>
      <c r="HY63" s="455"/>
      <c r="HZ63" s="455"/>
      <c r="IA63" s="455"/>
      <c r="IB63" s="455"/>
      <c r="IC63" s="455"/>
      <c r="ID63" s="455"/>
      <c r="IE63" s="455"/>
      <c r="IF63" s="455"/>
      <c r="IG63" s="455"/>
      <c r="IH63" s="455"/>
      <c r="II63" s="455"/>
      <c r="IJ63" s="455"/>
      <c r="IK63" s="455"/>
      <c r="IL63" s="455"/>
      <c r="IM63" s="455"/>
      <c r="IN63" s="455"/>
      <c r="IO63" s="455"/>
      <c r="IP63" s="455"/>
      <c r="IQ63" s="455"/>
      <c r="IR63" s="455"/>
      <c r="IS63" s="455"/>
    </row>
    <row r="64" spans="1:253" s="458" customFormat="1" ht="45" x14ac:dyDescent="0.2">
      <c r="A64" s="444">
        <v>2035</v>
      </c>
      <c r="B64" s="445" t="s">
        <v>51</v>
      </c>
      <c r="C64" s="445" t="s">
        <v>52</v>
      </c>
      <c r="D64" s="445" t="s">
        <v>91</v>
      </c>
      <c r="E64" s="445"/>
      <c r="F64" s="445"/>
      <c r="G64" s="446">
        <v>51</v>
      </c>
      <c r="H64" s="445">
        <v>51</v>
      </c>
      <c r="I64" s="445"/>
      <c r="J64" s="445">
        <v>2</v>
      </c>
      <c r="K64" s="447">
        <v>3</v>
      </c>
      <c r="L64" s="445"/>
      <c r="M64" s="445">
        <v>5</v>
      </c>
      <c r="N64" s="445" t="s">
        <v>98</v>
      </c>
      <c r="O64" s="464" t="s">
        <v>1031</v>
      </c>
      <c r="P64" s="450">
        <v>8.3559999999999999</v>
      </c>
      <c r="Q64" s="451">
        <f t="shared" si="2"/>
        <v>8.3559999999999999</v>
      </c>
      <c r="R64" s="451">
        <f>SUMIF('Wege im Detail'!$A:$A,"2035",'Wege im Detail'!$P:$P)</f>
        <v>11.111000000000001</v>
      </c>
      <c r="S64" s="452" t="s">
        <v>1030</v>
      </c>
      <c r="T64" s="453">
        <v>43160</v>
      </c>
      <c r="U64" s="448"/>
      <c r="V64" s="468"/>
      <c r="W64" s="448"/>
      <c r="X64" s="455"/>
      <c r="Y64" s="455"/>
      <c r="Z64" s="455"/>
      <c r="AA64" s="455"/>
      <c r="AB64" s="455"/>
      <c r="AC64" s="455"/>
      <c r="AD64" s="455"/>
      <c r="AE64" s="455"/>
      <c r="AF64" s="455"/>
      <c r="AG64" s="455"/>
      <c r="AH64" s="455"/>
      <c r="AI64" s="455"/>
      <c r="AJ64" s="455"/>
      <c r="AK64" s="455"/>
      <c r="AL64" s="455"/>
      <c r="AM64" s="455"/>
      <c r="AN64" s="455"/>
      <c r="AO64" s="455"/>
      <c r="AP64" s="455"/>
      <c r="AQ64" s="455"/>
      <c r="AR64" s="455"/>
      <c r="AS64" s="455"/>
      <c r="AT64" s="455"/>
      <c r="AU64" s="455"/>
      <c r="AV64" s="455"/>
      <c r="AW64" s="455"/>
      <c r="AX64" s="455"/>
      <c r="AY64" s="455"/>
      <c r="AZ64" s="455"/>
      <c r="BA64" s="455"/>
      <c r="BB64" s="455"/>
      <c r="BC64" s="455"/>
      <c r="BD64" s="455"/>
      <c r="BE64" s="455"/>
      <c r="BF64" s="455"/>
      <c r="BG64" s="455"/>
      <c r="BH64" s="455"/>
      <c r="BI64" s="455"/>
      <c r="BJ64" s="455"/>
      <c r="BK64" s="455"/>
      <c r="BL64" s="455"/>
      <c r="BM64" s="455"/>
      <c r="BN64" s="455"/>
      <c r="BO64" s="455"/>
      <c r="BP64" s="455"/>
      <c r="BQ64" s="455"/>
      <c r="BR64" s="455"/>
      <c r="BS64" s="455"/>
      <c r="BT64" s="455"/>
      <c r="BU64" s="455"/>
      <c r="BV64" s="455"/>
      <c r="BW64" s="455"/>
      <c r="BX64" s="455"/>
      <c r="BY64" s="455"/>
      <c r="BZ64" s="455"/>
      <c r="CA64" s="455"/>
      <c r="CB64" s="455"/>
      <c r="CC64" s="455"/>
      <c r="CD64" s="455"/>
      <c r="CE64" s="455"/>
      <c r="CF64" s="455"/>
      <c r="CG64" s="455"/>
      <c r="CH64" s="455"/>
      <c r="CI64" s="455"/>
      <c r="CJ64" s="455"/>
      <c r="CK64" s="455"/>
      <c r="CL64" s="455"/>
      <c r="CM64" s="455"/>
      <c r="CN64" s="455"/>
      <c r="CO64" s="455"/>
      <c r="CP64" s="455"/>
      <c r="CQ64" s="455"/>
      <c r="CR64" s="455"/>
      <c r="CS64" s="455"/>
      <c r="CT64" s="455"/>
      <c r="CU64" s="455"/>
      <c r="CV64" s="455"/>
      <c r="CW64" s="455"/>
      <c r="CX64" s="455"/>
      <c r="CY64" s="455"/>
      <c r="CZ64" s="455"/>
      <c r="DA64" s="455"/>
      <c r="DB64" s="455"/>
      <c r="DC64" s="455"/>
      <c r="DD64" s="455"/>
      <c r="DE64" s="455"/>
      <c r="DF64" s="455"/>
      <c r="DG64" s="455"/>
      <c r="DH64" s="455"/>
      <c r="DI64" s="455"/>
      <c r="DJ64" s="455"/>
      <c r="DK64" s="455"/>
      <c r="DL64" s="455"/>
      <c r="DM64" s="455"/>
      <c r="DN64" s="455"/>
      <c r="DO64" s="455"/>
      <c r="DP64" s="455"/>
      <c r="DQ64" s="455"/>
      <c r="DR64" s="455"/>
      <c r="DS64" s="455"/>
      <c r="DT64" s="455"/>
      <c r="DU64" s="455"/>
      <c r="DV64" s="455"/>
      <c r="DW64" s="455"/>
      <c r="DX64" s="455"/>
      <c r="DY64" s="455"/>
      <c r="DZ64" s="455"/>
      <c r="EA64" s="455"/>
      <c r="EB64" s="455"/>
      <c r="EC64" s="455"/>
      <c r="ED64" s="455"/>
      <c r="EE64" s="455"/>
      <c r="EF64" s="455"/>
      <c r="EG64" s="455"/>
      <c r="EH64" s="455"/>
      <c r="EI64" s="455"/>
      <c r="EJ64" s="455"/>
      <c r="EK64" s="455"/>
      <c r="EL64" s="455"/>
      <c r="EM64" s="455"/>
      <c r="EN64" s="455"/>
      <c r="EO64" s="455"/>
      <c r="EP64" s="455"/>
      <c r="EQ64" s="455"/>
      <c r="ER64" s="455"/>
      <c r="ES64" s="455"/>
      <c r="ET64" s="455"/>
      <c r="EU64" s="455"/>
      <c r="EV64" s="455"/>
      <c r="EW64" s="455"/>
      <c r="EX64" s="455"/>
      <c r="EY64" s="455"/>
      <c r="EZ64" s="455"/>
      <c r="FA64" s="455"/>
      <c r="FB64" s="455"/>
      <c r="FC64" s="455"/>
      <c r="FD64" s="455"/>
      <c r="FE64" s="455"/>
      <c r="FF64" s="455"/>
      <c r="FG64" s="455"/>
      <c r="FH64" s="455"/>
      <c r="FI64" s="455"/>
      <c r="FJ64" s="455"/>
      <c r="FK64" s="455"/>
      <c r="FL64" s="455"/>
      <c r="FM64" s="455"/>
      <c r="FN64" s="455"/>
      <c r="FO64" s="455"/>
      <c r="FP64" s="455"/>
      <c r="FQ64" s="455"/>
      <c r="FR64" s="455"/>
      <c r="FS64" s="455"/>
      <c r="FT64" s="455"/>
      <c r="FU64" s="455"/>
      <c r="FV64" s="455"/>
      <c r="FW64" s="455"/>
      <c r="FX64" s="455"/>
      <c r="FY64" s="455"/>
      <c r="FZ64" s="455"/>
      <c r="GA64" s="455"/>
      <c r="GB64" s="455"/>
      <c r="GC64" s="455"/>
      <c r="GD64" s="455"/>
      <c r="GE64" s="455"/>
      <c r="GF64" s="455"/>
      <c r="GG64" s="455"/>
      <c r="GH64" s="455"/>
      <c r="GI64" s="455"/>
      <c r="GJ64" s="455"/>
      <c r="GK64" s="455"/>
      <c r="GL64" s="455"/>
      <c r="GM64" s="455"/>
      <c r="GN64" s="455"/>
      <c r="GO64" s="455"/>
      <c r="GP64" s="455"/>
      <c r="GQ64" s="455"/>
      <c r="GR64" s="455"/>
      <c r="GS64" s="455"/>
      <c r="GT64" s="455"/>
      <c r="GU64" s="455"/>
      <c r="GV64" s="455"/>
      <c r="GW64" s="455"/>
      <c r="GX64" s="455"/>
      <c r="GY64" s="455"/>
      <c r="GZ64" s="455"/>
      <c r="HA64" s="455"/>
      <c r="HB64" s="455"/>
      <c r="HC64" s="455"/>
      <c r="HD64" s="455"/>
      <c r="HE64" s="455"/>
      <c r="HF64" s="455"/>
      <c r="HG64" s="455"/>
      <c r="HH64" s="455"/>
      <c r="HI64" s="455"/>
      <c r="HJ64" s="455"/>
      <c r="HK64" s="455"/>
      <c r="HL64" s="455"/>
      <c r="HM64" s="455"/>
      <c r="HN64" s="455"/>
      <c r="HO64" s="455"/>
      <c r="HP64" s="455"/>
      <c r="HQ64" s="455"/>
      <c r="HR64" s="455"/>
      <c r="HS64" s="455"/>
      <c r="HT64" s="455"/>
      <c r="HU64" s="455"/>
      <c r="HV64" s="455"/>
      <c r="HW64" s="455"/>
      <c r="HX64" s="455"/>
      <c r="HY64" s="455"/>
      <c r="HZ64" s="455"/>
      <c r="IA64" s="455"/>
      <c r="IB64" s="455"/>
      <c r="IC64" s="455"/>
      <c r="ID64" s="455"/>
      <c r="IE64" s="455"/>
      <c r="IF64" s="455"/>
      <c r="IG64" s="455"/>
      <c r="IH64" s="455"/>
      <c r="II64" s="455"/>
      <c r="IJ64" s="455"/>
      <c r="IK64" s="455"/>
      <c r="IL64" s="455"/>
      <c r="IM64" s="455"/>
      <c r="IN64" s="455"/>
      <c r="IO64" s="455"/>
      <c r="IP64" s="455"/>
      <c r="IQ64" s="455"/>
      <c r="IR64" s="455"/>
      <c r="IS64" s="455"/>
    </row>
    <row r="65" spans="1:253" s="458" customFormat="1" ht="33.75" x14ac:dyDescent="0.2">
      <c r="A65" s="444">
        <v>2035</v>
      </c>
      <c r="B65" s="445" t="s">
        <v>51</v>
      </c>
      <c r="C65" s="445" t="s">
        <v>52</v>
      </c>
      <c r="D65" s="445" t="s">
        <v>91</v>
      </c>
      <c r="E65" s="445"/>
      <c r="F65" s="445"/>
      <c r="G65" s="446">
        <v>51</v>
      </c>
      <c r="H65" s="445">
        <v>51</v>
      </c>
      <c r="I65" s="445"/>
      <c r="J65" s="445">
        <v>3</v>
      </c>
      <c r="K65" s="447">
        <v>3</v>
      </c>
      <c r="L65" s="445"/>
      <c r="M65" s="445">
        <v>4</v>
      </c>
      <c r="N65" s="445" t="s">
        <v>987</v>
      </c>
      <c r="O65" s="464" t="s">
        <v>1032</v>
      </c>
      <c r="P65" s="450">
        <v>2.508</v>
      </c>
      <c r="Q65" s="451">
        <f t="shared" si="2"/>
        <v>2.508</v>
      </c>
      <c r="R65" s="451">
        <f>SUMIF('Wege im Detail'!$A:$A,"2035",'Wege im Detail'!$P:$P)</f>
        <v>11.111000000000001</v>
      </c>
      <c r="S65" s="452" t="s">
        <v>1030</v>
      </c>
      <c r="T65" s="453">
        <v>42917</v>
      </c>
      <c r="U65" s="448"/>
      <c r="V65" s="457"/>
      <c r="W65" s="448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  <c r="CY65" s="455"/>
      <c r="CZ65" s="455"/>
      <c r="DA65" s="455"/>
      <c r="DB65" s="455"/>
      <c r="DC65" s="455"/>
      <c r="DD65" s="455"/>
      <c r="DE65" s="455"/>
      <c r="DF65" s="455"/>
      <c r="DG65" s="455"/>
      <c r="DH65" s="455"/>
      <c r="DI65" s="455"/>
      <c r="DJ65" s="455"/>
      <c r="DK65" s="455"/>
      <c r="DL65" s="455"/>
      <c r="DM65" s="455"/>
      <c r="DN65" s="455"/>
      <c r="DO65" s="455"/>
      <c r="DP65" s="455"/>
      <c r="DQ65" s="455"/>
      <c r="DR65" s="455"/>
      <c r="DS65" s="455"/>
      <c r="DT65" s="455"/>
      <c r="DU65" s="455"/>
      <c r="DV65" s="455"/>
      <c r="DW65" s="455"/>
      <c r="DX65" s="455"/>
      <c r="DY65" s="455"/>
      <c r="DZ65" s="455"/>
      <c r="EA65" s="455"/>
      <c r="EB65" s="455"/>
      <c r="EC65" s="455"/>
      <c r="ED65" s="455"/>
      <c r="EE65" s="455"/>
      <c r="EF65" s="455"/>
      <c r="EG65" s="455"/>
      <c r="EH65" s="455"/>
      <c r="EI65" s="455"/>
      <c r="EJ65" s="455"/>
      <c r="EK65" s="455"/>
      <c r="EL65" s="455"/>
      <c r="EM65" s="455"/>
      <c r="EN65" s="455"/>
      <c r="EO65" s="455"/>
      <c r="EP65" s="455"/>
      <c r="EQ65" s="455"/>
      <c r="ER65" s="455"/>
      <c r="ES65" s="455"/>
      <c r="ET65" s="455"/>
      <c r="EU65" s="455"/>
      <c r="EV65" s="455"/>
      <c r="EW65" s="455"/>
      <c r="EX65" s="455"/>
      <c r="EY65" s="455"/>
      <c r="EZ65" s="455"/>
      <c r="FA65" s="455"/>
      <c r="FB65" s="455"/>
      <c r="FC65" s="455"/>
      <c r="FD65" s="455"/>
      <c r="FE65" s="455"/>
      <c r="FF65" s="455"/>
      <c r="FG65" s="455"/>
      <c r="FH65" s="455"/>
      <c r="FI65" s="455"/>
      <c r="FJ65" s="455"/>
      <c r="FK65" s="455"/>
      <c r="FL65" s="455"/>
      <c r="FM65" s="455"/>
      <c r="FN65" s="455"/>
      <c r="FO65" s="455"/>
      <c r="FP65" s="455"/>
      <c r="FQ65" s="455"/>
      <c r="FR65" s="455"/>
      <c r="FS65" s="455"/>
      <c r="FT65" s="455"/>
      <c r="FU65" s="455"/>
      <c r="FV65" s="455"/>
      <c r="FW65" s="455"/>
      <c r="FX65" s="455"/>
      <c r="FY65" s="455"/>
      <c r="FZ65" s="455"/>
      <c r="GA65" s="455"/>
      <c r="GB65" s="455"/>
      <c r="GC65" s="455"/>
      <c r="GD65" s="455"/>
      <c r="GE65" s="455"/>
      <c r="GF65" s="455"/>
      <c r="GG65" s="455"/>
      <c r="GH65" s="455"/>
      <c r="GI65" s="455"/>
      <c r="GJ65" s="455"/>
      <c r="GK65" s="455"/>
      <c r="GL65" s="455"/>
      <c r="GM65" s="455"/>
      <c r="GN65" s="455"/>
      <c r="GO65" s="455"/>
      <c r="GP65" s="455"/>
      <c r="GQ65" s="455"/>
      <c r="GR65" s="455"/>
      <c r="GS65" s="455"/>
      <c r="GT65" s="455"/>
      <c r="GU65" s="455"/>
      <c r="GV65" s="455"/>
      <c r="GW65" s="455"/>
      <c r="GX65" s="455"/>
      <c r="GY65" s="455"/>
      <c r="GZ65" s="455"/>
      <c r="HA65" s="455"/>
      <c r="HB65" s="455"/>
      <c r="HC65" s="455"/>
      <c r="HD65" s="455"/>
      <c r="HE65" s="455"/>
      <c r="HF65" s="455"/>
      <c r="HG65" s="455"/>
      <c r="HH65" s="455"/>
      <c r="HI65" s="455"/>
      <c r="HJ65" s="455"/>
      <c r="HK65" s="455"/>
      <c r="HL65" s="455"/>
      <c r="HM65" s="455"/>
      <c r="HN65" s="455"/>
      <c r="HO65" s="455"/>
      <c r="HP65" s="455"/>
      <c r="HQ65" s="455"/>
      <c r="HR65" s="455"/>
      <c r="HS65" s="455"/>
      <c r="HT65" s="455"/>
      <c r="HU65" s="455"/>
      <c r="HV65" s="455"/>
      <c r="HW65" s="455"/>
      <c r="HX65" s="455"/>
      <c r="HY65" s="455"/>
      <c r="HZ65" s="455"/>
      <c r="IA65" s="455"/>
      <c r="IB65" s="455"/>
      <c r="IC65" s="455"/>
      <c r="ID65" s="455"/>
      <c r="IE65" s="455"/>
      <c r="IF65" s="455"/>
      <c r="IG65" s="455"/>
      <c r="IH65" s="455"/>
      <c r="II65" s="455"/>
      <c r="IJ65" s="455"/>
      <c r="IK65" s="455"/>
      <c r="IL65" s="455"/>
      <c r="IM65" s="455"/>
      <c r="IN65" s="455"/>
      <c r="IO65" s="455"/>
      <c r="IP65" s="455"/>
      <c r="IQ65" s="455"/>
      <c r="IR65" s="455"/>
      <c r="IS65" s="455"/>
    </row>
    <row r="66" spans="1:253" s="458" customFormat="1" ht="33.75" x14ac:dyDescent="0.2">
      <c r="A66" s="444">
        <v>2039</v>
      </c>
      <c r="B66" s="445" t="s">
        <v>51</v>
      </c>
      <c r="C66" s="445" t="s">
        <v>52</v>
      </c>
      <c r="D66" s="445" t="s">
        <v>91</v>
      </c>
      <c r="E66" s="445"/>
      <c r="F66" s="445"/>
      <c r="G66" s="446">
        <v>64</v>
      </c>
      <c r="H66" s="445">
        <v>39</v>
      </c>
      <c r="I66" s="445"/>
      <c r="J66" s="445">
        <v>1</v>
      </c>
      <c r="K66" s="447">
        <v>2</v>
      </c>
      <c r="L66" s="445"/>
      <c r="M66" s="445">
        <v>4</v>
      </c>
      <c r="N66" s="445" t="s">
        <v>987</v>
      </c>
      <c r="O66" s="449" t="s">
        <v>1033</v>
      </c>
      <c r="P66" s="450">
        <v>7.7649999999999997</v>
      </c>
      <c r="Q66" s="451">
        <f t="shared" si="2"/>
        <v>7.7649999999999997</v>
      </c>
      <c r="R66" s="451">
        <f>SUMIF('Wege im Detail'!$A:$A,"2039",'Wege im Detail'!$P:$P)</f>
        <v>15.286</v>
      </c>
      <c r="S66" s="452" t="s">
        <v>1034</v>
      </c>
      <c r="T66" s="453">
        <v>42917</v>
      </c>
      <c r="U66" s="448"/>
      <c r="V66" s="469" t="s">
        <v>58</v>
      </c>
      <c r="W66" s="448"/>
    </row>
    <row r="67" spans="1:253" s="458" customFormat="1" ht="45" x14ac:dyDescent="0.2">
      <c r="A67" s="444">
        <v>2039</v>
      </c>
      <c r="B67" s="445" t="s">
        <v>51</v>
      </c>
      <c r="C67" s="445" t="s">
        <v>52</v>
      </c>
      <c r="D67" s="445" t="s">
        <v>91</v>
      </c>
      <c r="E67" s="445"/>
      <c r="F67" s="445"/>
      <c r="G67" s="446">
        <v>64</v>
      </c>
      <c r="H67" s="445">
        <v>39</v>
      </c>
      <c r="I67" s="445"/>
      <c r="J67" s="445">
        <v>2</v>
      </c>
      <c r="K67" s="447">
        <v>2</v>
      </c>
      <c r="L67" s="445"/>
      <c r="M67" s="445">
        <v>4</v>
      </c>
      <c r="N67" s="445" t="s">
        <v>118</v>
      </c>
      <c r="O67" s="449" t="s">
        <v>1035</v>
      </c>
      <c r="P67" s="450">
        <v>7.5209999999999999</v>
      </c>
      <c r="Q67" s="451">
        <f t="shared" si="2"/>
        <v>7.5209999999999999</v>
      </c>
      <c r="R67" s="451">
        <f>SUMIF('Wege im Detail'!$A:$A,"2039",'Wege im Detail'!$P:$P)</f>
        <v>15.286</v>
      </c>
      <c r="S67" s="452" t="s">
        <v>1034</v>
      </c>
      <c r="T67" s="453">
        <v>43952</v>
      </c>
      <c r="U67" s="448"/>
      <c r="V67" s="469" t="s">
        <v>58</v>
      </c>
      <c r="W67" s="448"/>
    </row>
    <row r="68" spans="1:253" s="458" customFormat="1" ht="56.25" x14ac:dyDescent="0.2">
      <c r="A68" s="438">
        <v>2040</v>
      </c>
      <c r="B68" s="445" t="s">
        <v>51</v>
      </c>
      <c r="C68" s="445" t="s">
        <v>52</v>
      </c>
      <c r="D68" s="445" t="s">
        <v>91</v>
      </c>
      <c r="E68" s="445"/>
      <c r="F68" s="445"/>
      <c r="G68" s="446">
        <v>54</v>
      </c>
      <c r="H68" s="445">
        <v>37</v>
      </c>
      <c r="I68" s="445"/>
      <c r="J68" s="445">
        <v>1</v>
      </c>
      <c r="K68" s="447">
        <v>3</v>
      </c>
      <c r="L68" s="445"/>
      <c r="M68" s="445">
        <v>5</v>
      </c>
      <c r="N68" s="445" t="s">
        <v>98</v>
      </c>
      <c r="O68" s="464" t="s">
        <v>1036</v>
      </c>
      <c r="P68" s="450">
        <v>7.1820000000000004</v>
      </c>
      <c r="Q68" s="451">
        <f t="shared" si="2"/>
        <v>7.1820000000000004</v>
      </c>
      <c r="R68" s="451">
        <f>SUMIF('Wege im Detail'!$A:$A,"2040",'Wege im Detail'!$P:$P)</f>
        <v>10.612</v>
      </c>
      <c r="S68" s="452" t="s">
        <v>1037</v>
      </c>
      <c r="T68" s="453">
        <v>43101</v>
      </c>
      <c r="U68" s="534" t="s">
        <v>1038</v>
      </c>
      <c r="V68" s="457" t="s">
        <v>1039</v>
      </c>
      <c r="W68" s="448"/>
      <c r="X68" s="455"/>
      <c r="Y68" s="455"/>
      <c r="Z68" s="455"/>
      <c r="AA68" s="455"/>
      <c r="AB68" s="455"/>
      <c r="AC68" s="455"/>
      <c r="AD68" s="455"/>
      <c r="AE68" s="455"/>
      <c r="AF68" s="455"/>
      <c r="AG68" s="455"/>
      <c r="AH68" s="455"/>
      <c r="AI68" s="455"/>
      <c r="AJ68" s="455"/>
      <c r="AK68" s="455"/>
      <c r="AL68" s="455"/>
      <c r="AM68" s="455"/>
      <c r="AN68" s="455"/>
      <c r="AO68" s="455"/>
      <c r="AP68" s="455"/>
      <c r="AQ68" s="455"/>
      <c r="AR68" s="455"/>
      <c r="AS68" s="455"/>
      <c r="AT68" s="455"/>
      <c r="AU68" s="455"/>
      <c r="AV68" s="455"/>
      <c r="AW68" s="455"/>
      <c r="AX68" s="455"/>
      <c r="AY68" s="455"/>
      <c r="AZ68" s="455"/>
      <c r="BA68" s="455"/>
      <c r="BB68" s="455"/>
      <c r="BC68" s="455"/>
      <c r="BD68" s="455"/>
      <c r="BE68" s="455"/>
      <c r="BF68" s="455"/>
      <c r="BG68" s="455"/>
      <c r="BH68" s="455"/>
      <c r="BI68" s="455"/>
      <c r="BJ68" s="455"/>
      <c r="BK68" s="455"/>
      <c r="BL68" s="455"/>
      <c r="BM68" s="455"/>
      <c r="BN68" s="455"/>
      <c r="BO68" s="455"/>
      <c r="BP68" s="455"/>
      <c r="BQ68" s="455"/>
      <c r="BR68" s="455"/>
      <c r="BS68" s="455"/>
      <c r="BT68" s="455"/>
      <c r="BU68" s="455"/>
      <c r="BV68" s="455"/>
      <c r="BW68" s="455"/>
      <c r="BX68" s="455"/>
      <c r="BY68" s="455"/>
      <c r="BZ68" s="455"/>
      <c r="CA68" s="455"/>
      <c r="CB68" s="455"/>
      <c r="CC68" s="455"/>
      <c r="CD68" s="455"/>
      <c r="CE68" s="455"/>
      <c r="CF68" s="455"/>
      <c r="CG68" s="455"/>
      <c r="CH68" s="455"/>
      <c r="CI68" s="455"/>
      <c r="CJ68" s="455"/>
      <c r="CK68" s="455"/>
      <c r="CL68" s="455"/>
      <c r="CM68" s="455"/>
      <c r="CN68" s="455"/>
      <c r="CO68" s="455"/>
      <c r="CP68" s="455"/>
      <c r="CQ68" s="455"/>
      <c r="CR68" s="455"/>
      <c r="CS68" s="455"/>
      <c r="CT68" s="455"/>
      <c r="CU68" s="455"/>
      <c r="CV68" s="455"/>
      <c r="CW68" s="455"/>
      <c r="CX68" s="455"/>
      <c r="CY68" s="455"/>
      <c r="CZ68" s="455"/>
      <c r="DA68" s="455"/>
      <c r="DB68" s="455"/>
      <c r="DC68" s="455"/>
      <c r="DD68" s="455"/>
      <c r="DE68" s="455"/>
      <c r="DF68" s="455"/>
      <c r="DG68" s="455"/>
      <c r="DH68" s="455"/>
      <c r="DI68" s="455"/>
      <c r="DJ68" s="455"/>
      <c r="DK68" s="455"/>
      <c r="DL68" s="455"/>
      <c r="DM68" s="455"/>
      <c r="DN68" s="455"/>
      <c r="DO68" s="455"/>
      <c r="DP68" s="455"/>
      <c r="DQ68" s="455"/>
      <c r="DR68" s="455"/>
      <c r="DS68" s="455"/>
      <c r="DT68" s="455"/>
      <c r="DU68" s="455"/>
      <c r="DV68" s="455"/>
      <c r="DW68" s="455"/>
      <c r="DX68" s="455"/>
      <c r="DY68" s="455"/>
      <c r="DZ68" s="455"/>
      <c r="EA68" s="455"/>
      <c r="EB68" s="455"/>
      <c r="EC68" s="455"/>
      <c r="ED68" s="455"/>
      <c r="EE68" s="455"/>
      <c r="EF68" s="455"/>
      <c r="EG68" s="455"/>
      <c r="EH68" s="455"/>
      <c r="EI68" s="455"/>
      <c r="EJ68" s="455"/>
      <c r="EK68" s="455"/>
      <c r="EL68" s="455"/>
      <c r="EM68" s="455"/>
      <c r="EN68" s="455"/>
      <c r="EO68" s="455"/>
      <c r="EP68" s="455"/>
      <c r="EQ68" s="455"/>
      <c r="ER68" s="455"/>
      <c r="ES68" s="455"/>
      <c r="ET68" s="455"/>
      <c r="EU68" s="455"/>
      <c r="EV68" s="455"/>
      <c r="EW68" s="455"/>
      <c r="EX68" s="455"/>
      <c r="EY68" s="455"/>
      <c r="EZ68" s="455"/>
      <c r="FA68" s="455"/>
      <c r="FB68" s="455"/>
      <c r="FC68" s="455"/>
      <c r="FD68" s="455"/>
      <c r="FE68" s="455"/>
      <c r="FF68" s="455"/>
      <c r="FG68" s="455"/>
      <c r="FH68" s="455"/>
      <c r="FI68" s="455"/>
      <c r="FJ68" s="455"/>
      <c r="FK68" s="455"/>
      <c r="FL68" s="455"/>
      <c r="FM68" s="455"/>
      <c r="FN68" s="455"/>
      <c r="FO68" s="455"/>
      <c r="FP68" s="455"/>
      <c r="FQ68" s="455"/>
      <c r="FR68" s="455"/>
      <c r="FS68" s="455"/>
      <c r="FT68" s="455"/>
      <c r="FU68" s="455"/>
      <c r="FV68" s="455"/>
      <c r="FW68" s="455"/>
      <c r="FX68" s="455"/>
      <c r="FY68" s="455"/>
      <c r="FZ68" s="455"/>
      <c r="GA68" s="455"/>
      <c r="GB68" s="455"/>
      <c r="GC68" s="455"/>
      <c r="GD68" s="455"/>
      <c r="GE68" s="455"/>
      <c r="GF68" s="455"/>
      <c r="GG68" s="455"/>
      <c r="GH68" s="455"/>
      <c r="GI68" s="455"/>
      <c r="GJ68" s="455"/>
      <c r="GK68" s="455"/>
      <c r="GL68" s="455"/>
      <c r="GM68" s="455"/>
      <c r="GN68" s="455"/>
      <c r="GO68" s="455"/>
      <c r="GP68" s="455"/>
      <c r="GQ68" s="455"/>
      <c r="GR68" s="455"/>
      <c r="GS68" s="455"/>
      <c r="GT68" s="455"/>
      <c r="GU68" s="455"/>
      <c r="GV68" s="455"/>
      <c r="GW68" s="455"/>
      <c r="GX68" s="455"/>
      <c r="GY68" s="455"/>
      <c r="GZ68" s="455"/>
      <c r="HA68" s="455"/>
      <c r="HB68" s="455"/>
      <c r="HC68" s="455"/>
      <c r="HD68" s="455"/>
      <c r="HE68" s="455"/>
      <c r="HF68" s="455"/>
      <c r="HG68" s="455"/>
      <c r="HH68" s="455"/>
      <c r="HI68" s="455"/>
      <c r="HJ68" s="455"/>
      <c r="HK68" s="455"/>
      <c r="HL68" s="455"/>
      <c r="HM68" s="455"/>
      <c r="HN68" s="455"/>
      <c r="HO68" s="455"/>
      <c r="HP68" s="455"/>
      <c r="HQ68" s="455"/>
      <c r="HR68" s="455"/>
      <c r="HS68" s="455"/>
      <c r="HT68" s="455"/>
      <c r="HU68" s="455"/>
      <c r="HV68" s="455"/>
      <c r="HW68" s="455"/>
      <c r="HX68" s="455"/>
      <c r="HY68" s="455"/>
      <c r="HZ68" s="455"/>
      <c r="IA68" s="455"/>
      <c r="IB68" s="455"/>
      <c r="IC68" s="455"/>
      <c r="ID68" s="455"/>
      <c r="IE68" s="455"/>
      <c r="IF68" s="455"/>
      <c r="IG68" s="455"/>
      <c r="IH68" s="455"/>
      <c r="II68" s="455"/>
      <c r="IJ68" s="455"/>
      <c r="IK68" s="455"/>
      <c r="IL68" s="455"/>
      <c r="IM68" s="455"/>
      <c r="IN68" s="455"/>
      <c r="IO68" s="455"/>
      <c r="IP68" s="455"/>
      <c r="IQ68" s="455"/>
      <c r="IR68" s="455"/>
      <c r="IS68" s="455"/>
    </row>
    <row r="69" spans="1:253" s="458" customFormat="1" ht="45" x14ac:dyDescent="0.2">
      <c r="A69" s="444">
        <v>2040</v>
      </c>
      <c r="B69" s="445" t="s">
        <v>51</v>
      </c>
      <c r="C69" s="445" t="s">
        <v>52</v>
      </c>
      <c r="D69" s="445" t="s">
        <v>91</v>
      </c>
      <c r="E69" s="445"/>
      <c r="F69" s="445"/>
      <c r="G69" s="446">
        <v>54</v>
      </c>
      <c r="H69" s="445">
        <v>37</v>
      </c>
      <c r="I69" s="445"/>
      <c r="J69" s="445">
        <v>2</v>
      </c>
      <c r="K69" s="447">
        <v>3</v>
      </c>
      <c r="L69" s="445"/>
      <c r="M69" s="445">
        <v>4</v>
      </c>
      <c r="N69" s="445" t="s">
        <v>118</v>
      </c>
      <c r="O69" s="464" t="s">
        <v>1040</v>
      </c>
      <c r="P69" s="450">
        <v>2.4009999999999998</v>
      </c>
      <c r="Q69" s="451">
        <f t="shared" si="2"/>
        <v>2.4009999999999998</v>
      </c>
      <c r="R69" s="451">
        <f>SUMIF('Wege im Detail'!$A:$A,"2040",'Wege im Detail'!$P:$P)</f>
        <v>10.612</v>
      </c>
      <c r="S69" s="452" t="s">
        <v>1037</v>
      </c>
      <c r="T69" s="453">
        <v>43101</v>
      </c>
      <c r="U69" s="448"/>
      <c r="V69" s="457"/>
      <c r="W69" s="448"/>
      <c r="X69" s="455"/>
      <c r="Y69" s="455"/>
      <c r="Z69" s="455"/>
      <c r="AA69" s="455"/>
      <c r="AB69" s="455"/>
      <c r="AC69" s="455"/>
      <c r="AD69" s="455"/>
      <c r="AE69" s="455"/>
      <c r="AF69" s="455"/>
      <c r="AG69" s="455"/>
      <c r="AH69" s="455"/>
      <c r="AI69" s="455"/>
      <c r="AJ69" s="455"/>
      <c r="AK69" s="455"/>
      <c r="AL69" s="455"/>
      <c r="AM69" s="455"/>
      <c r="AN69" s="455"/>
      <c r="AO69" s="455"/>
      <c r="AP69" s="455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5"/>
      <c r="BH69" s="455"/>
      <c r="BI69" s="455"/>
      <c r="BJ69" s="455"/>
      <c r="BK69" s="455"/>
      <c r="BL69" s="455"/>
      <c r="BM69" s="455"/>
      <c r="BN69" s="455"/>
      <c r="BO69" s="455"/>
      <c r="BP69" s="455"/>
      <c r="BQ69" s="455"/>
      <c r="BR69" s="455"/>
      <c r="BS69" s="455"/>
      <c r="BT69" s="455"/>
      <c r="BU69" s="455"/>
      <c r="BV69" s="455"/>
      <c r="BW69" s="455"/>
      <c r="BX69" s="455"/>
      <c r="BY69" s="455"/>
      <c r="BZ69" s="455"/>
      <c r="CA69" s="455"/>
      <c r="CB69" s="455"/>
      <c r="CC69" s="455"/>
      <c r="CD69" s="455"/>
      <c r="CE69" s="455"/>
      <c r="CF69" s="455"/>
      <c r="CG69" s="455"/>
      <c r="CH69" s="455"/>
      <c r="CI69" s="455"/>
      <c r="CJ69" s="455"/>
      <c r="CK69" s="455"/>
      <c r="CL69" s="455"/>
      <c r="CM69" s="455"/>
      <c r="CN69" s="455"/>
      <c r="CO69" s="455"/>
      <c r="CP69" s="455"/>
      <c r="CQ69" s="455"/>
      <c r="CR69" s="455"/>
      <c r="CS69" s="455"/>
      <c r="CT69" s="455"/>
      <c r="CU69" s="455"/>
      <c r="CV69" s="455"/>
      <c r="CW69" s="455"/>
      <c r="CX69" s="455"/>
      <c r="CY69" s="455"/>
      <c r="CZ69" s="455"/>
      <c r="DA69" s="455"/>
      <c r="DB69" s="455"/>
      <c r="DC69" s="455"/>
      <c r="DD69" s="455"/>
      <c r="DE69" s="455"/>
      <c r="DF69" s="455"/>
      <c r="DG69" s="455"/>
      <c r="DH69" s="455"/>
      <c r="DI69" s="455"/>
      <c r="DJ69" s="455"/>
      <c r="DK69" s="455"/>
      <c r="DL69" s="455"/>
      <c r="DM69" s="455"/>
      <c r="DN69" s="455"/>
      <c r="DO69" s="455"/>
      <c r="DP69" s="455"/>
      <c r="DQ69" s="455"/>
      <c r="DR69" s="455"/>
      <c r="DS69" s="455"/>
      <c r="DT69" s="455"/>
      <c r="DU69" s="455"/>
      <c r="DV69" s="455"/>
      <c r="DW69" s="455"/>
      <c r="DX69" s="455"/>
      <c r="DY69" s="455"/>
      <c r="DZ69" s="455"/>
      <c r="EA69" s="455"/>
      <c r="EB69" s="455"/>
      <c r="EC69" s="455"/>
      <c r="ED69" s="455"/>
      <c r="EE69" s="455"/>
      <c r="EF69" s="455"/>
      <c r="EG69" s="455"/>
      <c r="EH69" s="455"/>
      <c r="EI69" s="455"/>
      <c r="EJ69" s="455"/>
      <c r="EK69" s="455"/>
      <c r="EL69" s="455"/>
      <c r="EM69" s="455"/>
      <c r="EN69" s="455"/>
      <c r="EO69" s="455"/>
      <c r="EP69" s="455"/>
      <c r="EQ69" s="455"/>
      <c r="ER69" s="455"/>
      <c r="ES69" s="455"/>
      <c r="ET69" s="455"/>
      <c r="EU69" s="455"/>
      <c r="EV69" s="455"/>
      <c r="EW69" s="455"/>
      <c r="EX69" s="455"/>
      <c r="EY69" s="455"/>
      <c r="EZ69" s="455"/>
      <c r="FA69" s="455"/>
      <c r="FB69" s="455"/>
      <c r="FC69" s="455"/>
      <c r="FD69" s="455"/>
      <c r="FE69" s="455"/>
      <c r="FF69" s="455"/>
      <c r="FG69" s="455"/>
      <c r="FH69" s="455"/>
      <c r="FI69" s="455"/>
      <c r="FJ69" s="455"/>
      <c r="FK69" s="455"/>
      <c r="FL69" s="455"/>
      <c r="FM69" s="455"/>
      <c r="FN69" s="455"/>
      <c r="FO69" s="455"/>
      <c r="FP69" s="455"/>
      <c r="FQ69" s="455"/>
      <c r="FR69" s="455"/>
      <c r="FS69" s="455"/>
      <c r="FT69" s="455"/>
      <c r="FU69" s="455"/>
      <c r="FV69" s="455"/>
      <c r="FW69" s="455"/>
      <c r="FX69" s="455"/>
      <c r="FY69" s="455"/>
      <c r="FZ69" s="455"/>
      <c r="GA69" s="455"/>
      <c r="GB69" s="455"/>
      <c r="GC69" s="455"/>
      <c r="GD69" s="455"/>
      <c r="GE69" s="455"/>
      <c r="GF69" s="455"/>
      <c r="GG69" s="455"/>
      <c r="GH69" s="455"/>
      <c r="GI69" s="455"/>
      <c r="GJ69" s="455"/>
      <c r="GK69" s="455"/>
      <c r="GL69" s="455"/>
      <c r="GM69" s="455"/>
      <c r="GN69" s="455"/>
      <c r="GO69" s="455"/>
      <c r="GP69" s="455"/>
      <c r="GQ69" s="455"/>
      <c r="GR69" s="455"/>
      <c r="GS69" s="455"/>
      <c r="GT69" s="455"/>
      <c r="GU69" s="455"/>
      <c r="GV69" s="455"/>
      <c r="GW69" s="455"/>
      <c r="GX69" s="455"/>
      <c r="GY69" s="455"/>
      <c r="GZ69" s="455"/>
      <c r="HA69" s="455"/>
      <c r="HB69" s="455"/>
      <c r="HC69" s="455"/>
      <c r="HD69" s="455"/>
      <c r="HE69" s="455"/>
      <c r="HF69" s="455"/>
      <c r="HG69" s="455"/>
      <c r="HH69" s="455"/>
      <c r="HI69" s="455"/>
      <c r="HJ69" s="455"/>
      <c r="HK69" s="455"/>
      <c r="HL69" s="455"/>
      <c r="HM69" s="455"/>
      <c r="HN69" s="455"/>
      <c r="HO69" s="455"/>
      <c r="HP69" s="455"/>
      <c r="HQ69" s="455"/>
      <c r="HR69" s="455"/>
      <c r="HS69" s="455"/>
      <c r="HT69" s="455"/>
      <c r="HU69" s="455"/>
      <c r="HV69" s="455"/>
      <c r="HW69" s="455"/>
      <c r="HX69" s="455"/>
      <c r="HY69" s="455"/>
      <c r="HZ69" s="455"/>
      <c r="IA69" s="455"/>
      <c r="IB69" s="455"/>
      <c r="IC69" s="455"/>
      <c r="ID69" s="455"/>
      <c r="IE69" s="455"/>
      <c r="IF69" s="455"/>
      <c r="IG69" s="455"/>
      <c r="IH69" s="455"/>
      <c r="II69" s="455"/>
      <c r="IJ69" s="455"/>
      <c r="IK69" s="455"/>
      <c r="IL69" s="455"/>
      <c r="IM69" s="455"/>
      <c r="IN69" s="455"/>
      <c r="IO69" s="455"/>
      <c r="IP69" s="455"/>
      <c r="IQ69" s="455"/>
      <c r="IR69" s="455"/>
      <c r="IS69" s="455"/>
    </row>
    <row r="70" spans="1:253" s="458" customFormat="1" ht="45" x14ac:dyDescent="0.2">
      <c r="A70" s="444">
        <v>2040</v>
      </c>
      <c r="B70" s="445" t="s">
        <v>51</v>
      </c>
      <c r="C70" s="445" t="s">
        <v>52</v>
      </c>
      <c r="D70" s="445" t="s">
        <v>91</v>
      </c>
      <c r="E70" s="445"/>
      <c r="F70" s="445"/>
      <c r="G70" s="446">
        <v>54</v>
      </c>
      <c r="H70" s="445">
        <v>37</v>
      </c>
      <c r="I70" s="445"/>
      <c r="J70" s="445">
        <v>3</v>
      </c>
      <c r="K70" s="447">
        <v>3</v>
      </c>
      <c r="L70" s="445"/>
      <c r="M70" s="445">
        <v>4</v>
      </c>
      <c r="N70" s="445" t="s">
        <v>56</v>
      </c>
      <c r="O70" s="464" t="s">
        <v>1041</v>
      </c>
      <c r="P70" s="450">
        <v>1.0289999999999999</v>
      </c>
      <c r="Q70" s="451">
        <f t="shared" si="2"/>
        <v>1.0289999999999999</v>
      </c>
      <c r="R70" s="451">
        <f>SUMIF('Wege im Detail'!$A:$A,"2040",'Wege im Detail'!$P:$P)</f>
        <v>10.612</v>
      </c>
      <c r="S70" s="452" t="s">
        <v>1037</v>
      </c>
      <c r="T70" s="453">
        <v>43101</v>
      </c>
      <c r="U70" s="448"/>
      <c r="V70" s="457"/>
      <c r="W70" s="448"/>
      <c r="X70" s="455"/>
      <c r="Y70" s="455"/>
      <c r="Z70" s="455"/>
      <c r="AA70" s="455"/>
      <c r="AB70" s="455"/>
      <c r="AC70" s="455"/>
      <c r="AD70" s="455"/>
      <c r="AE70" s="455"/>
      <c r="AF70" s="455"/>
      <c r="AG70" s="455"/>
      <c r="AH70" s="455"/>
      <c r="AI70" s="455"/>
      <c r="AJ70" s="455"/>
      <c r="AK70" s="455"/>
      <c r="AL70" s="455"/>
      <c r="AM70" s="455"/>
      <c r="AN70" s="455"/>
      <c r="AO70" s="455"/>
      <c r="AP70" s="455"/>
      <c r="AQ70" s="455"/>
      <c r="AR70" s="455"/>
      <c r="AS70" s="455"/>
      <c r="AT70" s="455"/>
      <c r="AU70" s="455"/>
      <c r="AV70" s="455"/>
      <c r="AW70" s="455"/>
      <c r="AX70" s="455"/>
      <c r="AY70" s="455"/>
      <c r="AZ70" s="455"/>
      <c r="BA70" s="455"/>
      <c r="BB70" s="455"/>
      <c r="BC70" s="455"/>
      <c r="BD70" s="455"/>
      <c r="BE70" s="455"/>
      <c r="BF70" s="455"/>
      <c r="BG70" s="455"/>
      <c r="BH70" s="455"/>
      <c r="BI70" s="455"/>
      <c r="BJ70" s="455"/>
      <c r="BK70" s="455"/>
      <c r="BL70" s="455"/>
      <c r="BM70" s="455"/>
      <c r="BN70" s="455"/>
      <c r="BO70" s="455"/>
      <c r="BP70" s="455"/>
      <c r="BQ70" s="455"/>
      <c r="BR70" s="455"/>
      <c r="BS70" s="455"/>
      <c r="BT70" s="455"/>
      <c r="BU70" s="455"/>
      <c r="BV70" s="455"/>
      <c r="BW70" s="455"/>
      <c r="BX70" s="455"/>
      <c r="BY70" s="455"/>
      <c r="BZ70" s="455"/>
      <c r="CA70" s="455"/>
      <c r="CB70" s="455"/>
      <c r="CC70" s="455"/>
      <c r="CD70" s="455"/>
      <c r="CE70" s="455"/>
      <c r="CF70" s="455"/>
      <c r="CG70" s="455"/>
      <c r="CH70" s="455"/>
      <c r="CI70" s="455"/>
      <c r="CJ70" s="455"/>
      <c r="CK70" s="455"/>
      <c r="CL70" s="455"/>
      <c r="CM70" s="455"/>
      <c r="CN70" s="455"/>
      <c r="CO70" s="455"/>
      <c r="CP70" s="455"/>
      <c r="CQ70" s="455"/>
      <c r="CR70" s="455"/>
      <c r="CS70" s="455"/>
      <c r="CT70" s="455"/>
      <c r="CU70" s="455"/>
      <c r="CV70" s="455"/>
      <c r="CW70" s="455"/>
      <c r="CX70" s="455"/>
      <c r="CY70" s="455"/>
      <c r="CZ70" s="455"/>
      <c r="DA70" s="455"/>
      <c r="DB70" s="455"/>
      <c r="DC70" s="455"/>
      <c r="DD70" s="455"/>
      <c r="DE70" s="455"/>
      <c r="DF70" s="455"/>
      <c r="DG70" s="455"/>
      <c r="DH70" s="455"/>
      <c r="DI70" s="455"/>
      <c r="DJ70" s="455"/>
      <c r="DK70" s="455"/>
      <c r="DL70" s="455"/>
      <c r="DM70" s="455"/>
      <c r="DN70" s="455"/>
      <c r="DO70" s="455"/>
      <c r="DP70" s="455"/>
      <c r="DQ70" s="455"/>
      <c r="DR70" s="455"/>
      <c r="DS70" s="455"/>
      <c r="DT70" s="455"/>
      <c r="DU70" s="455"/>
      <c r="DV70" s="455"/>
      <c r="DW70" s="455"/>
      <c r="DX70" s="455"/>
      <c r="DY70" s="455"/>
      <c r="DZ70" s="455"/>
      <c r="EA70" s="455"/>
      <c r="EB70" s="455"/>
      <c r="EC70" s="455"/>
      <c r="ED70" s="455"/>
      <c r="EE70" s="455"/>
      <c r="EF70" s="455"/>
      <c r="EG70" s="455"/>
      <c r="EH70" s="455"/>
      <c r="EI70" s="455"/>
      <c r="EJ70" s="455"/>
      <c r="EK70" s="455"/>
      <c r="EL70" s="455"/>
      <c r="EM70" s="455"/>
      <c r="EN70" s="455"/>
      <c r="EO70" s="455"/>
      <c r="EP70" s="455"/>
      <c r="EQ70" s="455"/>
      <c r="ER70" s="455"/>
      <c r="ES70" s="455"/>
      <c r="ET70" s="455"/>
      <c r="EU70" s="455"/>
      <c r="EV70" s="455"/>
      <c r="EW70" s="455"/>
      <c r="EX70" s="455"/>
      <c r="EY70" s="455"/>
      <c r="EZ70" s="455"/>
      <c r="FA70" s="455"/>
      <c r="FB70" s="455"/>
      <c r="FC70" s="455"/>
      <c r="FD70" s="455"/>
      <c r="FE70" s="455"/>
      <c r="FF70" s="455"/>
      <c r="FG70" s="455"/>
      <c r="FH70" s="455"/>
      <c r="FI70" s="455"/>
      <c r="FJ70" s="455"/>
      <c r="FK70" s="455"/>
      <c r="FL70" s="455"/>
      <c r="FM70" s="455"/>
      <c r="FN70" s="455"/>
      <c r="FO70" s="455"/>
      <c r="FP70" s="455"/>
      <c r="FQ70" s="455"/>
      <c r="FR70" s="455"/>
      <c r="FS70" s="455"/>
      <c r="FT70" s="455"/>
      <c r="FU70" s="455"/>
      <c r="FV70" s="455"/>
      <c r="FW70" s="455"/>
      <c r="FX70" s="455"/>
      <c r="FY70" s="455"/>
      <c r="FZ70" s="455"/>
      <c r="GA70" s="455"/>
      <c r="GB70" s="455"/>
      <c r="GC70" s="455"/>
      <c r="GD70" s="455"/>
      <c r="GE70" s="455"/>
      <c r="GF70" s="455"/>
      <c r="GG70" s="455"/>
      <c r="GH70" s="455"/>
      <c r="GI70" s="455"/>
      <c r="GJ70" s="455"/>
      <c r="GK70" s="455"/>
      <c r="GL70" s="455"/>
      <c r="GM70" s="455"/>
      <c r="GN70" s="455"/>
      <c r="GO70" s="455"/>
      <c r="GP70" s="455"/>
      <c r="GQ70" s="455"/>
      <c r="GR70" s="455"/>
      <c r="GS70" s="455"/>
      <c r="GT70" s="455"/>
      <c r="GU70" s="455"/>
      <c r="GV70" s="455"/>
      <c r="GW70" s="455"/>
      <c r="GX70" s="455"/>
      <c r="GY70" s="455"/>
      <c r="GZ70" s="455"/>
      <c r="HA70" s="455"/>
      <c r="HB70" s="455"/>
      <c r="HC70" s="455"/>
      <c r="HD70" s="455"/>
      <c r="HE70" s="455"/>
      <c r="HF70" s="455"/>
      <c r="HG70" s="455"/>
      <c r="HH70" s="455"/>
      <c r="HI70" s="455"/>
      <c r="HJ70" s="455"/>
      <c r="HK70" s="455"/>
      <c r="HL70" s="455"/>
      <c r="HM70" s="455"/>
      <c r="HN70" s="455"/>
      <c r="HO70" s="455"/>
      <c r="HP70" s="455"/>
      <c r="HQ70" s="455"/>
      <c r="HR70" s="455"/>
      <c r="HS70" s="455"/>
      <c r="HT70" s="455"/>
      <c r="HU70" s="455"/>
      <c r="HV70" s="455"/>
      <c r="HW70" s="455"/>
      <c r="HX70" s="455"/>
      <c r="HY70" s="455"/>
      <c r="HZ70" s="455"/>
      <c r="IA70" s="455"/>
      <c r="IB70" s="455"/>
      <c r="IC70" s="455"/>
      <c r="ID70" s="455"/>
      <c r="IE70" s="455"/>
      <c r="IF70" s="455"/>
      <c r="IG70" s="455"/>
      <c r="IH70" s="455"/>
      <c r="II70" s="455"/>
      <c r="IJ70" s="455"/>
      <c r="IK70" s="455"/>
      <c r="IL70" s="455"/>
      <c r="IM70" s="455"/>
      <c r="IN70" s="455"/>
      <c r="IO70" s="455"/>
      <c r="IP70" s="455"/>
      <c r="IQ70" s="455"/>
      <c r="IR70" s="455"/>
      <c r="IS70" s="455"/>
    </row>
    <row r="71" spans="1:253" s="458" customFormat="1" ht="33.75" x14ac:dyDescent="0.2">
      <c r="A71" s="444">
        <v>2050</v>
      </c>
      <c r="B71" s="445" t="s">
        <v>51</v>
      </c>
      <c r="C71" s="445" t="s">
        <v>52</v>
      </c>
      <c r="D71" s="445"/>
      <c r="E71" s="445"/>
      <c r="F71" s="470"/>
      <c r="G71" s="446">
        <v>1</v>
      </c>
      <c r="H71" s="445">
        <v>1</v>
      </c>
      <c r="I71" s="445"/>
      <c r="J71" s="445">
        <v>1</v>
      </c>
      <c r="K71" s="447">
        <v>9</v>
      </c>
      <c r="L71" s="445" t="s">
        <v>101</v>
      </c>
      <c r="M71" s="445">
        <v>4</v>
      </c>
      <c r="N71" s="445" t="s">
        <v>102</v>
      </c>
      <c r="O71" s="449" t="s">
        <v>1042</v>
      </c>
      <c r="P71" s="450">
        <v>9.4689999999999994</v>
      </c>
      <c r="Q71" s="451">
        <f t="shared" si="2"/>
        <v>9.4689999999999994</v>
      </c>
      <c r="R71" s="451">
        <f>SUMIF('Wege im Detail'!$A:$A,"2050",'Wege im Detail'!$P:$P)</f>
        <v>48.313000000000002</v>
      </c>
      <c r="S71" s="452" t="s">
        <v>1043</v>
      </c>
      <c r="T71" s="453">
        <v>43160</v>
      </c>
      <c r="U71" s="448"/>
      <c r="V71" s="457"/>
      <c r="W71" s="448"/>
    </row>
    <row r="72" spans="1:253" s="458" customFormat="1" ht="33.75" x14ac:dyDescent="0.2">
      <c r="A72" s="444">
        <v>2050</v>
      </c>
      <c r="B72" s="445" t="s">
        <v>51</v>
      </c>
      <c r="C72" s="445" t="s">
        <v>52</v>
      </c>
      <c r="D72" s="445"/>
      <c r="E72" s="445"/>
      <c r="F72" s="470"/>
      <c r="G72" s="446">
        <v>1</v>
      </c>
      <c r="H72" s="445">
        <v>1</v>
      </c>
      <c r="I72" s="445"/>
      <c r="J72" s="445">
        <v>2</v>
      </c>
      <c r="K72" s="447">
        <v>9</v>
      </c>
      <c r="L72" s="445" t="s">
        <v>101</v>
      </c>
      <c r="M72" s="445">
        <v>4</v>
      </c>
      <c r="N72" s="445" t="s">
        <v>89</v>
      </c>
      <c r="O72" s="449" t="s">
        <v>1044</v>
      </c>
      <c r="P72" s="450">
        <v>4.7720000000000002</v>
      </c>
      <c r="Q72" s="451">
        <f t="shared" si="2"/>
        <v>4.7720000000000002</v>
      </c>
      <c r="R72" s="451">
        <f>SUMIF('Wege im Detail'!$A:$A,"2050",'Wege im Detail'!$P:$P)</f>
        <v>48.313000000000002</v>
      </c>
      <c r="S72" s="452" t="s">
        <v>1043</v>
      </c>
      <c r="T72" s="453">
        <v>43160</v>
      </c>
      <c r="U72" s="448"/>
      <c r="V72" s="457"/>
      <c r="W72" s="448"/>
    </row>
    <row r="73" spans="1:253" s="458" customFormat="1" ht="33.75" x14ac:dyDescent="0.2">
      <c r="A73" s="444">
        <v>2050</v>
      </c>
      <c r="B73" s="445" t="s">
        <v>51</v>
      </c>
      <c r="C73" s="445" t="s">
        <v>52</v>
      </c>
      <c r="D73" s="445"/>
      <c r="E73" s="445"/>
      <c r="F73" s="470"/>
      <c r="G73" s="446">
        <v>1</v>
      </c>
      <c r="H73" s="445">
        <v>1</v>
      </c>
      <c r="I73" s="445"/>
      <c r="J73" s="445">
        <v>3</v>
      </c>
      <c r="K73" s="447">
        <v>9</v>
      </c>
      <c r="L73" s="445" t="s">
        <v>101</v>
      </c>
      <c r="M73" s="445">
        <v>4</v>
      </c>
      <c r="N73" s="445" t="s">
        <v>56</v>
      </c>
      <c r="O73" s="449" t="s">
        <v>1045</v>
      </c>
      <c r="P73" s="450">
        <v>1.9339999999999999</v>
      </c>
      <c r="Q73" s="451">
        <f t="shared" si="2"/>
        <v>1.9339999999999999</v>
      </c>
      <c r="R73" s="451">
        <f>SUMIF('Wege im Detail'!$A:$A,"2050",'Wege im Detail'!$P:$P)</f>
        <v>48.313000000000002</v>
      </c>
      <c r="S73" s="452" t="s">
        <v>1043</v>
      </c>
      <c r="T73" s="453">
        <v>43160</v>
      </c>
      <c r="U73" s="448"/>
      <c r="V73" s="457"/>
      <c r="W73" s="448"/>
    </row>
    <row r="74" spans="1:253" s="458" customFormat="1" ht="33.75" x14ac:dyDescent="0.2">
      <c r="A74" s="438">
        <v>2050</v>
      </c>
      <c r="B74" s="445" t="s">
        <v>51</v>
      </c>
      <c r="C74" s="445" t="s">
        <v>52</v>
      </c>
      <c r="D74" s="445"/>
      <c r="E74" s="445"/>
      <c r="F74" s="470"/>
      <c r="G74" s="446">
        <v>1</v>
      </c>
      <c r="H74" s="445">
        <v>1</v>
      </c>
      <c r="I74" s="445"/>
      <c r="J74" s="445">
        <v>4</v>
      </c>
      <c r="K74" s="447">
        <v>9</v>
      </c>
      <c r="L74" s="445" t="s">
        <v>101</v>
      </c>
      <c r="M74" s="445">
        <v>5</v>
      </c>
      <c r="N74" s="445" t="s">
        <v>111</v>
      </c>
      <c r="O74" s="449" t="s">
        <v>1046</v>
      </c>
      <c r="P74" s="450">
        <v>5.0510000000000002</v>
      </c>
      <c r="Q74" s="451">
        <f t="shared" si="2"/>
        <v>5.0510000000000002</v>
      </c>
      <c r="R74" s="451">
        <f>SUMIF('Wege im Detail'!$A:$A,"2050",'Wege im Detail'!$P:$P)</f>
        <v>48.313000000000002</v>
      </c>
      <c r="S74" s="452" t="s">
        <v>1043</v>
      </c>
      <c r="T74" s="453">
        <v>43160</v>
      </c>
      <c r="U74" s="534" t="s">
        <v>1047</v>
      </c>
      <c r="V74" s="457"/>
      <c r="W74" s="534"/>
      <c r="X74" s="455"/>
      <c r="Y74" s="455"/>
      <c r="Z74" s="455"/>
      <c r="AA74" s="455"/>
      <c r="AB74" s="455"/>
      <c r="AC74" s="455"/>
      <c r="AD74" s="455"/>
      <c r="AE74" s="455"/>
      <c r="AF74" s="455"/>
      <c r="AG74" s="455"/>
      <c r="AH74" s="455"/>
      <c r="AI74" s="455"/>
      <c r="AJ74" s="455"/>
      <c r="AK74" s="455"/>
      <c r="AL74" s="455"/>
      <c r="AM74" s="455"/>
      <c r="AN74" s="455"/>
      <c r="AO74" s="455"/>
      <c r="AP74" s="455"/>
      <c r="AQ74" s="455"/>
      <c r="AR74" s="455"/>
      <c r="AS74" s="455"/>
      <c r="AT74" s="455"/>
      <c r="AU74" s="455"/>
      <c r="AV74" s="455"/>
      <c r="AW74" s="455"/>
      <c r="AX74" s="455"/>
      <c r="AY74" s="455"/>
      <c r="AZ74" s="455"/>
      <c r="BA74" s="455"/>
      <c r="BB74" s="455"/>
      <c r="BC74" s="455"/>
      <c r="BD74" s="455"/>
      <c r="BE74" s="455"/>
      <c r="BF74" s="455"/>
      <c r="BG74" s="455"/>
      <c r="BH74" s="455"/>
      <c r="BI74" s="455"/>
      <c r="BJ74" s="455"/>
      <c r="BK74" s="455"/>
      <c r="BL74" s="455"/>
      <c r="BM74" s="455"/>
      <c r="BN74" s="455"/>
      <c r="BO74" s="455"/>
      <c r="BP74" s="455"/>
      <c r="BQ74" s="455"/>
      <c r="BR74" s="455"/>
      <c r="BS74" s="455"/>
      <c r="BT74" s="455"/>
      <c r="BU74" s="455"/>
      <c r="BV74" s="455"/>
      <c r="BW74" s="455"/>
      <c r="BX74" s="455"/>
      <c r="BY74" s="455"/>
      <c r="BZ74" s="455"/>
      <c r="CA74" s="455"/>
      <c r="CB74" s="455"/>
      <c r="CC74" s="455"/>
      <c r="CD74" s="455"/>
      <c r="CE74" s="455"/>
      <c r="CF74" s="455"/>
      <c r="CG74" s="455"/>
      <c r="CH74" s="455"/>
      <c r="CI74" s="455"/>
      <c r="CJ74" s="455"/>
      <c r="CK74" s="455"/>
      <c r="CL74" s="455"/>
      <c r="CM74" s="455"/>
      <c r="CN74" s="455"/>
      <c r="CO74" s="455"/>
      <c r="CP74" s="455"/>
      <c r="CQ74" s="455"/>
      <c r="CR74" s="455"/>
      <c r="CS74" s="455"/>
      <c r="CT74" s="455"/>
      <c r="CU74" s="455"/>
      <c r="CV74" s="455"/>
      <c r="CW74" s="455"/>
      <c r="CX74" s="455"/>
      <c r="CY74" s="455"/>
      <c r="CZ74" s="455"/>
      <c r="DA74" s="455"/>
      <c r="DB74" s="455"/>
      <c r="DC74" s="455"/>
      <c r="DD74" s="455"/>
      <c r="DE74" s="455"/>
      <c r="DF74" s="455"/>
      <c r="DG74" s="455"/>
      <c r="DH74" s="455"/>
      <c r="DI74" s="455"/>
      <c r="DJ74" s="455"/>
      <c r="DK74" s="455"/>
      <c r="DL74" s="455"/>
      <c r="DM74" s="455"/>
      <c r="DN74" s="455"/>
      <c r="DO74" s="455"/>
      <c r="DP74" s="455"/>
      <c r="DQ74" s="455"/>
      <c r="DR74" s="455"/>
      <c r="DS74" s="455"/>
      <c r="DT74" s="455"/>
      <c r="DU74" s="455"/>
      <c r="DV74" s="455"/>
      <c r="DW74" s="455"/>
      <c r="DX74" s="455"/>
      <c r="DY74" s="455"/>
      <c r="DZ74" s="455"/>
      <c r="EA74" s="455"/>
      <c r="EB74" s="455"/>
      <c r="EC74" s="455"/>
      <c r="ED74" s="455"/>
      <c r="EE74" s="455"/>
      <c r="EF74" s="455"/>
      <c r="EG74" s="455"/>
      <c r="EH74" s="455"/>
      <c r="EI74" s="455"/>
      <c r="EJ74" s="455"/>
      <c r="EK74" s="455"/>
      <c r="EL74" s="455"/>
      <c r="EM74" s="455"/>
      <c r="EN74" s="455"/>
      <c r="EO74" s="455"/>
      <c r="EP74" s="455"/>
      <c r="EQ74" s="455"/>
      <c r="ER74" s="455"/>
      <c r="ES74" s="455"/>
      <c r="ET74" s="455"/>
      <c r="EU74" s="455"/>
      <c r="EV74" s="455"/>
      <c r="EW74" s="455"/>
      <c r="EX74" s="455"/>
      <c r="EY74" s="455"/>
      <c r="EZ74" s="455"/>
      <c r="FA74" s="455"/>
      <c r="FB74" s="455"/>
      <c r="FC74" s="455"/>
      <c r="FD74" s="455"/>
      <c r="FE74" s="455"/>
      <c r="FF74" s="455"/>
      <c r="FG74" s="455"/>
      <c r="FH74" s="455"/>
      <c r="FI74" s="455"/>
      <c r="FJ74" s="455"/>
      <c r="FK74" s="455"/>
      <c r="FL74" s="455"/>
      <c r="FM74" s="455"/>
      <c r="FN74" s="455"/>
      <c r="FO74" s="455"/>
      <c r="FP74" s="455"/>
      <c r="FQ74" s="455"/>
      <c r="FR74" s="455"/>
      <c r="FS74" s="455"/>
      <c r="FT74" s="455"/>
      <c r="FU74" s="455"/>
      <c r="FV74" s="455"/>
      <c r="FW74" s="455"/>
      <c r="FX74" s="455"/>
      <c r="FY74" s="455"/>
      <c r="FZ74" s="455"/>
      <c r="GA74" s="455"/>
      <c r="GB74" s="455"/>
      <c r="GC74" s="455"/>
      <c r="GD74" s="455"/>
      <c r="GE74" s="455"/>
      <c r="GF74" s="455"/>
      <c r="GG74" s="455"/>
      <c r="GH74" s="455"/>
      <c r="GI74" s="455"/>
      <c r="GJ74" s="455"/>
      <c r="GK74" s="455"/>
      <c r="GL74" s="455"/>
      <c r="GM74" s="455"/>
      <c r="GN74" s="455"/>
      <c r="GO74" s="455"/>
      <c r="GP74" s="455"/>
      <c r="GQ74" s="455"/>
      <c r="GR74" s="455"/>
      <c r="GS74" s="455"/>
      <c r="GT74" s="455"/>
      <c r="GU74" s="455"/>
      <c r="GV74" s="455"/>
      <c r="GW74" s="455"/>
      <c r="GX74" s="455"/>
      <c r="GY74" s="455"/>
      <c r="GZ74" s="455"/>
      <c r="HA74" s="455"/>
      <c r="HB74" s="455"/>
      <c r="HC74" s="455"/>
      <c r="HD74" s="455"/>
      <c r="HE74" s="455"/>
      <c r="HF74" s="455"/>
      <c r="HG74" s="455"/>
      <c r="HH74" s="455"/>
      <c r="HI74" s="455"/>
      <c r="HJ74" s="455"/>
      <c r="HK74" s="455"/>
      <c r="HL74" s="455"/>
      <c r="HM74" s="455"/>
      <c r="HN74" s="455"/>
      <c r="HO74" s="455"/>
      <c r="HP74" s="455"/>
      <c r="HQ74" s="455"/>
      <c r="HR74" s="455"/>
      <c r="HS74" s="455"/>
      <c r="HT74" s="455"/>
      <c r="HU74" s="455"/>
      <c r="HV74" s="455"/>
      <c r="HW74" s="455"/>
      <c r="HX74" s="455"/>
      <c r="HY74" s="455"/>
      <c r="HZ74" s="455"/>
      <c r="IA74" s="455"/>
      <c r="IB74" s="455"/>
      <c r="IC74" s="455"/>
      <c r="ID74" s="455"/>
      <c r="IE74" s="455"/>
      <c r="IF74" s="455"/>
      <c r="IG74" s="455"/>
      <c r="IH74" s="455"/>
      <c r="II74" s="455"/>
      <c r="IJ74" s="455"/>
      <c r="IK74" s="455"/>
      <c r="IL74" s="455"/>
      <c r="IM74" s="455"/>
      <c r="IN74" s="455"/>
      <c r="IO74" s="455"/>
      <c r="IP74" s="455"/>
      <c r="IQ74" s="455"/>
      <c r="IR74" s="455"/>
      <c r="IS74" s="455"/>
    </row>
    <row r="75" spans="1:253" s="458" customFormat="1" ht="45" x14ac:dyDescent="0.2">
      <c r="A75" s="444">
        <v>2050</v>
      </c>
      <c r="B75" s="445" t="s">
        <v>51</v>
      </c>
      <c r="C75" s="445" t="s">
        <v>52</v>
      </c>
      <c r="D75" s="445"/>
      <c r="E75" s="445"/>
      <c r="F75" s="470"/>
      <c r="G75" s="446">
        <v>1</v>
      </c>
      <c r="H75" s="445">
        <v>1</v>
      </c>
      <c r="I75" s="445"/>
      <c r="J75" s="445">
        <v>5</v>
      </c>
      <c r="K75" s="447">
        <v>9</v>
      </c>
      <c r="L75" s="445" t="s">
        <v>101</v>
      </c>
      <c r="M75" s="445">
        <v>5</v>
      </c>
      <c r="N75" s="445" t="s">
        <v>1014</v>
      </c>
      <c r="O75" s="449" t="s">
        <v>1048</v>
      </c>
      <c r="P75" s="450">
        <v>3.4039999999999999</v>
      </c>
      <c r="Q75" s="451">
        <f t="shared" si="2"/>
        <v>3.4039999999999999</v>
      </c>
      <c r="R75" s="451">
        <f>SUMIF('Wege im Detail'!$A:$A,"2050",'Wege im Detail'!$P:$P)</f>
        <v>48.313000000000002</v>
      </c>
      <c r="S75" s="452" t="s">
        <v>1043</v>
      </c>
      <c r="T75" s="453">
        <v>43160</v>
      </c>
      <c r="U75" s="448"/>
      <c r="V75" s="457"/>
      <c r="W75" s="448"/>
      <c r="X75" s="455"/>
      <c r="Y75" s="455"/>
      <c r="Z75" s="455"/>
      <c r="AA75" s="455"/>
      <c r="AB75" s="455"/>
      <c r="AC75" s="455"/>
      <c r="AD75" s="455"/>
      <c r="AE75" s="455"/>
      <c r="AF75" s="455"/>
      <c r="AG75" s="455"/>
      <c r="AH75" s="455"/>
      <c r="AI75" s="455"/>
      <c r="AJ75" s="455"/>
      <c r="AK75" s="455"/>
      <c r="AL75" s="455"/>
      <c r="AM75" s="455"/>
      <c r="AN75" s="455"/>
      <c r="AO75" s="455"/>
      <c r="AP75" s="455"/>
      <c r="AQ75" s="455"/>
      <c r="AR75" s="455"/>
      <c r="AS75" s="455"/>
      <c r="AT75" s="455"/>
      <c r="AU75" s="455"/>
      <c r="AV75" s="455"/>
      <c r="AW75" s="455"/>
      <c r="AX75" s="455"/>
      <c r="AY75" s="455"/>
      <c r="AZ75" s="455"/>
      <c r="BA75" s="455"/>
      <c r="BB75" s="455"/>
      <c r="BC75" s="455"/>
      <c r="BD75" s="455"/>
      <c r="BE75" s="455"/>
      <c r="BF75" s="455"/>
      <c r="BG75" s="455"/>
      <c r="BH75" s="455"/>
      <c r="BI75" s="455"/>
      <c r="BJ75" s="455"/>
      <c r="BK75" s="455"/>
      <c r="BL75" s="455"/>
      <c r="BM75" s="455"/>
      <c r="BN75" s="455"/>
      <c r="BO75" s="455"/>
      <c r="BP75" s="455"/>
      <c r="BQ75" s="455"/>
      <c r="BR75" s="455"/>
      <c r="BS75" s="455"/>
      <c r="BT75" s="455"/>
      <c r="BU75" s="455"/>
      <c r="BV75" s="455"/>
      <c r="BW75" s="455"/>
      <c r="BX75" s="455"/>
      <c r="BY75" s="455"/>
      <c r="BZ75" s="455"/>
      <c r="CA75" s="455"/>
      <c r="CB75" s="455"/>
      <c r="CC75" s="455"/>
      <c r="CD75" s="455"/>
      <c r="CE75" s="455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  <c r="CR75" s="455"/>
      <c r="CS75" s="455"/>
      <c r="CT75" s="455"/>
      <c r="CU75" s="455"/>
      <c r="CV75" s="455"/>
      <c r="CW75" s="455"/>
      <c r="CX75" s="455"/>
      <c r="CY75" s="455"/>
      <c r="CZ75" s="455"/>
      <c r="DA75" s="455"/>
      <c r="DB75" s="455"/>
      <c r="DC75" s="455"/>
      <c r="DD75" s="455"/>
      <c r="DE75" s="455"/>
      <c r="DF75" s="455"/>
      <c r="DG75" s="455"/>
      <c r="DH75" s="455"/>
      <c r="DI75" s="455"/>
      <c r="DJ75" s="455"/>
      <c r="DK75" s="455"/>
      <c r="DL75" s="455"/>
      <c r="DM75" s="455"/>
      <c r="DN75" s="455"/>
      <c r="DO75" s="455"/>
      <c r="DP75" s="455"/>
      <c r="DQ75" s="455"/>
      <c r="DR75" s="455"/>
      <c r="DS75" s="455"/>
      <c r="DT75" s="455"/>
      <c r="DU75" s="455"/>
      <c r="DV75" s="455"/>
      <c r="DW75" s="455"/>
      <c r="DX75" s="455"/>
      <c r="DY75" s="455"/>
      <c r="DZ75" s="455"/>
      <c r="EA75" s="455"/>
      <c r="EB75" s="455"/>
      <c r="EC75" s="455"/>
      <c r="ED75" s="455"/>
      <c r="EE75" s="455"/>
      <c r="EF75" s="455"/>
      <c r="EG75" s="455"/>
      <c r="EH75" s="455"/>
      <c r="EI75" s="455"/>
      <c r="EJ75" s="455"/>
      <c r="EK75" s="455"/>
      <c r="EL75" s="455"/>
      <c r="EM75" s="455"/>
      <c r="EN75" s="455"/>
      <c r="EO75" s="455"/>
      <c r="EP75" s="455"/>
      <c r="EQ75" s="455"/>
      <c r="ER75" s="455"/>
      <c r="ES75" s="455"/>
      <c r="ET75" s="455"/>
      <c r="EU75" s="455"/>
      <c r="EV75" s="455"/>
      <c r="EW75" s="455"/>
      <c r="EX75" s="455"/>
      <c r="EY75" s="455"/>
      <c r="EZ75" s="455"/>
      <c r="FA75" s="455"/>
      <c r="FB75" s="455"/>
      <c r="FC75" s="455"/>
      <c r="FD75" s="455"/>
      <c r="FE75" s="455"/>
      <c r="FF75" s="455"/>
      <c r="FG75" s="455"/>
      <c r="FH75" s="455"/>
      <c r="FI75" s="455"/>
      <c r="FJ75" s="455"/>
      <c r="FK75" s="455"/>
      <c r="FL75" s="455"/>
      <c r="FM75" s="455"/>
      <c r="FN75" s="455"/>
      <c r="FO75" s="455"/>
      <c r="FP75" s="455"/>
      <c r="FQ75" s="455"/>
      <c r="FR75" s="455"/>
      <c r="FS75" s="455"/>
      <c r="FT75" s="455"/>
      <c r="FU75" s="455"/>
      <c r="FV75" s="455"/>
      <c r="FW75" s="455"/>
      <c r="FX75" s="455"/>
      <c r="FY75" s="455"/>
      <c r="FZ75" s="455"/>
      <c r="GA75" s="455"/>
      <c r="GB75" s="455"/>
      <c r="GC75" s="455"/>
      <c r="GD75" s="455"/>
      <c r="GE75" s="455"/>
      <c r="GF75" s="455"/>
      <c r="GG75" s="455"/>
      <c r="GH75" s="455"/>
      <c r="GI75" s="455"/>
      <c r="GJ75" s="455"/>
      <c r="GK75" s="455"/>
      <c r="GL75" s="455"/>
      <c r="GM75" s="455"/>
      <c r="GN75" s="455"/>
      <c r="GO75" s="455"/>
      <c r="GP75" s="455"/>
      <c r="GQ75" s="455"/>
      <c r="GR75" s="455"/>
      <c r="GS75" s="455"/>
      <c r="GT75" s="455"/>
      <c r="GU75" s="455"/>
      <c r="GV75" s="455"/>
      <c r="GW75" s="455"/>
      <c r="GX75" s="455"/>
      <c r="GY75" s="455"/>
      <c r="GZ75" s="455"/>
      <c r="HA75" s="455"/>
      <c r="HB75" s="455"/>
      <c r="HC75" s="455"/>
      <c r="HD75" s="455"/>
      <c r="HE75" s="455"/>
      <c r="HF75" s="455"/>
      <c r="HG75" s="455"/>
      <c r="HH75" s="455"/>
      <c r="HI75" s="455"/>
      <c r="HJ75" s="455"/>
      <c r="HK75" s="455"/>
      <c r="HL75" s="455"/>
      <c r="HM75" s="455"/>
      <c r="HN75" s="455"/>
      <c r="HO75" s="455"/>
      <c r="HP75" s="455"/>
      <c r="HQ75" s="455"/>
      <c r="HR75" s="455"/>
      <c r="HS75" s="455"/>
      <c r="HT75" s="455"/>
      <c r="HU75" s="455"/>
      <c r="HV75" s="455"/>
      <c r="HW75" s="455"/>
      <c r="HX75" s="455"/>
      <c r="HY75" s="455"/>
      <c r="HZ75" s="455"/>
      <c r="IA75" s="455"/>
      <c r="IB75" s="455"/>
      <c r="IC75" s="455"/>
      <c r="ID75" s="455"/>
      <c r="IE75" s="455"/>
      <c r="IF75" s="455"/>
      <c r="IG75" s="455"/>
      <c r="IH75" s="455"/>
      <c r="II75" s="455"/>
      <c r="IJ75" s="455"/>
      <c r="IK75" s="455"/>
      <c r="IL75" s="455"/>
      <c r="IM75" s="455"/>
      <c r="IN75" s="455"/>
      <c r="IO75" s="455"/>
      <c r="IP75" s="455"/>
      <c r="IQ75" s="455"/>
      <c r="IR75" s="455"/>
      <c r="IS75" s="455"/>
    </row>
    <row r="76" spans="1:253" s="458" customFormat="1" ht="45" x14ac:dyDescent="0.2">
      <c r="A76" s="444">
        <v>2050</v>
      </c>
      <c r="B76" s="445" t="s">
        <v>51</v>
      </c>
      <c r="C76" s="445" t="s">
        <v>52</v>
      </c>
      <c r="D76" s="445"/>
      <c r="E76" s="445"/>
      <c r="F76" s="470"/>
      <c r="G76" s="446">
        <v>1</v>
      </c>
      <c r="H76" s="445">
        <v>1</v>
      </c>
      <c r="I76" s="445"/>
      <c r="J76" s="445">
        <v>6</v>
      </c>
      <c r="K76" s="447">
        <v>9</v>
      </c>
      <c r="L76" s="445" t="s">
        <v>101</v>
      </c>
      <c r="M76" s="445">
        <v>5</v>
      </c>
      <c r="N76" s="445" t="s">
        <v>248</v>
      </c>
      <c r="O76" s="449" t="s">
        <v>1049</v>
      </c>
      <c r="P76" s="450">
        <v>9.2390000000000008</v>
      </c>
      <c r="Q76" s="451">
        <f t="shared" si="2"/>
        <v>9.2390000000000008</v>
      </c>
      <c r="R76" s="451">
        <f>SUMIF('Wege im Detail'!$A:$A,"2050",'Wege im Detail'!$P:$P)</f>
        <v>48.313000000000002</v>
      </c>
      <c r="S76" s="452" t="s">
        <v>1043</v>
      </c>
      <c r="T76" s="453">
        <v>43160</v>
      </c>
      <c r="U76" s="448"/>
      <c r="V76" s="457"/>
      <c r="W76" s="448"/>
      <c r="X76" s="455"/>
      <c r="Y76" s="455"/>
      <c r="Z76" s="455"/>
      <c r="AA76" s="455"/>
      <c r="AB76" s="455"/>
      <c r="AC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55"/>
      <c r="AN76" s="455"/>
      <c r="AO76" s="455"/>
      <c r="AP76" s="455"/>
      <c r="AQ76" s="455"/>
      <c r="AR76" s="455"/>
      <c r="AS76" s="455"/>
      <c r="AT76" s="455"/>
      <c r="AU76" s="455"/>
      <c r="AV76" s="455"/>
      <c r="AW76" s="455"/>
      <c r="AX76" s="455"/>
      <c r="AY76" s="455"/>
      <c r="AZ76" s="455"/>
      <c r="BA76" s="455"/>
      <c r="BB76" s="455"/>
      <c r="BC76" s="455"/>
      <c r="BD76" s="455"/>
      <c r="BE76" s="455"/>
      <c r="BF76" s="455"/>
      <c r="BG76" s="455"/>
      <c r="BH76" s="455"/>
      <c r="BI76" s="455"/>
      <c r="BJ76" s="455"/>
      <c r="BK76" s="455"/>
      <c r="BL76" s="455"/>
      <c r="BM76" s="455"/>
      <c r="BN76" s="455"/>
      <c r="BO76" s="455"/>
      <c r="BP76" s="455"/>
      <c r="BQ76" s="455"/>
      <c r="BR76" s="455"/>
      <c r="BS76" s="455"/>
      <c r="BT76" s="455"/>
      <c r="BU76" s="455"/>
      <c r="BV76" s="455"/>
      <c r="BW76" s="455"/>
      <c r="BX76" s="455"/>
      <c r="BY76" s="455"/>
      <c r="BZ76" s="455"/>
      <c r="CA76" s="455"/>
      <c r="CB76" s="455"/>
      <c r="CC76" s="455"/>
      <c r="CD76" s="455"/>
      <c r="CE76" s="455"/>
      <c r="CF76" s="455"/>
      <c r="CG76" s="455"/>
      <c r="CH76" s="455"/>
      <c r="CI76" s="455"/>
      <c r="CJ76" s="455"/>
      <c r="CK76" s="455"/>
      <c r="CL76" s="455"/>
      <c r="CM76" s="455"/>
      <c r="CN76" s="455"/>
      <c r="CO76" s="455"/>
      <c r="CP76" s="455"/>
      <c r="CQ76" s="455"/>
      <c r="CR76" s="455"/>
      <c r="CS76" s="455"/>
      <c r="CT76" s="455"/>
      <c r="CU76" s="455"/>
      <c r="CV76" s="455"/>
      <c r="CW76" s="455"/>
      <c r="CX76" s="455"/>
      <c r="CY76" s="455"/>
      <c r="CZ76" s="455"/>
      <c r="DA76" s="455"/>
      <c r="DB76" s="455"/>
      <c r="DC76" s="455"/>
      <c r="DD76" s="455"/>
      <c r="DE76" s="455"/>
      <c r="DF76" s="455"/>
      <c r="DG76" s="455"/>
      <c r="DH76" s="455"/>
      <c r="DI76" s="455"/>
      <c r="DJ76" s="455"/>
      <c r="DK76" s="455"/>
      <c r="DL76" s="455"/>
      <c r="DM76" s="455"/>
      <c r="DN76" s="455"/>
      <c r="DO76" s="455"/>
      <c r="DP76" s="455"/>
      <c r="DQ76" s="455"/>
      <c r="DR76" s="455"/>
      <c r="DS76" s="455"/>
      <c r="DT76" s="455"/>
      <c r="DU76" s="455"/>
      <c r="DV76" s="455"/>
      <c r="DW76" s="455"/>
      <c r="DX76" s="455"/>
      <c r="DY76" s="455"/>
      <c r="DZ76" s="455"/>
      <c r="EA76" s="455"/>
      <c r="EB76" s="455"/>
      <c r="EC76" s="455"/>
      <c r="ED76" s="455"/>
      <c r="EE76" s="455"/>
      <c r="EF76" s="455"/>
      <c r="EG76" s="455"/>
      <c r="EH76" s="455"/>
      <c r="EI76" s="455"/>
      <c r="EJ76" s="455"/>
      <c r="EK76" s="455"/>
      <c r="EL76" s="455"/>
      <c r="EM76" s="455"/>
      <c r="EN76" s="455"/>
      <c r="EO76" s="455"/>
      <c r="EP76" s="455"/>
      <c r="EQ76" s="455"/>
      <c r="ER76" s="455"/>
      <c r="ES76" s="455"/>
      <c r="ET76" s="455"/>
      <c r="EU76" s="455"/>
      <c r="EV76" s="455"/>
      <c r="EW76" s="455"/>
      <c r="EX76" s="455"/>
      <c r="EY76" s="455"/>
      <c r="EZ76" s="455"/>
      <c r="FA76" s="455"/>
      <c r="FB76" s="455"/>
      <c r="FC76" s="455"/>
      <c r="FD76" s="455"/>
      <c r="FE76" s="455"/>
      <c r="FF76" s="455"/>
      <c r="FG76" s="455"/>
      <c r="FH76" s="455"/>
      <c r="FI76" s="455"/>
      <c r="FJ76" s="455"/>
      <c r="FK76" s="455"/>
      <c r="FL76" s="455"/>
      <c r="FM76" s="455"/>
      <c r="FN76" s="455"/>
      <c r="FO76" s="455"/>
      <c r="FP76" s="455"/>
      <c r="FQ76" s="455"/>
      <c r="FR76" s="455"/>
      <c r="FS76" s="455"/>
      <c r="FT76" s="455"/>
      <c r="FU76" s="455"/>
      <c r="FV76" s="455"/>
      <c r="FW76" s="455"/>
      <c r="FX76" s="455"/>
      <c r="FY76" s="455"/>
      <c r="FZ76" s="455"/>
      <c r="GA76" s="455"/>
      <c r="GB76" s="455"/>
      <c r="GC76" s="455"/>
      <c r="GD76" s="455"/>
      <c r="GE76" s="455"/>
      <c r="GF76" s="455"/>
      <c r="GG76" s="455"/>
      <c r="GH76" s="455"/>
      <c r="GI76" s="455"/>
      <c r="GJ76" s="455"/>
      <c r="GK76" s="455"/>
      <c r="GL76" s="455"/>
      <c r="GM76" s="455"/>
      <c r="GN76" s="455"/>
      <c r="GO76" s="455"/>
      <c r="GP76" s="455"/>
      <c r="GQ76" s="455"/>
      <c r="GR76" s="455"/>
      <c r="GS76" s="455"/>
      <c r="GT76" s="455"/>
      <c r="GU76" s="455"/>
      <c r="GV76" s="455"/>
      <c r="GW76" s="455"/>
      <c r="GX76" s="455"/>
      <c r="GY76" s="455"/>
      <c r="GZ76" s="455"/>
      <c r="HA76" s="455"/>
      <c r="HB76" s="455"/>
      <c r="HC76" s="455"/>
      <c r="HD76" s="455"/>
      <c r="HE76" s="455"/>
      <c r="HF76" s="455"/>
      <c r="HG76" s="455"/>
      <c r="HH76" s="455"/>
      <c r="HI76" s="455"/>
      <c r="HJ76" s="455"/>
      <c r="HK76" s="455"/>
      <c r="HL76" s="455"/>
      <c r="HM76" s="455"/>
      <c r="HN76" s="455"/>
      <c r="HO76" s="455"/>
      <c r="HP76" s="455"/>
      <c r="HQ76" s="455"/>
      <c r="HR76" s="455"/>
      <c r="HS76" s="455"/>
      <c r="HT76" s="455"/>
      <c r="HU76" s="455"/>
      <c r="HV76" s="455"/>
      <c r="HW76" s="455"/>
      <c r="HX76" s="455"/>
      <c r="HY76" s="455"/>
      <c r="HZ76" s="455"/>
      <c r="IA76" s="455"/>
      <c r="IB76" s="455"/>
      <c r="IC76" s="455"/>
      <c r="ID76" s="455"/>
      <c r="IE76" s="455"/>
      <c r="IF76" s="455"/>
      <c r="IG76" s="455"/>
      <c r="IH76" s="455"/>
      <c r="II76" s="455"/>
      <c r="IJ76" s="455"/>
      <c r="IK76" s="455"/>
      <c r="IL76" s="455"/>
      <c r="IM76" s="455"/>
      <c r="IN76" s="455"/>
      <c r="IO76" s="455"/>
      <c r="IP76" s="455"/>
      <c r="IQ76" s="455"/>
      <c r="IR76" s="455"/>
      <c r="IS76" s="455"/>
    </row>
    <row r="77" spans="1:253" s="458" customFormat="1" ht="45" x14ac:dyDescent="0.2">
      <c r="A77" s="444">
        <v>2050</v>
      </c>
      <c r="B77" s="445" t="s">
        <v>51</v>
      </c>
      <c r="C77" s="445" t="s">
        <v>52</v>
      </c>
      <c r="D77" s="445"/>
      <c r="E77" s="445"/>
      <c r="F77" s="470"/>
      <c r="G77" s="446">
        <v>1</v>
      </c>
      <c r="H77" s="445">
        <v>1</v>
      </c>
      <c r="I77" s="445"/>
      <c r="J77" s="445">
        <v>7</v>
      </c>
      <c r="K77" s="447">
        <v>9</v>
      </c>
      <c r="L77" s="445" t="s">
        <v>101</v>
      </c>
      <c r="M77" s="445">
        <v>5</v>
      </c>
      <c r="N77" s="445" t="s">
        <v>208</v>
      </c>
      <c r="O77" s="449" t="s">
        <v>1050</v>
      </c>
      <c r="P77" s="450">
        <v>3.4319999999999999</v>
      </c>
      <c r="Q77" s="451">
        <f t="shared" si="2"/>
        <v>3.4319999999999999</v>
      </c>
      <c r="R77" s="451">
        <f>SUMIF('Wege im Detail'!$A:$A,"2050",'Wege im Detail'!$P:$P)</f>
        <v>48.313000000000002</v>
      </c>
      <c r="S77" s="452" t="s">
        <v>1043</v>
      </c>
      <c r="T77" s="453">
        <v>43160</v>
      </c>
      <c r="U77" s="448"/>
      <c r="V77" s="457"/>
      <c r="W77" s="448"/>
      <c r="X77" s="455"/>
      <c r="Y77" s="455"/>
      <c r="Z77" s="455"/>
      <c r="AA77" s="455"/>
      <c r="AB77" s="455"/>
      <c r="AC77" s="455"/>
      <c r="AD77" s="455"/>
      <c r="AE77" s="455"/>
      <c r="AF77" s="455"/>
      <c r="AG77" s="455"/>
      <c r="AH77" s="455"/>
      <c r="AI77" s="455"/>
      <c r="AJ77" s="455"/>
      <c r="AK77" s="455"/>
      <c r="AL77" s="455"/>
      <c r="AM77" s="455"/>
      <c r="AN77" s="455"/>
      <c r="AO77" s="455"/>
      <c r="AP77" s="455"/>
      <c r="AQ77" s="455"/>
      <c r="AR77" s="455"/>
      <c r="AS77" s="455"/>
      <c r="AT77" s="455"/>
      <c r="AU77" s="455"/>
      <c r="AV77" s="455"/>
      <c r="AW77" s="455"/>
      <c r="AX77" s="455"/>
      <c r="AY77" s="455"/>
      <c r="AZ77" s="455"/>
      <c r="BA77" s="455"/>
      <c r="BB77" s="455"/>
      <c r="BC77" s="455"/>
      <c r="BD77" s="455"/>
      <c r="BE77" s="455"/>
      <c r="BF77" s="455"/>
      <c r="BG77" s="455"/>
      <c r="BH77" s="455"/>
      <c r="BI77" s="455"/>
      <c r="BJ77" s="455"/>
      <c r="BK77" s="455"/>
      <c r="BL77" s="455"/>
      <c r="BM77" s="455"/>
      <c r="BN77" s="455"/>
      <c r="BO77" s="455"/>
      <c r="BP77" s="455"/>
      <c r="BQ77" s="455"/>
      <c r="BR77" s="455"/>
      <c r="BS77" s="455"/>
      <c r="BT77" s="455"/>
      <c r="BU77" s="455"/>
      <c r="BV77" s="455"/>
      <c r="BW77" s="455"/>
      <c r="BX77" s="455"/>
      <c r="BY77" s="455"/>
      <c r="BZ77" s="455"/>
      <c r="CA77" s="455"/>
      <c r="CB77" s="455"/>
      <c r="CC77" s="455"/>
      <c r="CD77" s="455"/>
      <c r="CE77" s="455"/>
      <c r="CF77" s="455"/>
      <c r="CG77" s="455"/>
      <c r="CH77" s="455"/>
      <c r="CI77" s="455"/>
      <c r="CJ77" s="455"/>
      <c r="CK77" s="455"/>
      <c r="CL77" s="455"/>
      <c r="CM77" s="455"/>
      <c r="CN77" s="455"/>
      <c r="CO77" s="455"/>
      <c r="CP77" s="455"/>
      <c r="CQ77" s="455"/>
      <c r="CR77" s="455"/>
      <c r="CS77" s="455"/>
      <c r="CT77" s="455"/>
      <c r="CU77" s="455"/>
      <c r="CV77" s="455"/>
      <c r="CW77" s="455"/>
      <c r="CX77" s="455"/>
      <c r="CY77" s="455"/>
      <c r="CZ77" s="455"/>
      <c r="DA77" s="455"/>
      <c r="DB77" s="455"/>
      <c r="DC77" s="455"/>
      <c r="DD77" s="455"/>
      <c r="DE77" s="455"/>
      <c r="DF77" s="455"/>
      <c r="DG77" s="455"/>
      <c r="DH77" s="455"/>
      <c r="DI77" s="455"/>
      <c r="DJ77" s="455"/>
      <c r="DK77" s="455"/>
      <c r="DL77" s="455"/>
      <c r="DM77" s="455"/>
      <c r="DN77" s="455"/>
      <c r="DO77" s="455"/>
      <c r="DP77" s="455"/>
      <c r="DQ77" s="455"/>
      <c r="DR77" s="455"/>
      <c r="DS77" s="455"/>
      <c r="DT77" s="455"/>
      <c r="DU77" s="455"/>
      <c r="DV77" s="455"/>
      <c r="DW77" s="455"/>
      <c r="DX77" s="455"/>
      <c r="DY77" s="455"/>
      <c r="DZ77" s="455"/>
      <c r="EA77" s="455"/>
      <c r="EB77" s="455"/>
      <c r="EC77" s="455"/>
      <c r="ED77" s="455"/>
      <c r="EE77" s="455"/>
      <c r="EF77" s="455"/>
      <c r="EG77" s="455"/>
      <c r="EH77" s="455"/>
      <c r="EI77" s="455"/>
      <c r="EJ77" s="455"/>
      <c r="EK77" s="455"/>
      <c r="EL77" s="455"/>
      <c r="EM77" s="455"/>
      <c r="EN77" s="455"/>
      <c r="EO77" s="455"/>
      <c r="EP77" s="455"/>
      <c r="EQ77" s="455"/>
      <c r="ER77" s="455"/>
      <c r="ES77" s="455"/>
      <c r="ET77" s="455"/>
      <c r="EU77" s="455"/>
      <c r="EV77" s="455"/>
      <c r="EW77" s="455"/>
      <c r="EX77" s="455"/>
      <c r="EY77" s="455"/>
      <c r="EZ77" s="455"/>
      <c r="FA77" s="455"/>
      <c r="FB77" s="455"/>
      <c r="FC77" s="455"/>
      <c r="FD77" s="455"/>
      <c r="FE77" s="455"/>
      <c r="FF77" s="455"/>
      <c r="FG77" s="455"/>
      <c r="FH77" s="455"/>
      <c r="FI77" s="455"/>
      <c r="FJ77" s="455"/>
      <c r="FK77" s="455"/>
      <c r="FL77" s="455"/>
      <c r="FM77" s="455"/>
      <c r="FN77" s="455"/>
      <c r="FO77" s="455"/>
      <c r="FP77" s="455"/>
      <c r="FQ77" s="455"/>
      <c r="FR77" s="455"/>
      <c r="FS77" s="455"/>
      <c r="FT77" s="455"/>
      <c r="FU77" s="455"/>
      <c r="FV77" s="455"/>
      <c r="FW77" s="455"/>
      <c r="FX77" s="455"/>
      <c r="FY77" s="455"/>
      <c r="FZ77" s="455"/>
      <c r="GA77" s="455"/>
      <c r="GB77" s="455"/>
      <c r="GC77" s="455"/>
      <c r="GD77" s="455"/>
      <c r="GE77" s="455"/>
      <c r="GF77" s="455"/>
      <c r="GG77" s="455"/>
      <c r="GH77" s="455"/>
      <c r="GI77" s="455"/>
      <c r="GJ77" s="455"/>
      <c r="GK77" s="455"/>
      <c r="GL77" s="455"/>
      <c r="GM77" s="455"/>
      <c r="GN77" s="455"/>
      <c r="GO77" s="455"/>
      <c r="GP77" s="455"/>
      <c r="GQ77" s="455"/>
      <c r="GR77" s="455"/>
      <c r="GS77" s="455"/>
      <c r="GT77" s="455"/>
      <c r="GU77" s="455"/>
      <c r="GV77" s="455"/>
      <c r="GW77" s="455"/>
      <c r="GX77" s="455"/>
      <c r="GY77" s="455"/>
      <c r="GZ77" s="455"/>
      <c r="HA77" s="455"/>
      <c r="HB77" s="455"/>
      <c r="HC77" s="455"/>
      <c r="HD77" s="455"/>
      <c r="HE77" s="455"/>
      <c r="HF77" s="455"/>
      <c r="HG77" s="455"/>
      <c r="HH77" s="455"/>
      <c r="HI77" s="455"/>
      <c r="HJ77" s="455"/>
      <c r="HK77" s="455"/>
      <c r="HL77" s="455"/>
      <c r="HM77" s="455"/>
      <c r="HN77" s="455"/>
      <c r="HO77" s="455"/>
      <c r="HP77" s="455"/>
      <c r="HQ77" s="455"/>
      <c r="HR77" s="455"/>
      <c r="HS77" s="455"/>
      <c r="HT77" s="455"/>
      <c r="HU77" s="455"/>
      <c r="HV77" s="455"/>
      <c r="HW77" s="455"/>
      <c r="HX77" s="455"/>
      <c r="HY77" s="455"/>
      <c r="HZ77" s="455"/>
      <c r="IA77" s="455"/>
      <c r="IB77" s="455"/>
      <c r="IC77" s="455"/>
      <c r="ID77" s="455"/>
      <c r="IE77" s="455"/>
      <c r="IF77" s="455"/>
      <c r="IG77" s="455"/>
      <c r="IH77" s="455"/>
      <c r="II77" s="455"/>
      <c r="IJ77" s="455"/>
      <c r="IK77" s="455"/>
      <c r="IL77" s="455"/>
      <c r="IM77" s="455"/>
      <c r="IN77" s="455"/>
      <c r="IO77" s="455"/>
      <c r="IP77" s="455"/>
      <c r="IQ77" s="455"/>
      <c r="IR77" s="455"/>
      <c r="IS77" s="455"/>
    </row>
    <row r="78" spans="1:253" s="458" customFormat="1" ht="33.75" x14ac:dyDescent="0.2">
      <c r="A78" s="444">
        <v>2050</v>
      </c>
      <c r="B78" s="445" t="s">
        <v>51</v>
      </c>
      <c r="C78" s="445" t="s">
        <v>52</v>
      </c>
      <c r="D78" s="445"/>
      <c r="E78" s="445"/>
      <c r="F78" s="470"/>
      <c r="G78" s="446">
        <v>1</v>
      </c>
      <c r="H78" s="445">
        <v>1</v>
      </c>
      <c r="I78" s="445"/>
      <c r="J78" s="445">
        <v>8</v>
      </c>
      <c r="K78" s="447">
        <v>9</v>
      </c>
      <c r="L78" s="445" t="s">
        <v>101</v>
      </c>
      <c r="M78" s="445">
        <v>2</v>
      </c>
      <c r="N78" s="445" t="s">
        <v>834</v>
      </c>
      <c r="O78" s="449" t="s">
        <v>1051</v>
      </c>
      <c r="P78" s="450">
        <v>3.9529999999999998</v>
      </c>
      <c r="Q78" s="451">
        <f t="shared" si="2"/>
        <v>3.9529999999999998</v>
      </c>
      <c r="R78" s="451">
        <f>SUMIF('Wege im Detail'!$A:$A,"2050",'Wege im Detail'!$P:$P)</f>
        <v>48.313000000000002</v>
      </c>
      <c r="S78" s="452" t="s">
        <v>1043</v>
      </c>
      <c r="T78" s="453">
        <v>43160</v>
      </c>
      <c r="U78" s="448"/>
      <c r="V78" s="457"/>
      <c r="W78" s="448"/>
    </row>
    <row r="79" spans="1:253" s="458" customFormat="1" ht="45" x14ac:dyDescent="0.2">
      <c r="A79" s="444">
        <v>2050</v>
      </c>
      <c r="B79" s="445" t="s">
        <v>51</v>
      </c>
      <c r="C79" s="445" t="s">
        <v>52</v>
      </c>
      <c r="D79" s="445"/>
      <c r="E79" s="445"/>
      <c r="F79" s="479"/>
      <c r="G79" s="446">
        <v>1</v>
      </c>
      <c r="H79" s="445">
        <v>1</v>
      </c>
      <c r="I79" s="445"/>
      <c r="J79" s="445">
        <v>9</v>
      </c>
      <c r="K79" s="447">
        <v>9</v>
      </c>
      <c r="L79" s="445" t="s">
        <v>101</v>
      </c>
      <c r="M79" s="445">
        <v>5</v>
      </c>
      <c r="N79" s="445" t="s">
        <v>181</v>
      </c>
      <c r="O79" s="449" t="s">
        <v>1052</v>
      </c>
      <c r="P79" s="450">
        <v>7.0590000000000002</v>
      </c>
      <c r="Q79" s="451"/>
      <c r="R79" s="451">
        <f>SUMIF('Wege im Detail'!$A:$A,"2050",'Wege im Detail'!$P:$P)</f>
        <v>48.313000000000002</v>
      </c>
      <c r="S79" s="452" t="s">
        <v>1043</v>
      </c>
      <c r="T79" s="453">
        <v>43160</v>
      </c>
      <c r="U79" s="448"/>
      <c r="W79" s="448"/>
    </row>
    <row r="80" spans="1:253" s="458" customFormat="1" ht="33.75" x14ac:dyDescent="0.2">
      <c r="A80" s="444">
        <v>2051</v>
      </c>
      <c r="B80" s="445" t="s">
        <v>51</v>
      </c>
      <c r="C80" s="445" t="s">
        <v>52</v>
      </c>
      <c r="D80" s="445"/>
      <c r="E80" s="445"/>
      <c r="F80" s="445"/>
      <c r="G80" s="446">
        <v>31</v>
      </c>
      <c r="H80" s="445">
        <v>17</v>
      </c>
      <c r="I80" s="445"/>
      <c r="J80" s="445">
        <v>12</v>
      </c>
      <c r="K80" s="447">
        <v>12</v>
      </c>
      <c r="L80" s="445" t="s">
        <v>105</v>
      </c>
      <c r="M80" s="445">
        <v>4</v>
      </c>
      <c r="N80" s="445" t="s">
        <v>198</v>
      </c>
      <c r="O80" s="449" t="s">
        <v>1053</v>
      </c>
      <c r="P80" s="450">
        <v>2.4409999999999998</v>
      </c>
      <c r="Q80" s="451">
        <f t="shared" ref="Q80:Q125" si="3">P80</f>
        <v>2.4409999999999998</v>
      </c>
      <c r="R80" s="451">
        <f>SUMIF('Wege im Detail'!$A:$A,"2051",'Wege im Detail'!$P:$P)</f>
        <v>73.233000000000004</v>
      </c>
      <c r="S80" s="452" t="s">
        <v>1054</v>
      </c>
      <c r="T80" s="453">
        <v>44528</v>
      </c>
      <c r="U80" s="448"/>
      <c r="V80" s="457" t="s">
        <v>1055</v>
      </c>
      <c r="W80" s="448"/>
    </row>
    <row r="81" spans="1:253" s="458" customFormat="1" ht="33.75" x14ac:dyDescent="0.2">
      <c r="A81" s="444">
        <v>2051</v>
      </c>
      <c r="B81" s="445" t="s">
        <v>51</v>
      </c>
      <c r="C81" s="445" t="s">
        <v>52</v>
      </c>
      <c r="D81" s="445"/>
      <c r="E81" s="445"/>
      <c r="F81" s="445"/>
      <c r="G81" s="446">
        <v>31</v>
      </c>
      <c r="H81" s="445">
        <v>17</v>
      </c>
      <c r="I81" s="445"/>
      <c r="J81" s="445">
        <v>1</v>
      </c>
      <c r="K81" s="447">
        <v>12</v>
      </c>
      <c r="L81" s="445" t="s">
        <v>105</v>
      </c>
      <c r="M81" s="445">
        <v>4</v>
      </c>
      <c r="N81" s="445" t="s">
        <v>389</v>
      </c>
      <c r="O81" s="449" t="s">
        <v>1056</v>
      </c>
      <c r="P81" s="450">
        <v>8.73</v>
      </c>
      <c r="Q81" s="451">
        <f t="shared" si="3"/>
        <v>8.73</v>
      </c>
      <c r="R81" s="451">
        <f>SUMIF('Wege im Detail'!$A:$A,"2051",'Wege im Detail'!$P:$P)</f>
        <v>73.233000000000004</v>
      </c>
      <c r="S81" s="452" t="s">
        <v>1054</v>
      </c>
      <c r="T81" s="453">
        <v>43160</v>
      </c>
      <c r="U81" s="448"/>
      <c r="V81" s="457"/>
      <c r="W81" s="448"/>
    </row>
    <row r="82" spans="1:253" s="458" customFormat="1" ht="45" x14ac:dyDescent="0.2">
      <c r="A82" s="444">
        <v>2051</v>
      </c>
      <c r="B82" s="445" t="s">
        <v>51</v>
      </c>
      <c r="C82" s="445" t="s">
        <v>52</v>
      </c>
      <c r="D82" s="445"/>
      <c r="E82" s="445"/>
      <c r="F82" s="445"/>
      <c r="G82" s="446">
        <v>31</v>
      </c>
      <c r="H82" s="445">
        <v>17</v>
      </c>
      <c r="I82" s="445"/>
      <c r="J82" s="445">
        <v>2</v>
      </c>
      <c r="K82" s="447">
        <v>12</v>
      </c>
      <c r="L82" s="445" t="s">
        <v>105</v>
      </c>
      <c r="M82" s="445">
        <v>4</v>
      </c>
      <c r="N82" s="445" t="s">
        <v>102</v>
      </c>
      <c r="O82" s="449" t="s">
        <v>1057</v>
      </c>
      <c r="P82" s="450">
        <v>9.5139999999999993</v>
      </c>
      <c r="Q82" s="451">
        <f t="shared" si="3"/>
        <v>9.5139999999999993</v>
      </c>
      <c r="R82" s="451">
        <f>SUMIF('Wege im Detail'!$A:$A,"2051",'Wege im Detail'!$P:$P)</f>
        <v>73.233000000000004</v>
      </c>
      <c r="S82" s="452" t="s">
        <v>1054</v>
      </c>
      <c r="T82" s="453">
        <v>43160</v>
      </c>
      <c r="U82" s="448"/>
      <c r="V82" s="457"/>
      <c r="W82" s="448"/>
      <c r="X82" s="455"/>
      <c r="Y82" s="455"/>
      <c r="Z82" s="455"/>
      <c r="AA82" s="455"/>
      <c r="AB82" s="455"/>
      <c r="AC82" s="455"/>
      <c r="AD82" s="455"/>
      <c r="AE82" s="455"/>
      <c r="AF82" s="455"/>
      <c r="AG82" s="455"/>
      <c r="AH82" s="455"/>
      <c r="AI82" s="455"/>
      <c r="AJ82" s="455"/>
      <c r="AK82" s="455"/>
      <c r="AL82" s="455"/>
      <c r="AM82" s="455"/>
      <c r="AN82" s="455"/>
      <c r="AO82" s="455"/>
      <c r="AP82" s="455"/>
      <c r="AQ82" s="455"/>
      <c r="AR82" s="455"/>
      <c r="AS82" s="455"/>
      <c r="AT82" s="455"/>
      <c r="AU82" s="455"/>
      <c r="AV82" s="455"/>
      <c r="AW82" s="455"/>
      <c r="AX82" s="455"/>
      <c r="AY82" s="455"/>
      <c r="AZ82" s="455"/>
      <c r="BA82" s="455"/>
      <c r="BB82" s="455"/>
      <c r="BC82" s="455"/>
      <c r="BD82" s="455"/>
      <c r="BE82" s="455"/>
      <c r="BF82" s="455"/>
      <c r="BG82" s="455"/>
      <c r="BH82" s="455"/>
      <c r="BI82" s="455"/>
      <c r="BJ82" s="455"/>
      <c r="BK82" s="455"/>
      <c r="BL82" s="455"/>
      <c r="BM82" s="455"/>
      <c r="BN82" s="455"/>
      <c r="BO82" s="455"/>
      <c r="BP82" s="455"/>
      <c r="BQ82" s="455"/>
      <c r="BR82" s="455"/>
      <c r="BS82" s="455"/>
      <c r="BT82" s="455"/>
      <c r="BU82" s="455"/>
      <c r="BV82" s="455"/>
      <c r="BW82" s="455"/>
      <c r="BX82" s="455"/>
      <c r="BY82" s="455"/>
      <c r="BZ82" s="455"/>
      <c r="CA82" s="455"/>
      <c r="CB82" s="455"/>
      <c r="CC82" s="455"/>
      <c r="CD82" s="455"/>
      <c r="CE82" s="455"/>
      <c r="CF82" s="455"/>
      <c r="CG82" s="455"/>
      <c r="CH82" s="455"/>
      <c r="CI82" s="455"/>
      <c r="CJ82" s="455"/>
      <c r="CK82" s="455"/>
      <c r="CL82" s="455"/>
      <c r="CM82" s="455"/>
      <c r="CN82" s="455"/>
      <c r="CO82" s="455"/>
      <c r="CP82" s="455"/>
      <c r="CQ82" s="455"/>
      <c r="CR82" s="455"/>
      <c r="CS82" s="455"/>
      <c r="CT82" s="455"/>
      <c r="CU82" s="455"/>
      <c r="CV82" s="455"/>
      <c r="CW82" s="455"/>
      <c r="CX82" s="455"/>
      <c r="CY82" s="455"/>
      <c r="CZ82" s="455"/>
      <c r="DA82" s="455"/>
      <c r="DB82" s="455"/>
      <c r="DC82" s="455"/>
      <c r="DD82" s="455"/>
      <c r="DE82" s="455"/>
      <c r="DF82" s="455"/>
      <c r="DG82" s="455"/>
      <c r="DH82" s="455"/>
      <c r="DI82" s="455"/>
      <c r="DJ82" s="455"/>
      <c r="DK82" s="455"/>
      <c r="DL82" s="455"/>
      <c r="DM82" s="455"/>
      <c r="DN82" s="455"/>
      <c r="DO82" s="455"/>
      <c r="DP82" s="455"/>
      <c r="DQ82" s="455"/>
      <c r="DR82" s="455"/>
      <c r="DS82" s="455"/>
      <c r="DT82" s="455"/>
      <c r="DU82" s="455"/>
      <c r="DV82" s="455"/>
      <c r="DW82" s="455"/>
      <c r="DX82" s="455"/>
      <c r="DY82" s="455"/>
      <c r="DZ82" s="455"/>
      <c r="EA82" s="455"/>
      <c r="EB82" s="455"/>
      <c r="EC82" s="455"/>
      <c r="ED82" s="455"/>
      <c r="EE82" s="455"/>
      <c r="EF82" s="455"/>
      <c r="EG82" s="455"/>
      <c r="EH82" s="455"/>
      <c r="EI82" s="455"/>
      <c r="EJ82" s="455"/>
      <c r="EK82" s="455"/>
      <c r="EL82" s="455"/>
      <c r="EM82" s="455"/>
      <c r="EN82" s="455"/>
      <c r="EO82" s="455"/>
      <c r="EP82" s="455"/>
      <c r="EQ82" s="455"/>
      <c r="ER82" s="455"/>
      <c r="ES82" s="455"/>
      <c r="ET82" s="455"/>
      <c r="EU82" s="455"/>
      <c r="EV82" s="455"/>
      <c r="EW82" s="455"/>
      <c r="EX82" s="455"/>
      <c r="EY82" s="455"/>
      <c r="EZ82" s="455"/>
      <c r="FA82" s="455"/>
      <c r="FB82" s="455"/>
      <c r="FC82" s="455"/>
      <c r="FD82" s="455"/>
      <c r="FE82" s="455"/>
      <c r="FF82" s="455"/>
      <c r="FG82" s="455"/>
      <c r="FH82" s="455"/>
      <c r="FI82" s="455"/>
      <c r="FJ82" s="455"/>
      <c r="FK82" s="455"/>
      <c r="FL82" s="455"/>
      <c r="FM82" s="455"/>
      <c r="FN82" s="455"/>
      <c r="FO82" s="455"/>
      <c r="FP82" s="455"/>
      <c r="FQ82" s="455"/>
      <c r="FR82" s="455"/>
      <c r="FS82" s="455"/>
      <c r="FT82" s="455"/>
      <c r="FU82" s="455"/>
      <c r="FV82" s="455"/>
      <c r="FW82" s="455"/>
      <c r="FX82" s="455"/>
      <c r="FY82" s="455"/>
      <c r="FZ82" s="455"/>
      <c r="GA82" s="455"/>
      <c r="GB82" s="455"/>
      <c r="GC82" s="455"/>
      <c r="GD82" s="455"/>
      <c r="GE82" s="455"/>
      <c r="GF82" s="455"/>
      <c r="GG82" s="455"/>
      <c r="GH82" s="455"/>
      <c r="GI82" s="455"/>
      <c r="GJ82" s="455"/>
      <c r="GK82" s="455"/>
      <c r="GL82" s="455"/>
      <c r="GM82" s="455"/>
      <c r="GN82" s="455"/>
      <c r="GO82" s="455"/>
      <c r="GP82" s="455"/>
      <c r="GQ82" s="455"/>
      <c r="GR82" s="455"/>
      <c r="GS82" s="455"/>
      <c r="GT82" s="455"/>
      <c r="GU82" s="455"/>
      <c r="GV82" s="455"/>
      <c r="GW82" s="455"/>
      <c r="GX82" s="455"/>
      <c r="GY82" s="455"/>
      <c r="GZ82" s="455"/>
      <c r="HA82" s="455"/>
      <c r="HB82" s="455"/>
      <c r="HC82" s="455"/>
      <c r="HD82" s="455"/>
      <c r="HE82" s="455"/>
      <c r="HF82" s="455"/>
      <c r="HG82" s="455"/>
      <c r="HH82" s="455"/>
      <c r="HI82" s="455"/>
      <c r="HJ82" s="455"/>
      <c r="HK82" s="455"/>
      <c r="HL82" s="455"/>
      <c r="HM82" s="455"/>
      <c r="HN82" s="455"/>
      <c r="HO82" s="455"/>
      <c r="HP82" s="455"/>
      <c r="HQ82" s="455"/>
      <c r="HR82" s="455"/>
      <c r="HS82" s="455"/>
      <c r="HT82" s="455"/>
      <c r="HU82" s="455"/>
      <c r="HV82" s="455"/>
      <c r="HW82" s="455"/>
      <c r="HX82" s="455"/>
      <c r="HY82" s="455"/>
      <c r="HZ82" s="455"/>
      <c r="IA82" s="455"/>
      <c r="IB82" s="455"/>
      <c r="IC82" s="455"/>
      <c r="ID82" s="455"/>
      <c r="IE82" s="455"/>
      <c r="IF82" s="455"/>
      <c r="IG82" s="455"/>
      <c r="IH82" s="455"/>
      <c r="II82" s="455"/>
      <c r="IJ82" s="455"/>
      <c r="IK82" s="455"/>
      <c r="IL82" s="455"/>
      <c r="IM82" s="455"/>
      <c r="IN82" s="455"/>
      <c r="IO82" s="455"/>
      <c r="IP82" s="455"/>
      <c r="IQ82" s="455"/>
      <c r="IR82" s="455"/>
      <c r="IS82" s="455"/>
    </row>
    <row r="83" spans="1:253" s="458" customFormat="1" ht="33.75" x14ac:dyDescent="0.2">
      <c r="A83" s="444">
        <v>2051</v>
      </c>
      <c r="B83" s="445" t="s">
        <v>51</v>
      </c>
      <c r="C83" s="445" t="s">
        <v>52</v>
      </c>
      <c r="D83" s="445"/>
      <c r="E83" s="445"/>
      <c r="F83" s="445"/>
      <c r="G83" s="446">
        <v>31</v>
      </c>
      <c r="H83" s="445">
        <v>17</v>
      </c>
      <c r="I83" s="445"/>
      <c r="J83" s="445">
        <v>3</v>
      </c>
      <c r="K83" s="447">
        <v>12</v>
      </c>
      <c r="L83" s="445" t="s">
        <v>105</v>
      </c>
      <c r="M83" s="445">
        <v>4</v>
      </c>
      <c r="N83" s="445" t="s">
        <v>89</v>
      </c>
      <c r="O83" s="449" t="s">
        <v>1058</v>
      </c>
      <c r="P83" s="450">
        <v>4.8109999999999999</v>
      </c>
      <c r="Q83" s="451">
        <f t="shared" si="3"/>
        <v>4.8109999999999999</v>
      </c>
      <c r="R83" s="451">
        <f>SUMIF('Wege im Detail'!$A:$A,"2051",'Wege im Detail'!$P:$P)</f>
        <v>73.233000000000004</v>
      </c>
      <c r="S83" s="452" t="s">
        <v>1054</v>
      </c>
      <c r="T83" s="453">
        <v>43160</v>
      </c>
      <c r="U83" s="448"/>
      <c r="V83" s="457"/>
      <c r="W83" s="448"/>
      <c r="X83" s="455"/>
      <c r="Y83" s="455"/>
      <c r="Z83" s="455"/>
      <c r="AA83" s="455"/>
      <c r="AB83" s="455"/>
      <c r="AC83" s="455"/>
      <c r="AD83" s="455"/>
      <c r="AE83" s="455"/>
      <c r="AF83" s="455"/>
      <c r="AG83" s="455"/>
      <c r="AH83" s="455"/>
      <c r="AI83" s="455"/>
      <c r="AJ83" s="455"/>
      <c r="AK83" s="455"/>
      <c r="AL83" s="455"/>
      <c r="AM83" s="455"/>
      <c r="AN83" s="455"/>
      <c r="AO83" s="455"/>
      <c r="AP83" s="455"/>
      <c r="AQ83" s="455"/>
      <c r="AR83" s="455"/>
      <c r="AS83" s="455"/>
      <c r="AT83" s="455"/>
      <c r="AU83" s="455"/>
      <c r="AV83" s="455"/>
      <c r="AW83" s="455"/>
      <c r="AX83" s="455"/>
      <c r="AY83" s="455"/>
      <c r="AZ83" s="455"/>
      <c r="BA83" s="455"/>
      <c r="BB83" s="455"/>
      <c r="BC83" s="455"/>
      <c r="BD83" s="455"/>
      <c r="BE83" s="455"/>
      <c r="BF83" s="455"/>
      <c r="BG83" s="455"/>
      <c r="BH83" s="455"/>
      <c r="BI83" s="455"/>
      <c r="BJ83" s="455"/>
      <c r="BK83" s="455"/>
      <c r="BL83" s="455"/>
      <c r="BM83" s="455"/>
      <c r="BN83" s="455"/>
      <c r="BO83" s="455"/>
      <c r="BP83" s="455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5"/>
      <c r="CE83" s="455"/>
      <c r="CF83" s="455"/>
      <c r="CG83" s="455"/>
      <c r="CH83" s="455"/>
      <c r="CI83" s="455"/>
      <c r="CJ83" s="455"/>
      <c r="CK83" s="455"/>
      <c r="CL83" s="455"/>
      <c r="CM83" s="455"/>
      <c r="CN83" s="455"/>
      <c r="CO83" s="455"/>
      <c r="CP83" s="455"/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5"/>
      <c r="DR83" s="455"/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5"/>
      <c r="ET83" s="455"/>
      <c r="EU83" s="455"/>
      <c r="EV83" s="455"/>
      <c r="EW83" s="455"/>
      <c r="EX83" s="455"/>
      <c r="EY83" s="455"/>
      <c r="EZ83" s="455"/>
      <c r="FA83" s="455"/>
      <c r="FB83" s="455"/>
      <c r="FC83" s="455"/>
      <c r="FD83" s="455"/>
      <c r="FE83" s="455"/>
      <c r="FF83" s="455"/>
      <c r="FG83" s="455"/>
      <c r="FH83" s="455"/>
      <c r="FI83" s="455"/>
      <c r="FJ83" s="455"/>
      <c r="FK83" s="455"/>
      <c r="FL83" s="455"/>
      <c r="FM83" s="455"/>
      <c r="FN83" s="455"/>
      <c r="FO83" s="455"/>
      <c r="FP83" s="455"/>
      <c r="FQ83" s="455"/>
      <c r="FR83" s="455"/>
      <c r="FS83" s="455"/>
      <c r="FT83" s="455"/>
      <c r="FU83" s="455"/>
      <c r="FV83" s="455"/>
      <c r="FW83" s="455"/>
      <c r="FX83" s="455"/>
      <c r="FY83" s="455"/>
      <c r="FZ83" s="455"/>
      <c r="GA83" s="455"/>
      <c r="GB83" s="455"/>
      <c r="GC83" s="455"/>
      <c r="GD83" s="455"/>
      <c r="GE83" s="455"/>
      <c r="GF83" s="455"/>
      <c r="GG83" s="455"/>
      <c r="GH83" s="455"/>
      <c r="GI83" s="455"/>
      <c r="GJ83" s="455"/>
      <c r="GK83" s="455"/>
      <c r="GL83" s="455"/>
      <c r="GM83" s="455"/>
      <c r="GN83" s="455"/>
      <c r="GO83" s="455"/>
      <c r="GP83" s="455"/>
      <c r="GQ83" s="455"/>
      <c r="GR83" s="455"/>
      <c r="GS83" s="455"/>
      <c r="GT83" s="455"/>
      <c r="GU83" s="455"/>
      <c r="GV83" s="455"/>
      <c r="GW83" s="455"/>
      <c r="GX83" s="455"/>
      <c r="GY83" s="455"/>
      <c r="GZ83" s="455"/>
      <c r="HA83" s="455"/>
      <c r="HB83" s="455"/>
      <c r="HC83" s="455"/>
      <c r="HD83" s="455"/>
      <c r="HE83" s="455"/>
      <c r="HF83" s="455"/>
      <c r="HG83" s="455"/>
      <c r="HH83" s="455"/>
      <c r="HI83" s="455"/>
      <c r="HJ83" s="455"/>
      <c r="HK83" s="455"/>
      <c r="HL83" s="455"/>
      <c r="HM83" s="455"/>
      <c r="HN83" s="455"/>
      <c r="HO83" s="455"/>
      <c r="HP83" s="455"/>
      <c r="HQ83" s="455"/>
      <c r="HR83" s="455"/>
      <c r="HS83" s="455"/>
      <c r="HT83" s="455"/>
      <c r="HU83" s="455"/>
      <c r="HV83" s="455"/>
      <c r="HW83" s="455"/>
      <c r="HX83" s="455"/>
      <c r="HY83" s="455"/>
      <c r="HZ83" s="455"/>
      <c r="IA83" s="455"/>
      <c r="IB83" s="455"/>
      <c r="IC83" s="455"/>
      <c r="ID83" s="455"/>
      <c r="IE83" s="455"/>
      <c r="IF83" s="455"/>
      <c r="IG83" s="455"/>
      <c r="IH83" s="455"/>
      <c r="II83" s="455"/>
      <c r="IJ83" s="455"/>
      <c r="IK83" s="455"/>
      <c r="IL83" s="455"/>
      <c r="IM83" s="455"/>
      <c r="IN83" s="455"/>
      <c r="IO83" s="455"/>
      <c r="IP83" s="455"/>
      <c r="IQ83" s="455"/>
      <c r="IR83" s="455"/>
      <c r="IS83" s="455"/>
    </row>
    <row r="84" spans="1:253" s="458" customFormat="1" ht="33.75" x14ac:dyDescent="0.2">
      <c r="A84" s="444">
        <v>2051</v>
      </c>
      <c r="B84" s="445" t="s">
        <v>51</v>
      </c>
      <c r="C84" s="445" t="s">
        <v>52</v>
      </c>
      <c r="D84" s="445"/>
      <c r="E84" s="445"/>
      <c r="F84" s="445"/>
      <c r="G84" s="446">
        <v>31</v>
      </c>
      <c r="H84" s="445">
        <v>17</v>
      </c>
      <c r="I84" s="445"/>
      <c r="J84" s="445">
        <v>4</v>
      </c>
      <c r="K84" s="447">
        <v>12</v>
      </c>
      <c r="L84" s="445" t="s">
        <v>105</v>
      </c>
      <c r="M84" s="445">
        <v>4</v>
      </c>
      <c r="N84" s="445" t="s">
        <v>1059</v>
      </c>
      <c r="O84" s="449" t="s">
        <v>1060</v>
      </c>
      <c r="P84" s="450">
        <v>2.556</v>
      </c>
      <c r="Q84" s="451">
        <f t="shared" si="3"/>
        <v>2.556</v>
      </c>
      <c r="R84" s="451">
        <f>SUMIF('Wege im Detail'!$A:$A,"2051",'Wege im Detail'!$P:$P)</f>
        <v>73.233000000000004</v>
      </c>
      <c r="S84" s="452" t="s">
        <v>1054</v>
      </c>
      <c r="T84" s="453">
        <v>43160</v>
      </c>
      <c r="U84" s="448"/>
      <c r="V84" s="457"/>
      <c r="W84" s="448"/>
      <c r="X84" s="455"/>
      <c r="Y84" s="455"/>
      <c r="Z84" s="455"/>
      <c r="AA84" s="455"/>
      <c r="AB84" s="455"/>
      <c r="AC84" s="455"/>
      <c r="AD84" s="455"/>
      <c r="AE84" s="455"/>
      <c r="AF84" s="455"/>
      <c r="AG84" s="455"/>
      <c r="AH84" s="455"/>
      <c r="AI84" s="455"/>
      <c r="AJ84" s="455"/>
      <c r="AK84" s="455"/>
      <c r="AL84" s="455"/>
      <c r="AM84" s="455"/>
      <c r="AN84" s="455"/>
      <c r="AO84" s="455"/>
      <c r="AP84" s="455"/>
      <c r="AQ84" s="455"/>
      <c r="AR84" s="455"/>
      <c r="AS84" s="455"/>
      <c r="AT84" s="455"/>
      <c r="AU84" s="455"/>
      <c r="AV84" s="455"/>
      <c r="AW84" s="455"/>
      <c r="AX84" s="455"/>
      <c r="AY84" s="455"/>
      <c r="AZ84" s="455"/>
      <c r="BA84" s="455"/>
      <c r="BB84" s="455"/>
      <c r="BC84" s="455"/>
      <c r="BD84" s="455"/>
      <c r="BE84" s="455"/>
      <c r="BF84" s="455"/>
      <c r="BG84" s="455"/>
      <c r="BH84" s="455"/>
      <c r="BI84" s="455"/>
      <c r="BJ84" s="455"/>
      <c r="BK84" s="455"/>
      <c r="BL84" s="455"/>
      <c r="BM84" s="455"/>
      <c r="BN84" s="455"/>
      <c r="BO84" s="455"/>
      <c r="BP84" s="455"/>
      <c r="BQ84" s="455"/>
      <c r="BR84" s="455"/>
      <c r="BS84" s="455"/>
      <c r="BT84" s="455"/>
      <c r="BU84" s="455"/>
      <c r="BV84" s="455"/>
      <c r="BW84" s="455"/>
      <c r="BX84" s="455"/>
      <c r="BY84" s="455"/>
      <c r="BZ84" s="455"/>
      <c r="CA84" s="455"/>
      <c r="CB84" s="455"/>
      <c r="CC84" s="455"/>
      <c r="CD84" s="455"/>
      <c r="CE84" s="455"/>
      <c r="CF84" s="455"/>
      <c r="CG84" s="455"/>
      <c r="CH84" s="455"/>
      <c r="CI84" s="455"/>
      <c r="CJ84" s="455"/>
      <c r="CK84" s="455"/>
      <c r="CL84" s="455"/>
      <c r="CM84" s="455"/>
      <c r="CN84" s="455"/>
      <c r="CO84" s="455"/>
      <c r="CP84" s="455"/>
      <c r="CQ84" s="455"/>
      <c r="CR84" s="455"/>
      <c r="CS84" s="455"/>
      <c r="CT84" s="455"/>
      <c r="CU84" s="455"/>
      <c r="CV84" s="455"/>
      <c r="CW84" s="455"/>
      <c r="CX84" s="455"/>
      <c r="CY84" s="455"/>
      <c r="CZ84" s="455"/>
      <c r="DA84" s="455"/>
      <c r="DB84" s="455"/>
      <c r="DC84" s="455"/>
      <c r="DD84" s="455"/>
      <c r="DE84" s="455"/>
      <c r="DF84" s="455"/>
      <c r="DG84" s="455"/>
      <c r="DH84" s="455"/>
      <c r="DI84" s="455"/>
      <c r="DJ84" s="455"/>
      <c r="DK84" s="455"/>
      <c r="DL84" s="455"/>
      <c r="DM84" s="455"/>
      <c r="DN84" s="455"/>
      <c r="DO84" s="455"/>
      <c r="DP84" s="455"/>
      <c r="DQ84" s="455"/>
      <c r="DR84" s="455"/>
      <c r="DS84" s="455"/>
      <c r="DT84" s="455"/>
      <c r="DU84" s="455"/>
      <c r="DV84" s="455"/>
      <c r="DW84" s="455"/>
      <c r="DX84" s="455"/>
      <c r="DY84" s="455"/>
      <c r="DZ84" s="455"/>
      <c r="EA84" s="455"/>
      <c r="EB84" s="455"/>
      <c r="EC84" s="455"/>
      <c r="ED84" s="455"/>
      <c r="EE84" s="455"/>
      <c r="EF84" s="455"/>
      <c r="EG84" s="455"/>
      <c r="EH84" s="455"/>
      <c r="EI84" s="455"/>
      <c r="EJ84" s="455"/>
      <c r="EK84" s="455"/>
      <c r="EL84" s="455"/>
      <c r="EM84" s="455"/>
      <c r="EN84" s="455"/>
      <c r="EO84" s="455"/>
      <c r="EP84" s="455"/>
      <c r="EQ84" s="455"/>
      <c r="ER84" s="455"/>
      <c r="ES84" s="455"/>
      <c r="ET84" s="455"/>
      <c r="EU84" s="455"/>
      <c r="EV84" s="455"/>
      <c r="EW84" s="455"/>
      <c r="EX84" s="455"/>
      <c r="EY84" s="455"/>
      <c r="EZ84" s="455"/>
      <c r="FA84" s="455"/>
      <c r="FB84" s="455"/>
      <c r="FC84" s="455"/>
      <c r="FD84" s="455"/>
      <c r="FE84" s="455"/>
      <c r="FF84" s="455"/>
      <c r="FG84" s="455"/>
      <c r="FH84" s="455"/>
      <c r="FI84" s="455"/>
      <c r="FJ84" s="455"/>
      <c r="FK84" s="455"/>
      <c r="FL84" s="455"/>
      <c r="FM84" s="455"/>
      <c r="FN84" s="455"/>
      <c r="FO84" s="455"/>
      <c r="FP84" s="455"/>
      <c r="FQ84" s="455"/>
      <c r="FR84" s="455"/>
      <c r="FS84" s="455"/>
      <c r="FT84" s="455"/>
      <c r="FU84" s="455"/>
      <c r="FV84" s="455"/>
      <c r="FW84" s="455"/>
      <c r="FX84" s="455"/>
      <c r="FY84" s="455"/>
      <c r="FZ84" s="455"/>
      <c r="GA84" s="455"/>
      <c r="GB84" s="455"/>
      <c r="GC84" s="455"/>
      <c r="GD84" s="455"/>
      <c r="GE84" s="455"/>
      <c r="GF84" s="455"/>
      <c r="GG84" s="455"/>
      <c r="GH84" s="455"/>
      <c r="GI84" s="455"/>
      <c r="GJ84" s="455"/>
      <c r="GK84" s="455"/>
      <c r="GL84" s="455"/>
      <c r="GM84" s="455"/>
      <c r="GN84" s="455"/>
      <c r="GO84" s="455"/>
      <c r="GP84" s="455"/>
      <c r="GQ84" s="455"/>
      <c r="GR84" s="455"/>
      <c r="GS84" s="455"/>
      <c r="GT84" s="455"/>
      <c r="GU84" s="455"/>
      <c r="GV84" s="455"/>
      <c r="GW84" s="455"/>
      <c r="GX84" s="455"/>
      <c r="GY84" s="455"/>
      <c r="GZ84" s="455"/>
      <c r="HA84" s="455"/>
      <c r="HB84" s="455"/>
      <c r="HC84" s="455"/>
      <c r="HD84" s="455"/>
      <c r="HE84" s="455"/>
      <c r="HF84" s="455"/>
      <c r="HG84" s="455"/>
      <c r="HH84" s="455"/>
      <c r="HI84" s="455"/>
      <c r="HJ84" s="455"/>
      <c r="HK84" s="455"/>
      <c r="HL84" s="455"/>
      <c r="HM84" s="455"/>
      <c r="HN84" s="455"/>
      <c r="HO84" s="455"/>
      <c r="HP84" s="455"/>
      <c r="HQ84" s="455"/>
      <c r="HR84" s="455"/>
      <c r="HS84" s="455"/>
      <c r="HT84" s="455"/>
      <c r="HU84" s="455"/>
      <c r="HV84" s="455"/>
      <c r="HW84" s="455"/>
      <c r="HX84" s="455"/>
      <c r="HY84" s="455"/>
      <c r="HZ84" s="455"/>
      <c r="IA84" s="455"/>
      <c r="IB84" s="455"/>
      <c r="IC84" s="455"/>
      <c r="ID84" s="455"/>
      <c r="IE84" s="455"/>
      <c r="IF84" s="455"/>
      <c r="IG84" s="455"/>
      <c r="IH84" s="455"/>
      <c r="II84" s="455"/>
      <c r="IJ84" s="455"/>
      <c r="IK84" s="455"/>
      <c r="IL84" s="455"/>
      <c r="IM84" s="455"/>
      <c r="IN84" s="455"/>
      <c r="IO84" s="455"/>
      <c r="IP84" s="455"/>
      <c r="IQ84" s="455"/>
      <c r="IR84" s="455"/>
      <c r="IS84" s="455"/>
    </row>
    <row r="85" spans="1:253" s="458" customFormat="1" ht="45" x14ac:dyDescent="0.2">
      <c r="A85" s="438">
        <v>2051</v>
      </c>
      <c r="B85" s="445" t="s">
        <v>51</v>
      </c>
      <c r="C85" s="445" t="s">
        <v>52</v>
      </c>
      <c r="D85" s="445"/>
      <c r="E85" s="445"/>
      <c r="F85" s="445"/>
      <c r="G85" s="446">
        <v>31</v>
      </c>
      <c r="H85" s="445">
        <v>17</v>
      </c>
      <c r="I85" s="445"/>
      <c r="J85" s="445">
        <v>5</v>
      </c>
      <c r="K85" s="447">
        <v>12</v>
      </c>
      <c r="L85" s="445" t="s">
        <v>105</v>
      </c>
      <c r="M85" s="445">
        <v>5</v>
      </c>
      <c r="N85" s="445" t="s">
        <v>111</v>
      </c>
      <c r="O85" s="449" t="s">
        <v>1061</v>
      </c>
      <c r="P85" s="450">
        <v>4.9379999999999997</v>
      </c>
      <c r="Q85" s="451">
        <f t="shared" si="3"/>
        <v>4.9379999999999997</v>
      </c>
      <c r="R85" s="451">
        <f>SUMIF('Wege im Detail'!$A:$A,"2051",'Wege im Detail'!$P:$P)</f>
        <v>73.233000000000004</v>
      </c>
      <c r="S85" s="452" t="s">
        <v>1054</v>
      </c>
      <c r="T85" s="453">
        <v>43160</v>
      </c>
      <c r="U85" s="534" t="s">
        <v>1047</v>
      </c>
      <c r="V85" s="457"/>
      <c r="W85" s="534"/>
    </row>
    <row r="86" spans="1:253" s="458" customFormat="1" ht="45" x14ac:dyDescent="0.2">
      <c r="A86" s="444">
        <v>2051</v>
      </c>
      <c r="B86" s="445" t="s">
        <v>51</v>
      </c>
      <c r="C86" s="445" t="s">
        <v>52</v>
      </c>
      <c r="D86" s="445"/>
      <c r="E86" s="445"/>
      <c r="F86" s="445"/>
      <c r="G86" s="446">
        <v>31</v>
      </c>
      <c r="H86" s="445">
        <v>17</v>
      </c>
      <c r="I86" s="445"/>
      <c r="J86" s="445">
        <v>6</v>
      </c>
      <c r="K86" s="447">
        <v>12</v>
      </c>
      <c r="L86" s="445" t="s">
        <v>105</v>
      </c>
      <c r="M86" s="445">
        <v>5</v>
      </c>
      <c r="N86" s="445" t="s">
        <v>1014</v>
      </c>
      <c r="O86" s="449" t="s">
        <v>1062</v>
      </c>
      <c r="P86" s="450">
        <v>3.4</v>
      </c>
      <c r="Q86" s="451">
        <f t="shared" si="3"/>
        <v>3.4</v>
      </c>
      <c r="R86" s="451">
        <f>SUMIF('Wege im Detail'!$A:$A,"2051",'Wege im Detail'!$P:$P)</f>
        <v>73.233000000000004</v>
      </c>
      <c r="S86" s="452" t="s">
        <v>1054</v>
      </c>
      <c r="T86" s="453">
        <v>43160</v>
      </c>
      <c r="U86" s="448"/>
      <c r="V86" s="457"/>
      <c r="W86" s="448"/>
      <c r="X86" s="455"/>
      <c r="Y86" s="455"/>
      <c r="Z86" s="455"/>
      <c r="AA86" s="455"/>
      <c r="AB86" s="455"/>
      <c r="AC86" s="455"/>
      <c r="AD86" s="455"/>
      <c r="AE86" s="455"/>
      <c r="AF86" s="455"/>
      <c r="AG86" s="455"/>
      <c r="AH86" s="455"/>
      <c r="AI86" s="455"/>
      <c r="AJ86" s="455"/>
      <c r="AK86" s="455"/>
      <c r="AL86" s="455"/>
      <c r="AM86" s="455"/>
      <c r="AN86" s="455"/>
      <c r="AO86" s="455"/>
      <c r="AP86" s="455"/>
      <c r="AQ86" s="455"/>
      <c r="AR86" s="455"/>
      <c r="AS86" s="455"/>
      <c r="AT86" s="455"/>
      <c r="AU86" s="455"/>
      <c r="AV86" s="455"/>
      <c r="AW86" s="455"/>
      <c r="AX86" s="455"/>
      <c r="AY86" s="455"/>
      <c r="AZ86" s="455"/>
      <c r="BA86" s="455"/>
      <c r="BB86" s="455"/>
      <c r="BC86" s="455"/>
      <c r="BD86" s="455"/>
      <c r="BE86" s="455"/>
      <c r="BF86" s="455"/>
      <c r="BG86" s="455"/>
      <c r="BH86" s="455"/>
      <c r="BI86" s="455"/>
      <c r="BJ86" s="455"/>
      <c r="BK86" s="455"/>
      <c r="BL86" s="455"/>
      <c r="BM86" s="455"/>
      <c r="BN86" s="455"/>
      <c r="BO86" s="455"/>
      <c r="BP86" s="455"/>
      <c r="BQ86" s="455"/>
      <c r="BR86" s="455"/>
      <c r="BS86" s="455"/>
      <c r="BT86" s="455"/>
      <c r="BU86" s="455"/>
      <c r="BV86" s="455"/>
      <c r="BW86" s="455"/>
      <c r="BX86" s="455"/>
      <c r="BY86" s="455"/>
      <c r="BZ86" s="455"/>
      <c r="CA86" s="455"/>
      <c r="CB86" s="455"/>
      <c r="CC86" s="455"/>
      <c r="CD86" s="455"/>
      <c r="CE86" s="455"/>
      <c r="CF86" s="455"/>
      <c r="CG86" s="455"/>
      <c r="CH86" s="455"/>
      <c r="CI86" s="455"/>
      <c r="CJ86" s="455"/>
      <c r="CK86" s="455"/>
      <c r="CL86" s="455"/>
      <c r="CM86" s="455"/>
      <c r="CN86" s="455"/>
      <c r="CO86" s="455"/>
      <c r="CP86" s="455"/>
      <c r="CQ86" s="455"/>
      <c r="CR86" s="455"/>
      <c r="CS86" s="455"/>
      <c r="CT86" s="455"/>
      <c r="CU86" s="455"/>
      <c r="CV86" s="455"/>
      <c r="CW86" s="455"/>
      <c r="CX86" s="455"/>
      <c r="CY86" s="455"/>
      <c r="CZ86" s="455"/>
      <c r="DA86" s="455"/>
      <c r="DB86" s="455"/>
      <c r="DC86" s="455"/>
      <c r="DD86" s="455"/>
      <c r="DE86" s="455"/>
      <c r="DF86" s="455"/>
      <c r="DG86" s="455"/>
      <c r="DH86" s="455"/>
      <c r="DI86" s="455"/>
      <c r="DJ86" s="455"/>
      <c r="DK86" s="455"/>
      <c r="DL86" s="455"/>
      <c r="DM86" s="455"/>
      <c r="DN86" s="455"/>
      <c r="DO86" s="455"/>
      <c r="DP86" s="455"/>
      <c r="DQ86" s="455"/>
      <c r="DR86" s="455"/>
      <c r="DS86" s="455"/>
      <c r="DT86" s="455"/>
      <c r="DU86" s="455"/>
      <c r="DV86" s="455"/>
      <c r="DW86" s="455"/>
      <c r="DX86" s="455"/>
      <c r="DY86" s="455"/>
      <c r="DZ86" s="455"/>
      <c r="EA86" s="455"/>
      <c r="EB86" s="455"/>
      <c r="EC86" s="455"/>
      <c r="ED86" s="455"/>
      <c r="EE86" s="455"/>
      <c r="EF86" s="455"/>
      <c r="EG86" s="455"/>
      <c r="EH86" s="455"/>
      <c r="EI86" s="455"/>
      <c r="EJ86" s="455"/>
      <c r="EK86" s="455"/>
      <c r="EL86" s="455"/>
      <c r="EM86" s="455"/>
      <c r="EN86" s="455"/>
      <c r="EO86" s="455"/>
      <c r="EP86" s="455"/>
      <c r="EQ86" s="455"/>
      <c r="ER86" s="455"/>
      <c r="ES86" s="455"/>
      <c r="ET86" s="455"/>
      <c r="EU86" s="455"/>
      <c r="EV86" s="455"/>
      <c r="EW86" s="455"/>
      <c r="EX86" s="455"/>
      <c r="EY86" s="455"/>
      <c r="EZ86" s="455"/>
      <c r="FA86" s="455"/>
      <c r="FB86" s="455"/>
      <c r="FC86" s="455"/>
      <c r="FD86" s="455"/>
      <c r="FE86" s="455"/>
      <c r="FF86" s="455"/>
      <c r="FG86" s="455"/>
      <c r="FH86" s="455"/>
      <c r="FI86" s="455"/>
      <c r="FJ86" s="455"/>
      <c r="FK86" s="455"/>
      <c r="FL86" s="455"/>
      <c r="FM86" s="455"/>
      <c r="FN86" s="455"/>
      <c r="FO86" s="455"/>
      <c r="FP86" s="455"/>
      <c r="FQ86" s="455"/>
      <c r="FR86" s="455"/>
      <c r="FS86" s="455"/>
      <c r="FT86" s="455"/>
      <c r="FU86" s="455"/>
      <c r="FV86" s="455"/>
      <c r="FW86" s="455"/>
      <c r="FX86" s="455"/>
      <c r="FY86" s="455"/>
      <c r="FZ86" s="455"/>
      <c r="GA86" s="455"/>
      <c r="GB86" s="455"/>
      <c r="GC86" s="455"/>
      <c r="GD86" s="455"/>
      <c r="GE86" s="455"/>
      <c r="GF86" s="455"/>
      <c r="GG86" s="455"/>
      <c r="GH86" s="455"/>
      <c r="GI86" s="455"/>
      <c r="GJ86" s="455"/>
      <c r="GK86" s="455"/>
      <c r="GL86" s="455"/>
      <c r="GM86" s="455"/>
      <c r="GN86" s="455"/>
      <c r="GO86" s="455"/>
      <c r="GP86" s="455"/>
      <c r="GQ86" s="455"/>
      <c r="GR86" s="455"/>
      <c r="GS86" s="455"/>
      <c r="GT86" s="455"/>
      <c r="GU86" s="455"/>
      <c r="GV86" s="455"/>
      <c r="GW86" s="455"/>
      <c r="GX86" s="455"/>
      <c r="GY86" s="455"/>
      <c r="GZ86" s="455"/>
      <c r="HA86" s="455"/>
      <c r="HB86" s="455"/>
      <c r="HC86" s="455"/>
      <c r="HD86" s="455"/>
      <c r="HE86" s="455"/>
      <c r="HF86" s="455"/>
      <c r="HG86" s="455"/>
      <c r="HH86" s="455"/>
      <c r="HI86" s="455"/>
      <c r="HJ86" s="455"/>
      <c r="HK86" s="455"/>
      <c r="HL86" s="455"/>
      <c r="HM86" s="455"/>
      <c r="HN86" s="455"/>
      <c r="HO86" s="455"/>
      <c r="HP86" s="455"/>
      <c r="HQ86" s="455"/>
      <c r="HR86" s="455"/>
      <c r="HS86" s="455"/>
      <c r="HT86" s="455"/>
      <c r="HU86" s="455"/>
      <c r="HV86" s="455"/>
      <c r="HW86" s="455"/>
      <c r="HX86" s="455"/>
      <c r="HY86" s="455"/>
      <c r="HZ86" s="455"/>
      <c r="IA86" s="455"/>
      <c r="IB86" s="455"/>
      <c r="IC86" s="455"/>
      <c r="ID86" s="455"/>
      <c r="IE86" s="455"/>
      <c r="IF86" s="455"/>
      <c r="IG86" s="455"/>
      <c r="IH86" s="455"/>
      <c r="II86" s="455"/>
      <c r="IJ86" s="455"/>
      <c r="IK86" s="455"/>
      <c r="IL86" s="455"/>
      <c r="IM86" s="455"/>
      <c r="IN86" s="455"/>
      <c r="IO86" s="455"/>
      <c r="IP86" s="455"/>
      <c r="IQ86" s="455"/>
      <c r="IR86" s="455"/>
      <c r="IS86" s="455"/>
    </row>
    <row r="87" spans="1:253" s="458" customFormat="1" ht="45" x14ac:dyDescent="0.2">
      <c r="A87" s="444">
        <v>2051</v>
      </c>
      <c r="B87" s="445" t="s">
        <v>51</v>
      </c>
      <c r="C87" s="445" t="s">
        <v>52</v>
      </c>
      <c r="D87" s="445"/>
      <c r="E87" s="445"/>
      <c r="F87" s="445"/>
      <c r="G87" s="446">
        <v>31</v>
      </c>
      <c r="H87" s="445">
        <v>17</v>
      </c>
      <c r="I87" s="445"/>
      <c r="J87" s="445">
        <v>7</v>
      </c>
      <c r="K87" s="447">
        <v>12</v>
      </c>
      <c r="L87" s="445" t="s">
        <v>105</v>
      </c>
      <c r="M87" s="445">
        <v>5</v>
      </c>
      <c r="N87" s="445" t="s">
        <v>248</v>
      </c>
      <c r="O87" s="449" t="s">
        <v>1063</v>
      </c>
      <c r="P87" s="450">
        <v>4.7640000000000002</v>
      </c>
      <c r="Q87" s="451">
        <f t="shared" si="3"/>
        <v>4.7640000000000002</v>
      </c>
      <c r="R87" s="451">
        <f>SUMIF('Wege im Detail'!$A:$A,"2051",'Wege im Detail'!$P:$P)</f>
        <v>73.233000000000004</v>
      </c>
      <c r="S87" s="452" t="s">
        <v>1054</v>
      </c>
      <c r="T87" s="453">
        <v>43160</v>
      </c>
      <c r="U87" s="448"/>
      <c r="V87" s="457"/>
      <c r="W87" s="448"/>
      <c r="X87" s="455"/>
      <c r="Y87" s="455"/>
      <c r="Z87" s="455"/>
      <c r="AA87" s="455"/>
      <c r="AB87" s="455"/>
      <c r="AC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  <c r="AO87" s="455"/>
      <c r="AP87" s="455"/>
      <c r="AQ87" s="455"/>
      <c r="AR87" s="455"/>
      <c r="AS87" s="455"/>
      <c r="AT87" s="455"/>
      <c r="AU87" s="455"/>
      <c r="AV87" s="455"/>
      <c r="AW87" s="455"/>
      <c r="AX87" s="455"/>
      <c r="AY87" s="455"/>
      <c r="AZ87" s="455"/>
      <c r="BA87" s="455"/>
      <c r="BB87" s="455"/>
      <c r="BC87" s="455"/>
      <c r="BD87" s="455"/>
      <c r="BE87" s="455"/>
      <c r="BF87" s="455"/>
      <c r="BG87" s="455"/>
      <c r="BH87" s="455"/>
      <c r="BI87" s="455"/>
      <c r="BJ87" s="455"/>
      <c r="BK87" s="455"/>
      <c r="BL87" s="455"/>
      <c r="BM87" s="455"/>
      <c r="BN87" s="455"/>
      <c r="BO87" s="455"/>
      <c r="BP87" s="455"/>
      <c r="BQ87" s="455"/>
      <c r="BR87" s="455"/>
      <c r="BS87" s="455"/>
      <c r="BT87" s="455"/>
      <c r="BU87" s="455"/>
      <c r="BV87" s="455"/>
      <c r="BW87" s="455"/>
      <c r="BX87" s="455"/>
      <c r="BY87" s="455"/>
      <c r="BZ87" s="455"/>
      <c r="CA87" s="455"/>
      <c r="CB87" s="455"/>
      <c r="CC87" s="455"/>
      <c r="CD87" s="455"/>
      <c r="CE87" s="455"/>
      <c r="CF87" s="455"/>
      <c r="CG87" s="455"/>
      <c r="CH87" s="455"/>
      <c r="CI87" s="455"/>
      <c r="CJ87" s="455"/>
      <c r="CK87" s="455"/>
      <c r="CL87" s="455"/>
      <c r="CM87" s="455"/>
      <c r="CN87" s="455"/>
      <c r="CO87" s="455"/>
      <c r="CP87" s="455"/>
      <c r="CQ87" s="455"/>
      <c r="CR87" s="455"/>
      <c r="CS87" s="455"/>
      <c r="CT87" s="455"/>
      <c r="CU87" s="455"/>
      <c r="CV87" s="455"/>
      <c r="CW87" s="455"/>
      <c r="CX87" s="455"/>
      <c r="CY87" s="455"/>
      <c r="CZ87" s="455"/>
      <c r="DA87" s="455"/>
      <c r="DB87" s="455"/>
      <c r="DC87" s="455"/>
      <c r="DD87" s="455"/>
      <c r="DE87" s="455"/>
      <c r="DF87" s="455"/>
      <c r="DG87" s="455"/>
      <c r="DH87" s="455"/>
      <c r="DI87" s="455"/>
      <c r="DJ87" s="455"/>
      <c r="DK87" s="455"/>
      <c r="DL87" s="455"/>
      <c r="DM87" s="455"/>
      <c r="DN87" s="455"/>
      <c r="DO87" s="455"/>
      <c r="DP87" s="455"/>
      <c r="DQ87" s="455"/>
      <c r="DR87" s="455"/>
      <c r="DS87" s="455"/>
      <c r="DT87" s="455"/>
      <c r="DU87" s="455"/>
      <c r="DV87" s="455"/>
      <c r="DW87" s="455"/>
      <c r="DX87" s="455"/>
      <c r="DY87" s="455"/>
      <c r="DZ87" s="455"/>
      <c r="EA87" s="455"/>
      <c r="EB87" s="455"/>
      <c r="EC87" s="455"/>
      <c r="ED87" s="455"/>
      <c r="EE87" s="455"/>
      <c r="EF87" s="455"/>
      <c r="EG87" s="455"/>
      <c r="EH87" s="455"/>
      <c r="EI87" s="455"/>
      <c r="EJ87" s="455"/>
      <c r="EK87" s="455"/>
      <c r="EL87" s="455"/>
      <c r="EM87" s="455"/>
      <c r="EN87" s="455"/>
      <c r="EO87" s="455"/>
      <c r="EP87" s="455"/>
      <c r="EQ87" s="455"/>
      <c r="ER87" s="455"/>
      <c r="ES87" s="455"/>
      <c r="ET87" s="455"/>
      <c r="EU87" s="455"/>
      <c r="EV87" s="455"/>
      <c r="EW87" s="455"/>
      <c r="EX87" s="455"/>
      <c r="EY87" s="455"/>
      <c r="EZ87" s="455"/>
      <c r="FA87" s="455"/>
      <c r="FB87" s="455"/>
      <c r="FC87" s="455"/>
      <c r="FD87" s="455"/>
      <c r="FE87" s="455"/>
      <c r="FF87" s="455"/>
      <c r="FG87" s="455"/>
      <c r="FH87" s="455"/>
      <c r="FI87" s="455"/>
      <c r="FJ87" s="455"/>
      <c r="FK87" s="455"/>
      <c r="FL87" s="455"/>
      <c r="FM87" s="455"/>
      <c r="FN87" s="455"/>
      <c r="FO87" s="455"/>
      <c r="FP87" s="455"/>
      <c r="FQ87" s="455"/>
      <c r="FR87" s="455"/>
      <c r="FS87" s="455"/>
      <c r="FT87" s="455"/>
      <c r="FU87" s="455"/>
      <c r="FV87" s="455"/>
      <c r="FW87" s="455"/>
      <c r="FX87" s="455"/>
      <c r="FY87" s="455"/>
      <c r="FZ87" s="455"/>
      <c r="GA87" s="455"/>
      <c r="GB87" s="455"/>
      <c r="GC87" s="455"/>
      <c r="GD87" s="455"/>
      <c r="GE87" s="455"/>
      <c r="GF87" s="455"/>
      <c r="GG87" s="455"/>
      <c r="GH87" s="455"/>
      <c r="GI87" s="455"/>
      <c r="GJ87" s="455"/>
      <c r="GK87" s="455"/>
      <c r="GL87" s="455"/>
      <c r="GM87" s="455"/>
      <c r="GN87" s="455"/>
      <c r="GO87" s="455"/>
      <c r="GP87" s="455"/>
      <c r="GQ87" s="455"/>
      <c r="GR87" s="455"/>
      <c r="GS87" s="455"/>
      <c r="GT87" s="455"/>
      <c r="GU87" s="455"/>
      <c r="GV87" s="455"/>
      <c r="GW87" s="455"/>
      <c r="GX87" s="455"/>
      <c r="GY87" s="455"/>
      <c r="GZ87" s="455"/>
      <c r="HA87" s="455"/>
      <c r="HB87" s="455"/>
      <c r="HC87" s="455"/>
      <c r="HD87" s="455"/>
      <c r="HE87" s="455"/>
      <c r="HF87" s="455"/>
      <c r="HG87" s="455"/>
      <c r="HH87" s="455"/>
      <c r="HI87" s="455"/>
      <c r="HJ87" s="455"/>
      <c r="HK87" s="455"/>
      <c r="HL87" s="455"/>
      <c r="HM87" s="455"/>
      <c r="HN87" s="455"/>
      <c r="HO87" s="455"/>
      <c r="HP87" s="455"/>
      <c r="HQ87" s="455"/>
      <c r="HR87" s="455"/>
      <c r="HS87" s="455"/>
      <c r="HT87" s="455"/>
      <c r="HU87" s="455"/>
      <c r="HV87" s="455"/>
      <c r="HW87" s="455"/>
      <c r="HX87" s="455"/>
      <c r="HY87" s="455"/>
      <c r="HZ87" s="455"/>
      <c r="IA87" s="455"/>
      <c r="IB87" s="455"/>
      <c r="IC87" s="455"/>
      <c r="ID87" s="455"/>
      <c r="IE87" s="455"/>
      <c r="IF87" s="455"/>
      <c r="IG87" s="455"/>
      <c r="IH87" s="455"/>
      <c r="II87" s="455"/>
      <c r="IJ87" s="455"/>
      <c r="IK87" s="455"/>
      <c r="IL87" s="455"/>
      <c r="IM87" s="455"/>
      <c r="IN87" s="455"/>
      <c r="IO87" s="455"/>
      <c r="IP87" s="455"/>
      <c r="IQ87" s="455"/>
      <c r="IR87" s="455"/>
      <c r="IS87" s="455"/>
    </row>
    <row r="88" spans="1:253" s="458" customFormat="1" ht="56.25" x14ac:dyDescent="0.2">
      <c r="A88" s="444">
        <v>2051</v>
      </c>
      <c r="B88" s="445" t="s">
        <v>51</v>
      </c>
      <c r="C88" s="445" t="s">
        <v>52</v>
      </c>
      <c r="D88" s="445"/>
      <c r="E88" s="445"/>
      <c r="F88" s="445"/>
      <c r="G88" s="446">
        <v>31</v>
      </c>
      <c r="H88" s="445">
        <v>17</v>
      </c>
      <c r="I88" s="445"/>
      <c r="J88" s="445">
        <v>8</v>
      </c>
      <c r="K88" s="447">
        <v>12</v>
      </c>
      <c r="L88" s="445" t="s">
        <v>105</v>
      </c>
      <c r="M88" s="445">
        <v>3</v>
      </c>
      <c r="N88" s="445" t="s">
        <v>202</v>
      </c>
      <c r="O88" s="449" t="s">
        <v>1064</v>
      </c>
      <c r="P88" s="450">
        <v>5.0819999999999999</v>
      </c>
      <c r="Q88" s="451">
        <f t="shared" si="3"/>
        <v>5.0819999999999999</v>
      </c>
      <c r="R88" s="451">
        <f>SUMIF('Wege im Detail'!$A:$A,"2051",'Wege im Detail'!$P:$P)</f>
        <v>73.233000000000004</v>
      </c>
      <c r="S88" s="452" t="s">
        <v>1054</v>
      </c>
      <c r="T88" s="453">
        <v>43160</v>
      </c>
      <c r="U88" s="448"/>
      <c r="V88" s="457"/>
      <c r="W88" s="448"/>
    </row>
    <row r="89" spans="1:253" s="455" customFormat="1" ht="56.25" x14ac:dyDescent="0.2">
      <c r="A89" s="444">
        <v>2051</v>
      </c>
      <c r="B89" s="445" t="s">
        <v>51</v>
      </c>
      <c r="C89" s="445" t="s">
        <v>52</v>
      </c>
      <c r="D89" s="445"/>
      <c r="E89" s="445"/>
      <c r="F89" s="445"/>
      <c r="G89" s="446">
        <v>31</v>
      </c>
      <c r="H89" s="445">
        <v>17</v>
      </c>
      <c r="I89" s="445"/>
      <c r="J89" s="445">
        <v>9</v>
      </c>
      <c r="K89" s="447">
        <v>12</v>
      </c>
      <c r="L89" s="445" t="s">
        <v>105</v>
      </c>
      <c r="M89" s="445">
        <v>2</v>
      </c>
      <c r="N89" s="445" t="s">
        <v>834</v>
      </c>
      <c r="O89" s="449" t="s">
        <v>1065</v>
      </c>
      <c r="P89" s="450">
        <v>5.8150000000000004</v>
      </c>
      <c r="Q89" s="451">
        <f t="shared" si="3"/>
        <v>5.8150000000000004</v>
      </c>
      <c r="R89" s="451">
        <f>SUMIF('Wege im Detail'!$A:$A,"2051",'Wege im Detail'!$P:$P)</f>
        <v>73.233000000000004</v>
      </c>
      <c r="S89" s="452" t="s">
        <v>1054</v>
      </c>
      <c r="T89" s="453">
        <v>43160</v>
      </c>
      <c r="U89" s="448"/>
      <c r="V89" s="457"/>
      <c r="W89" s="448"/>
      <c r="X89" s="458"/>
      <c r="Y89" s="458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  <c r="BL89" s="458"/>
      <c r="BM89" s="458"/>
      <c r="BN89" s="458"/>
      <c r="BO89" s="458"/>
      <c r="BP89" s="458"/>
      <c r="BQ89" s="458"/>
      <c r="BR89" s="458"/>
      <c r="BS89" s="458"/>
      <c r="BT89" s="458"/>
      <c r="BU89" s="458"/>
      <c r="BV89" s="458"/>
      <c r="BW89" s="458"/>
      <c r="BX89" s="458"/>
      <c r="BY89" s="458"/>
      <c r="BZ89" s="458"/>
      <c r="CA89" s="458"/>
      <c r="CB89" s="458"/>
      <c r="CC89" s="458"/>
      <c r="CD89" s="458"/>
      <c r="CE89" s="458"/>
      <c r="CF89" s="458"/>
      <c r="CG89" s="458"/>
      <c r="CH89" s="458"/>
      <c r="CI89" s="458"/>
      <c r="CJ89" s="458"/>
      <c r="CK89" s="458"/>
      <c r="CL89" s="458"/>
      <c r="CM89" s="458"/>
      <c r="CN89" s="458"/>
      <c r="CO89" s="458"/>
      <c r="CP89" s="458"/>
      <c r="CQ89" s="458"/>
      <c r="CR89" s="458"/>
      <c r="CS89" s="458"/>
      <c r="CT89" s="458"/>
      <c r="CU89" s="458"/>
      <c r="CV89" s="458"/>
      <c r="CW89" s="458"/>
      <c r="CX89" s="458"/>
      <c r="CY89" s="458"/>
      <c r="CZ89" s="458"/>
      <c r="DA89" s="458"/>
      <c r="DB89" s="458"/>
      <c r="DC89" s="458"/>
      <c r="DD89" s="458"/>
      <c r="DE89" s="458"/>
      <c r="DF89" s="458"/>
      <c r="DG89" s="458"/>
      <c r="DH89" s="458"/>
      <c r="DI89" s="458"/>
      <c r="DJ89" s="458"/>
      <c r="DK89" s="458"/>
      <c r="DL89" s="458"/>
      <c r="DM89" s="458"/>
      <c r="DN89" s="458"/>
      <c r="DO89" s="458"/>
      <c r="DP89" s="458"/>
      <c r="DQ89" s="458"/>
      <c r="DR89" s="458"/>
      <c r="DS89" s="458"/>
      <c r="DT89" s="458"/>
      <c r="DU89" s="458"/>
      <c r="DV89" s="458"/>
      <c r="DW89" s="458"/>
      <c r="DX89" s="458"/>
      <c r="DY89" s="458"/>
      <c r="DZ89" s="458"/>
      <c r="EA89" s="458"/>
      <c r="EB89" s="458"/>
      <c r="EC89" s="458"/>
      <c r="ED89" s="458"/>
      <c r="EE89" s="458"/>
      <c r="EF89" s="458"/>
      <c r="EG89" s="458"/>
      <c r="EH89" s="458"/>
      <c r="EI89" s="458"/>
      <c r="EJ89" s="458"/>
      <c r="EK89" s="458"/>
      <c r="EL89" s="458"/>
      <c r="EM89" s="458"/>
      <c r="EN89" s="458"/>
      <c r="EO89" s="458"/>
      <c r="EP89" s="458"/>
      <c r="EQ89" s="458"/>
      <c r="ER89" s="458"/>
      <c r="ES89" s="458"/>
      <c r="ET89" s="458"/>
      <c r="EU89" s="458"/>
      <c r="EV89" s="458"/>
      <c r="EW89" s="458"/>
      <c r="EX89" s="458"/>
      <c r="EY89" s="458"/>
      <c r="EZ89" s="458"/>
      <c r="FA89" s="458"/>
      <c r="FB89" s="458"/>
      <c r="FC89" s="458"/>
      <c r="FD89" s="458"/>
      <c r="FE89" s="458"/>
      <c r="FF89" s="458"/>
      <c r="FG89" s="458"/>
      <c r="FH89" s="458"/>
      <c r="FI89" s="458"/>
      <c r="FJ89" s="458"/>
      <c r="FK89" s="458"/>
      <c r="FL89" s="458"/>
      <c r="FM89" s="458"/>
      <c r="FN89" s="458"/>
      <c r="FO89" s="458"/>
      <c r="FP89" s="458"/>
      <c r="FQ89" s="458"/>
      <c r="FR89" s="458"/>
      <c r="FS89" s="458"/>
      <c r="FT89" s="458"/>
      <c r="FU89" s="458"/>
      <c r="FV89" s="458"/>
      <c r="FW89" s="458"/>
      <c r="FX89" s="458"/>
      <c r="FY89" s="458"/>
      <c r="FZ89" s="458"/>
      <c r="GA89" s="458"/>
      <c r="GB89" s="458"/>
      <c r="GC89" s="458"/>
      <c r="GD89" s="458"/>
      <c r="GE89" s="458"/>
      <c r="GF89" s="458"/>
      <c r="GG89" s="458"/>
      <c r="GH89" s="458"/>
      <c r="GI89" s="458"/>
      <c r="GJ89" s="458"/>
      <c r="GK89" s="458"/>
      <c r="GL89" s="458"/>
      <c r="GM89" s="458"/>
      <c r="GN89" s="458"/>
      <c r="GO89" s="458"/>
      <c r="GP89" s="458"/>
      <c r="GQ89" s="458"/>
      <c r="GR89" s="458"/>
      <c r="GS89" s="458"/>
      <c r="GT89" s="458"/>
      <c r="GU89" s="458"/>
      <c r="GV89" s="458"/>
      <c r="GW89" s="458"/>
      <c r="GX89" s="458"/>
      <c r="GY89" s="458"/>
      <c r="GZ89" s="458"/>
      <c r="HA89" s="458"/>
      <c r="HB89" s="458"/>
      <c r="HC89" s="458"/>
      <c r="HD89" s="458"/>
      <c r="HE89" s="458"/>
      <c r="HF89" s="458"/>
      <c r="HG89" s="458"/>
      <c r="HH89" s="458"/>
      <c r="HI89" s="458"/>
      <c r="HJ89" s="458"/>
      <c r="HK89" s="458"/>
      <c r="HL89" s="458"/>
      <c r="HM89" s="458"/>
      <c r="HN89" s="458"/>
      <c r="HO89" s="458"/>
      <c r="HP89" s="458"/>
      <c r="HQ89" s="458"/>
      <c r="HR89" s="458"/>
      <c r="HS89" s="458"/>
      <c r="HT89" s="458"/>
      <c r="HU89" s="458"/>
      <c r="HV89" s="458"/>
      <c r="HW89" s="458"/>
      <c r="HX89" s="458"/>
      <c r="HY89" s="458"/>
      <c r="HZ89" s="458"/>
      <c r="IA89" s="458"/>
      <c r="IB89" s="458"/>
      <c r="IC89" s="458"/>
      <c r="ID89" s="458"/>
      <c r="IE89" s="458"/>
      <c r="IF89" s="458"/>
      <c r="IG89" s="458"/>
      <c r="IH89" s="458"/>
      <c r="II89" s="458"/>
      <c r="IJ89" s="458"/>
      <c r="IK89" s="458"/>
      <c r="IL89" s="458"/>
      <c r="IM89" s="458"/>
      <c r="IN89" s="458"/>
      <c r="IO89" s="458"/>
      <c r="IP89" s="458"/>
      <c r="IQ89" s="458"/>
      <c r="IR89" s="458"/>
      <c r="IS89" s="458"/>
    </row>
    <row r="90" spans="1:253" s="455" customFormat="1" ht="45" x14ac:dyDescent="0.2">
      <c r="A90" s="444">
        <v>2051</v>
      </c>
      <c r="B90" s="445" t="s">
        <v>51</v>
      </c>
      <c r="C90" s="445" t="s">
        <v>52</v>
      </c>
      <c r="D90" s="445"/>
      <c r="E90" s="445"/>
      <c r="F90" s="445"/>
      <c r="G90" s="446">
        <v>31</v>
      </c>
      <c r="H90" s="445">
        <v>17</v>
      </c>
      <c r="I90" s="445"/>
      <c r="J90" s="445">
        <v>10</v>
      </c>
      <c r="K90" s="447">
        <v>12</v>
      </c>
      <c r="L90" s="445" t="s">
        <v>105</v>
      </c>
      <c r="M90" s="445">
        <v>2</v>
      </c>
      <c r="N90" s="445" t="s">
        <v>458</v>
      </c>
      <c r="O90" s="449" t="s">
        <v>1066</v>
      </c>
      <c r="P90" s="450">
        <v>6.4340000000000002</v>
      </c>
      <c r="Q90" s="451">
        <f t="shared" si="3"/>
        <v>6.4340000000000002</v>
      </c>
      <c r="R90" s="451">
        <f>SUMIF('Wege im Detail'!$A:$A,"2051",'Wege im Detail'!$P:$P)</f>
        <v>73.233000000000004</v>
      </c>
      <c r="S90" s="452" t="s">
        <v>1054</v>
      </c>
      <c r="T90" s="453">
        <v>43160</v>
      </c>
      <c r="U90" s="448"/>
      <c r="V90" s="457"/>
      <c r="W90" s="448"/>
      <c r="X90" s="458"/>
      <c r="Y90" s="458"/>
      <c r="Z90" s="458"/>
      <c r="AA90" s="458"/>
      <c r="AB90" s="458"/>
      <c r="AC90" s="458"/>
      <c r="AD90" s="458"/>
      <c r="AE90" s="458"/>
      <c r="AF90" s="458"/>
      <c r="AG90" s="458"/>
      <c r="AH90" s="458"/>
      <c r="AI90" s="458"/>
      <c r="AJ90" s="458"/>
      <c r="AK90" s="458"/>
      <c r="AL90" s="458"/>
      <c r="AM90" s="458"/>
      <c r="AN90" s="458"/>
      <c r="AO90" s="458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  <c r="BM90" s="458"/>
      <c r="BN90" s="458"/>
      <c r="BO90" s="458"/>
      <c r="BP90" s="458"/>
      <c r="BQ90" s="458"/>
      <c r="BR90" s="458"/>
      <c r="BS90" s="458"/>
      <c r="BT90" s="458"/>
      <c r="BU90" s="458"/>
      <c r="BV90" s="458"/>
      <c r="BW90" s="458"/>
      <c r="BX90" s="458"/>
      <c r="BY90" s="458"/>
      <c r="BZ90" s="458"/>
      <c r="CA90" s="458"/>
      <c r="CB90" s="458"/>
      <c r="CC90" s="458"/>
      <c r="CD90" s="458"/>
      <c r="CE90" s="458"/>
      <c r="CF90" s="458"/>
      <c r="CG90" s="458"/>
      <c r="CH90" s="458"/>
      <c r="CI90" s="458"/>
      <c r="CJ90" s="458"/>
      <c r="CK90" s="458"/>
      <c r="CL90" s="458"/>
      <c r="CM90" s="458"/>
      <c r="CN90" s="458"/>
      <c r="CO90" s="458"/>
      <c r="CP90" s="458"/>
      <c r="CQ90" s="458"/>
      <c r="CR90" s="458"/>
      <c r="CS90" s="458"/>
      <c r="CT90" s="458"/>
      <c r="CU90" s="458"/>
      <c r="CV90" s="458"/>
      <c r="CW90" s="458"/>
      <c r="CX90" s="458"/>
      <c r="CY90" s="458"/>
      <c r="CZ90" s="458"/>
      <c r="DA90" s="458"/>
      <c r="DB90" s="458"/>
      <c r="DC90" s="458"/>
      <c r="DD90" s="458"/>
      <c r="DE90" s="458"/>
      <c r="DF90" s="458"/>
      <c r="DG90" s="458"/>
      <c r="DH90" s="458"/>
      <c r="DI90" s="458"/>
      <c r="DJ90" s="458"/>
      <c r="DK90" s="458"/>
      <c r="DL90" s="458"/>
      <c r="DM90" s="458"/>
      <c r="DN90" s="458"/>
      <c r="DO90" s="458"/>
      <c r="DP90" s="458"/>
      <c r="DQ90" s="458"/>
      <c r="DR90" s="458"/>
      <c r="DS90" s="458"/>
      <c r="DT90" s="458"/>
      <c r="DU90" s="458"/>
      <c r="DV90" s="458"/>
      <c r="DW90" s="458"/>
      <c r="DX90" s="458"/>
      <c r="DY90" s="458"/>
      <c r="DZ90" s="458"/>
      <c r="EA90" s="458"/>
      <c r="EB90" s="458"/>
      <c r="EC90" s="458"/>
      <c r="ED90" s="458"/>
      <c r="EE90" s="458"/>
      <c r="EF90" s="458"/>
      <c r="EG90" s="458"/>
      <c r="EH90" s="458"/>
      <c r="EI90" s="458"/>
      <c r="EJ90" s="458"/>
      <c r="EK90" s="458"/>
      <c r="EL90" s="458"/>
      <c r="EM90" s="458"/>
      <c r="EN90" s="458"/>
      <c r="EO90" s="458"/>
      <c r="EP90" s="458"/>
      <c r="EQ90" s="458"/>
      <c r="ER90" s="458"/>
      <c r="ES90" s="458"/>
      <c r="ET90" s="458"/>
      <c r="EU90" s="458"/>
      <c r="EV90" s="458"/>
      <c r="EW90" s="458"/>
      <c r="EX90" s="458"/>
      <c r="EY90" s="458"/>
      <c r="EZ90" s="458"/>
      <c r="FA90" s="458"/>
      <c r="FB90" s="458"/>
      <c r="FC90" s="458"/>
      <c r="FD90" s="458"/>
      <c r="FE90" s="458"/>
      <c r="FF90" s="458"/>
      <c r="FG90" s="458"/>
      <c r="FH90" s="458"/>
      <c r="FI90" s="458"/>
      <c r="FJ90" s="458"/>
      <c r="FK90" s="458"/>
      <c r="FL90" s="458"/>
      <c r="FM90" s="458"/>
      <c r="FN90" s="458"/>
      <c r="FO90" s="458"/>
      <c r="FP90" s="458"/>
      <c r="FQ90" s="458"/>
      <c r="FR90" s="458"/>
      <c r="FS90" s="458"/>
      <c r="FT90" s="458"/>
      <c r="FU90" s="458"/>
      <c r="FV90" s="458"/>
      <c r="FW90" s="458"/>
      <c r="FX90" s="458"/>
      <c r="FY90" s="458"/>
      <c r="FZ90" s="458"/>
      <c r="GA90" s="458"/>
      <c r="GB90" s="458"/>
      <c r="GC90" s="458"/>
      <c r="GD90" s="458"/>
      <c r="GE90" s="458"/>
      <c r="GF90" s="458"/>
      <c r="GG90" s="458"/>
      <c r="GH90" s="458"/>
      <c r="GI90" s="458"/>
      <c r="GJ90" s="458"/>
      <c r="GK90" s="458"/>
      <c r="GL90" s="458"/>
      <c r="GM90" s="458"/>
      <c r="GN90" s="458"/>
      <c r="GO90" s="458"/>
      <c r="GP90" s="458"/>
      <c r="GQ90" s="458"/>
      <c r="GR90" s="458"/>
      <c r="GS90" s="458"/>
      <c r="GT90" s="458"/>
      <c r="GU90" s="458"/>
      <c r="GV90" s="458"/>
      <c r="GW90" s="458"/>
      <c r="GX90" s="458"/>
      <c r="GY90" s="458"/>
      <c r="GZ90" s="458"/>
      <c r="HA90" s="458"/>
      <c r="HB90" s="458"/>
      <c r="HC90" s="458"/>
      <c r="HD90" s="458"/>
      <c r="HE90" s="458"/>
      <c r="HF90" s="458"/>
      <c r="HG90" s="458"/>
      <c r="HH90" s="458"/>
      <c r="HI90" s="458"/>
      <c r="HJ90" s="458"/>
      <c r="HK90" s="458"/>
      <c r="HL90" s="458"/>
      <c r="HM90" s="458"/>
      <c r="HN90" s="458"/>
      <c r="HO90" s="458"/>
      <c r="HP90" s="458"/>
      <c r="HQ90" s="458"/>
      <c r="HR90" s="458"/>
      <c r="HS90" s="458"/>
      <c r="HT90" s="458"/>
      <c r="HU90" s="458"/>
      <c r="HV90" s="458"/>
      <c r="HW90" s="458"/>
      <c r="HX90" s="458"/>
      <c r="HY90" s="458"/>
      <c r="HZ90" s="458"/>
      <c r="IA90" s="458"/>
      <c r="IB90" s="458"/>
      <c r="IC90" s="458"/>
      <c r="ID90" s="458"/>
      <c r="IE90" s="458"/>
      <c r="IF90" s="458"/>
      <c r="IG90" s="458"/>
      <c r="IH90" s="458"/>
      <c r="II90" s="458"/>
      <c r="IJ90" s="458"/>
      <c r="IK90" s="458"/>
      <c r="IL90" s="458"/>
      <c r="IM90" s="458"/>
      <c r="IN90" s="458"/>
      <c r="IO90" s="458"/>
      <c r="IP90" s="458"/>
      <c r="IQ90" s="458"/>
      <c r="IR90" s="458"/>
      <c r="IS90" s="458"/>
    </row>
    <row r="91" spans="1:253" s="458" customFormat="1" ht="67.5" x14ac:dyDescent="0.2">
      <c r="A91" s="444">
        <v>2051</v>
      </c>
      <c r="B91" s="445" t="s">
        <v>51</v>
      </c>
      <c r="C91" s="445" t="s">
        <v>52</v>
      </c>
      <c r="D91" s="445"/>
      <c r="E91" s="445"/>
      <c r="F91" s="445"/>
      <c r="G91" s="446">
        <v>31</v>
      </c>
      <c r="H91" s="445">
        <v>17</v>
      </c>
      <c r="I91" s="445"/>
      <c r="J91" s="445">
        <v>11</v>
      </c>
      <c r="K91" s="447">
        <v>12</v>
      </c>
      <c r="L91" s="445" t="s">
        <v>105</v>
      </c>
      <c r="M91" s="445">
        <v>3</v>
      </c>
      <c r="N91" s="445" t="s">
        <v>106</v>
      </c>
      <c r="O91" s="449" t="s">
        <v>1067</v>
      </c>
      <c r="P91" s="450">
        <v>14.747999999999999</v>
      </c>
      <c r="Q91" s="451">
        <f t="shared" si="3"/>
        <v>14.747999999999999</v>
      </c>
      <c r="R91" s="451">
        <f>SUMIF('Wege im Detail'!$A:$A,"2051",'Wege im Detail'!$P:$P)</f>
        <v>73.233000000000004</v>
      </c>
      <c r="S91" s="452" t="s">
        <v>1054</v>
      </c>
      <c r="T91" s="453">
        <v>43160</v>
      </c>
      <c r="U91" s="448"/>
      <c r="V91" s="457"/>
      <c r="W91" s="448"/>
    </row>
    <row r="92" spans="1:253" s="458" customFormat="1" ht="33.75" x14ac:dyDescent="0.2">
      <c r="A92" s="444">
        <v>2066</v>
      </c>
      <c r="B92" s="445" t="s">
        <v>51</v>
      </c>
      <c r="C92" s="445" t="s">
        <v>52</v>
      </c>
      <c r="D92" s="445"/>
      <c r="E92" s="445"/>
      <c r="F92" s="445"/>
      <c r="G92" s="446">
        <v>23</v>
      </c>
      <c r="H92" s="445">
        <v>9</v>
      </c>
      <c r="I92" s="445"/>
      <c r="J92" s="445">
        <v>1</v>
      </c>
      <c r="K92" s="447">
        <v>6</v>
      </c>
      <c r="L92" s="445" t="s">
        <v>110</v>
      </c>
      <c r="M92" s="445">
        <v>5</v>
      </c>
      <c r="N92" s="445" t="s">
        <v>111</v>
      </c>
      <c r="O92" s="449" t="s">
        <v>1068</v>
      </c>
      <c r="P92" s="450">
        <v>8.7530000000000001</v>
      </c>
      <c r="Q92" s="451">
        <f t="shared" si="3"/>
        <v>8.7530000000000001</v>
      </c>
      <c r="R92" s="451">
        <f>SUMIF('Wege im Detail'!$A:$A,"2066",'Wege im Detail'!$P:$P)</f>
        <v>48.447999999999993</v>
      </c>
      <c r="S92" s="452" t="s">
        <v>112</v>
      </c>
      <c r="T92" s="453">
        <v>43101</v>
      </c>
      <c r="U92" s="448"/>
      <c r="V92" s="457"/>
      <c r="W92" s="448"/>
    </row>
    <row r="93" spans="1:253" s="458" customFormat="1" ht="33.75" x14ac:dyDescent="0.2">
      <c r="A93" s="444">
        <v>2066</v>
      </c>
      <c r="B93" s="445" t="s">
        <v>51</v>
      </c>
      <c r="C93" s="445" t="s">
        <v>52</v>
      </c>
      <c r="D93" s="445"/>
      <c r="E93" s="445"/>
      <c r="F93" s="445"/>
      <c r="G93" s="446">
        <v>23</v>
      </c>
      <c r="H93" s="445">
        <v>9</v>
      </c>
      <c r="I93" s="445"/>
      <c r="J93" s="445">
        <v>2</v>
      </c>
      <c r="K93" s="447">
        <v>6</v>
      </c>
      <c r="L93" s="445" t="s">
        <v>110</v>
      </c>
      <c r="M93" s="445">
        <v>5</v>
      </c>
      <c r="N93" s="445" t="s">
        <v>1014</v>
      </c>
      <c r="O93" s="449" t="s">
        <v>1069</v>
      </c>
      <c r="P93" s="450">
        <v>4.4820000000000002</v>
      </c>
      <c r="Q93" s="451">
        <f t="shared" si="3"/>
        <v>4.4820000000000002</v>
      </c>
      <c r="R93" s="451">
        <f>SUMIF('Wege im Detail'!$A:$A,"2066",'Wege im Detail'!$P:$P)</f>
        <v>48.447999999999993</v>
      </c>
      <c r="S93" s="452" t="s">
        <v>112</v>
      </c>
      <c r="T93" s="453">
        <v>43101</v>
      </c>
      <c r="U93" s="448"/>
      <c r="V93" s="457"/>
      <c r="W93" s="448"/>
    </row>
    <row r="94" spans="1:253" s="458" customFormat="1" ht="33.75" x14ac:dyDescent="0.2">
      <c r="A94" s="444">
        <v>2066</v>
      </c>
      <c r="B94" s="445" t="s">
        <v>51</v>
      </c>
      <c r="C94" s="445" t="s">
        <v>52</v>
      </c>
      <c r="D94" s="445"/>
      <c r="E94" s="445"/>
      <c r="F94" s="445"/>
      <c r="G94" s="446">
        <v>23</v>
      </c>
      <c r="H94" s="445">
        <v>9</v>
      </c>
      <c r="I94" s="445"/>
      <c r="J94" s="445">
        <v>3</v>
      </c>
      <c r="K94" s="447">
        <v>6</v>
      </c>
      <c r="L94" s="445" t="s">
        <v>110</v>
      </c>
      <c r="M94" s="445">
        <v>5</v>
      </c>
      <c r="N94" s="445" t="s">
        <v>128</v>
      </c>
      <c r="O94" s="449" t="s">
        <v>1070</v>
      </c>
      <c r="P94" s="450">
        <v>6.7469999999999999</v>
      </c>
      <c r="Q94" s="471">
        <f t="shared" si="3"/>
        <v>6.7469999999999999</v>
      </c>
      <c r="R94" s="451">
        <f>SUMIF('Wege im Detail'!$A:$A,"2066",'Wege im Detail'!$P:$P)</f>
        <v>48.447999999999993</v>
      </c>
      <c r="S94" s="452" t="s">
        <v>112</v>
      </c>
      <c r="T94" s="453">
        <v>43101</v>
      </c>
      <c r="U94" s="448"/>
      <c r="V94" s="457"/>
      <c r="W94" s="448"/>
    </row>
    <row r="95" spans="1:253" s="458" customFormat="1" ht="56.25" x14ac:dyDescent="0.2">
      <c r="A95" s="444">
        <v>2066</v>
      </c>
      <c r="B95" s="445" t="s">
        <v>51</v>
      </c>
      <c r="C95" s="445" t="s">
        <v>52</v>
      </c>
      <c r="D95" s="445"/>
      <c r="E95" s="445"/>
      <c r="F95" s="445"/>
      <c r="G95" s="446">
        <v>23</v>
      </c>
      <c r="H95" s="445">
        <v>9</v>
      </c>
      <c r="I95" s="445"/>
      <c r="J95" s="445">
        <v>4</v>
      </c>
      <c r="K95" s="447">
        <v>6</v>
      </c>
      <c r="L95" s="445" t="s">
        <v>110</v>
      </c>
      <c r="M95" s="445">
        <v>5</v>
      </c>
      <c r="N95" s="445" t="s">
        <v>164</v>
      </c>
      <c r="O95" s="449" t="s">
        <v>1071</v>
      </c>
      <c r="P95" s="450">
        <v>13.324</v>
      </c>
      <c r="Q95" s="451">
        <f t="shared" si="3"/>
        <v>13.324</v>
      </c>
      <c r="R95" s="451">
        <f>SUMIF('Wege im Detail'!$A:$A,"2066",'Wege im Detail'!$P:$P)</f>
        <v>48.447999999999993</v>
      </c>
      <c r="S95" s="452" t="s">
        <v>112</v>
      </c>
      <c r="T95" s="453">
        <v>43101</v>
      </c>
      <c r="U95" s="448"/>
      <c r="V95" s="457"/>
      <c r="W95" s="448"/>
      <c r="X95" s="455"/>
      <c r="Y95" s="455"/>
      <c r="Z95" s="455"/>
      <c r="AA95" s="455"/>
      <c r="AB95" s="455"/>
      <c r="AC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A95" s="455"/>
      <c r="BB95" s="455"/>
      <c r="BC95" s="455"/>
      <c r="BD95" s="455"/>
      <c r="BE95" s="455"/>
      <c r="BF95" s="455"/>
      <c r="BG95" s="455"/>
      <c r="BH95" s="455"/>
      <c r="BI95" s="455"/>
      <c r="BJ95" s="455"/>
      <c r="BK95" s="455"/>
      <c r="BL95" s="455"/>
      <c r="BM95" s="455"/>
      <c r="BN95" s="455"/>
      <c r="BO95" s="455"/>
      <c r="BP95" s="455"/>
      <c r="BQ95" s="455"/>
      <c r="BR95" s="455"/>
      <c r="BS95" s="455"/>
      <c r="BT95" s="455"/>
      <c r="BU95" s="455"/>
      <c r="BV95" s="455"/>
      <c r="BW95" s="455"/>
      <c r="BX95" s="455"/>
      <c r="BY95" s="455"/>
      <c r="BZ95" s="455"/>
      <c r="CA95" s="455"/>
      <c r="CB95" s="455"/>
      <c r="CC95" s="455"/>
      <c r="CD95" s="455"/>
      <c r="CE95" s="455"/>
      <c r="CF95" s="455"/>
      <c r="CG95" s="455"/>
      <c r="CH95" s="455"/>
      <c r="CI95" s="455"/>
      <c r="CJ95" s="455"/>
      <c r="CK95" s="455"/>
      <c r="CL95" s="455"/>
      <c r="CM95" s="455"/>
      <c r="CN95" s="455"/>
      <c r="CO95" s="455"/>
      <c r="CP95" s="455"/>
      <c r="CQ95" s="455"/>
      <c r="CR95" s="455"/>
      <c r="CS95" s="455"/>
      <c r="CT95" s="455"/>
      <c r="CU95" s="455"/>
      <c r="CV95" s="455"/>
      <c r="CW95" s="455"/>
      <c r="CX95" s="455"/>
      <c r="CY95" s="455"/>
      <c r="CZ95" s="455"/>
      <c r="DA95" s="455"/>
      <c r="DB95" s="455"/>
      <c r="DC95" s="455"/>
      <c r="DD95" s="455"/>
      <c r="DE95" s="455"/>
      <c r="DF95" s="455"/>
      <c r="DG95" s="455"/>
      <c r="DH95" s="455"/>
      <c r="DI95" s="455"/>
      <c r="DJ95" s="455"/>
      <c r="DK95" s="455"/>
      <c r="DL95" s="455"/>
      <c r="DM95" s="455"/>
      <c r="DN95" s="455"/>
      <c r="DO95" s="455"/>
      <c r="DP95" s="455"/>
      <c r="DQ95" s="455"/>
      <c r="DR95" s="455"/>
      <c r="DS95" s="455"/>
      <c r="DT95" s="455"/>
      <c r="DU95" s="455"/>
      <c r="DV95" s="455"/>
      <c r="DW95" s="455"/>
      <c r="DX95" s="455"/>
      <c r="DY95" s="455"/>
      <c r="DZ95" s="455"/>
      <c r="EA95" s="455"/>
      <c r="EB95" s="455"/>
      <c r="EC95" s="455"/>
      <c r="ED95" s="455"/>
      <c r="EE95" s="455"/>
      <c r="EF95" s="455"/>
      <c r="EG95" s="455"/>
      <c r="EH95" s="455"/>
      <c r="EI95" s="455"/>
      <c r="EJ95" s="455"/>
      <c r="EK95" s="455"/>
      <c r="EL95" s="455"/>
      <c r="EM95" s="455"/>
      <c r="EN95" s="455"/>
      <c r="EO95" s="455"/>
      <c r="EP95" s="455"/>
      <c r="EQ95" s="455"/>
      <c r="ER95" s="455"/>
      <c r="ES95" s="455"/>
      <c r="ET95" s="455"/>
      <c r="EU95" s="455"/>
      <c r="EV95" s="455"/>
      <c r="EW95" s="455"/>
      <c r="EX95" s="455"/>
      <c r="EY95" s="455"/>
      <c r="EZ95" s="455"/>
      <c r="FA95" s="455"/>
      <c r="FB95" s="455"/>
      <c r="FC95" s="455"/>
      <c r="FD95" s="455"/>
      <c r="FE95" s="455"/>
      <c r="FF95" s="455"/>
      <c r="FG95" s="455"/>
      <c r="FH95" s="455"/>
      <c r="FI95" s="455"/>
      <c r="FJ95" s="455"/>
      <c r="FK95" s="455"/>
      <c r="FL95" s="455"/>
      <c r="FM95" s="455"/>
      <c r="FN95" s="455"/>
      <c r="FO95" s="455"/>
      <c r="FP95" s="455"/>
      <c r="FQ95" s="455"/>
      <c r="FR95" s="455"/>
      <c r="FS95" s="455"/>
      <c r="FT95" s="455"/>
      <c r="FU95" s="455"/>
      <c r="FV95" s="455"/>
      <c r="FW95" s="455"/>
      <c r="FX95" s="455"/>
      <c r="FY95" s="455"/>
      <c r="FZ95" s="455"/>
      <c r="GA95" s="455"/>
      <c r="GB95" s="455"/>
      <c r="GC95" s="455"/>
      <c r="GD95" s="455"/>
      <c r="GE95" s="455"/>
      <c r="GF95" s="455"/>
      <c r="GG95" s="455"/>
      <c r="GH95" s="455"/>
      <c r="GI95" s="455"/>
      <c r="GJ95" s="455"/>
      <c r="GK95" s="455"/>
      <c r="GL95" s="455"/>
      <c r="GM95" s="455"/>
      <c r="GN95" s="455"/>
      <c r="GO95" s="455"/>
      <c r="GP95" s="455"/>
      <c r="GQ95" s="455"/>
      <c r="GR95" s="455"/>
      <c r="GS95" s="455"/>
      <c r="GT95" s="455"/>
      <c r="GU95" s="455"/>
      <c r="GV95" s="455"/>
      <c r="GW95" s="455"/>
      <c r="GX95" s="455"/>
      <c r="GY95" s="455"/>
      <c r="GZ95" s="455"/>
      <c r="HA95" s="455"/>
      <c r="HB95" s="455"/>
      <c r="HC95" s="455"/>
      <c r="HD95" s="455"/>
      <c r="HE95" s="455"/>
      <c r="HF95" s="455"/>
      <c r="HG95" s="455"/>
      <c r="HH95" s="455"/>
      <c r="HI95" s="455"/>
      <c r="HJ95" s="455"/>
      <c r="HK95" s="455"/>
      <c r="HL95" s="455"/>
      <c r="HM95" s="455"/>
      <c r="HN95" s="455"/>
      <c r="HO95" s="455"/>
      <c r="HP95" s="455"/>
      <c r="HQ95" s="455"/>
      <c r="HR95" s="455"/>
      <c r="HS95" s="455"/>
      <c r="HT95" s="455"/>
      <c r="HU95" s="455"/>
      <c r="HV95" s="455"/>
      <c r="HW95" s="455"/>
      <c r="HX95" s="455"/>
      <c r="HY95" s="455"/>
      <c r="HZ95" s="455"/>
      <c r="IA95" s="455"/>
      <c r="IB95" s="455"/>
      <c r="IC95" s="455"/>
      <c r="ID95" s="455"/>
      <c r="IE95" s="455"/>
      <c r="IF95" s="455"/>
      <c r="IG95" s="455"/>
      <c r="IH95" s="455"/>
      <c r="II95" s="455"/>
      <c r="IJ95" s="455"/>
      <c r="IK95" s="455"/>
      <c r="IL95" s="455"/>
      <c r="IM95" s="455"/>
      <c r="IN95" s="455"/>
      <c r="IO95" s="455"/>
      <c r="IP95" s="455"/>
      <c r="IQ95" s="455"/>
      <c r="IR95" s="455"/>
      <c r="IS95" s="455"/>
    </row>
    <row r="96" spans="1:253" s="458" customFormat="1" ht="45" x14ac:dyDescent="0.2">
      <c r="A96" s="444">
        <v>2066</v>
      </c>
      <c r="B96" s="445" t="s">
        <v>51</v>
      </c>
      <c r="C96" s="445" t="s">
        <v>52</v>
      </c>
      <c r="D96" s="445"/>
      <c r="E96" s="445"/>
      <c r="F96" s="445"/>
      <c r="G96" s="446">
        <v>23</v>
      </c>
      <c r="H96" s="445">
        <v>9</v>
      </c>
      <c r="I96" s="445"/>
      <c r="J96" s="445">
        <v>5</v>
      </c>
      <c r="K96" s="447">
        <v>6</v>
      </c>
      <c r="L96" s="445" t="s">
        <v>110</v>
      </c>
      <c r="M96" s="445">
        <v>1</v>
      </c>
      <c r="N96" s="445" t="s">
        <v>126</v>
      </c>
      <c r="O96" s="449" t="s">
        <v>1072</v>
      </c>
      <c r="P96" s="450">
        <v>5.8819999999999997</v>
      </c>
      <c r="Q96" s="451">
        <f t="shared" si="3"/>
        <v>5.8819999999999997</v>
      </c>
      <c r="R96" s="451">
        <f>SUMIF('Wege im Detail'!$A:$A,"2066",'Wege im Detail'!$P:$P)</f>
        <v>48.447999999999993</v>
      </c>
      <c r="S96" s="452" t="s">
        <v>112</v>
      </c>
      <c r="T96" s="453">
        <v>43101</v>
      </c>
      <c r="U96" s="448"/>
      <c r="V96" s="457"/>
      <c r="W96" s="448"/>
    </row>
    <row r="97" spans="1:253" s="458" customFormat="1" ht="45" x14ac:dyDescent="0.2">
      <c r="A97" s="444">
        <v>2066</v>
      </c>
      <c r="B97" s="445" t="s">
        <v>51</v>
      </c>
      <c r="C97" s="445" t="s">
        <v>52</v>
      </c>
      <c r="D97" s="445"/>
      <c r="E97" s="445"/>
      <c r="F97" s="445"/>
      <c r="G97" s="446">
        <v>23</v>
      </c>
      <c r="H97" s="445">
        <v>9</v>
      </c>
      <c r="I97" s="445"/>
      <c r="J97" s="445">
        <v>6</v>
      </c>
      <c r="K97" s="447">
        <v>6</v>
      </c>
      <c r="L97" s="445" t="s">
        <v>110</v>
      </c>
      <c r="M97" s="445">
        <v>1</v>
      </c>
      <c r="N97" s="445" t="s">
        <v>436</v>
      </c>
      <c r="O97" s="449" t="s">
        <v>1073</v>
      </c>
      <c r="P97" s="450">
        <v>9.26</v>
      </c>
      <c r="Q97" s="451">
        <f t="shared" si="3"/>
        <v>9.26</v>
      </c>
      <c r="R97" s="451">
        <f>SUMIF('Wege im Detail'!$A:$A,"2066",'Wege im Detail'!$P:$P)</f>
        <v>48.447999999999993</v>
      </c>
      <c r="S97" s="452" t="s">
        <v>112</v>
      </c>
      <c r="T97" s="453">
        <v>43952</v>
      </c>
      <c r="U97" s="448"/>
      <c r="V97" s="457"/>
      <c r="W97" s="448"/>
    </row>
    <row r="98" spans="1:253" s="458" customFormat="1" ht="45" x14ac:dyDescent="0.2">
      <c r="A98" s="444">
        <v>2075</v>
      </c>
      <c r="B98" s="445" t="s">
        <v>51</v>
      </c>
      <c r="C98" s="445" t="s">
        <v>52</v>
      </c>
      <c r="D98" s="445" t="s">
        <v>91</v>
      </c>
      <c r="E98" s="445"/>
      <c r="F98" s="445"/>
      <c r="G98" s="446">
        <v>52</v>
      </c>
      <c r="H98" s="445">
        <v>41</v>
      </c>
      <c r="I98" s="445"/>
      <c r="J98" s="445">
        <v>1</v>
      </c>
      <c r="K98" s="447">
        <v>3</v>
      </c>
      <c r="L98" s="445"/>
      <c r="M98" s="445">
        <v>5</v>
      </c>
      <c r="N98" s="445" t="s">
        <v>111</v>
      </c>
      <c r="O98" s="449" t="s">
        <v>1074</v>
      </c>
      <c r="P98" s="450">
        <v>4.1280000000000001</v>
      </c>
      <c r="Q98" s="451">
        <f t="shared" si="3"/>
        <v>4.1280000000000001</v>
      </c>
      <c r="R98" s="451">
        <f>SUMIF('Wege im Detail'!$A:$A,"2075",'Wege im Detail'!$P:$P)</f>
        <v>13.058999999999999</v>
      </c>
      <c r="S98" s="452" t="s">
        <v>114</v>
      </c>
      <c r="T98" s="453">
        <v>43160</v>
      </c>
      <c r="U98" s="448"/>
      <c r="V98" s="466"/>
      <c r="W98" s="448"/>
    </row>
    <row r="99" spans="1:253" s="458" customFormat="1" ht="56.25" x14ac:dyDescent="0.2">
      <c r="A99" s="444">
        <v>2075</v>
      </c>
      <c r="B99" s="445" t="s">
        <v>51</v>
      </c>
      <c r="C99" s="445" t="s">
        <v>52</v>
      </c>
      <c r="D99" s="445" t="s">
        <v>91</v>
      </c>
      <c r="E99" s="445"/>
      <c r="F99" s="445"/>
      <c r="G99" s="446">
        <v>52</v>
      </c>
      <c r="H99" s="445">
        <v>41</v>
      </c>
      <c r="I99" s="445"/>
      <c r="J99" s="445">
        <v>2</v>
      </c>
      <c r="K99" s="447">
        <v>3</v>
      </c>
      <c r="L99" s="445"/>
      <c r="M99" s="445">
        <v>5</v>
      </c>
      <c r="N99" s="445" t="s">
        <v>143</v>
      </c>
      <c r="O99" s="449" t="s">
        <v>1075</v>
      </c>
      <c r="P99" s="450">
        <v>5.7279999999999998</v>
      </c>
      <c r="Q99" s="451">
        <f t="shared" si="3"/>
        <v>5.7279999999999998</v>
      </c>
      <c r="R99" s="451">
        <f>SUMIF('Wege im Detail'!$A:$A,"2075",'Wege im Detail'!$P:$P)</f>
        <v>13.058999999999999</v>
      </c>
      <c r="S99" s="452" t="s">
        <v>114</v>
      </c>
      <c r="T99" s="453">
        <v>43160</v>
      </c>
      <c r="U99" s="448"/>
      <c r="V99" s="466"/>
      <c r="W99" s="448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A99" s="455"/>
      <c r="BB99" s="455"/>
      <c r="BC99" s="455"/>
      <c r="BD99" s="455"/>
      <c r="BE99" s="455"/>
      <c r="BF99" s="455"/>
      <c r="BG99" s="455"/>
      <c r="BH99" s="455"/>
      <c r="BI99" s="455"/>
      <c r="BJ99" s="455"/>
      <c r="BK99" s="455"/>
      <c r="BL99" s="455"/>
      <c r="BM99" s="455"/>
      <c r="BN99" s="455"/>
      <c r="BO99" s="455"/>
      <c r="BP99" s="455"/>
      <c r="BQ99" s="455"/>
      <c r="BR99" s="455"/>
      <c r="BS99" s="455"/>
      <c r="BT99" s="455"/>
      <c r="BU99" s="455"/>
      <c r="BV99" s="455"/>
      <c r="BW99" s="455"/>
      <c r="BX99" s="455"/>
      <c r="BY99" s="455"/>
      <c r="BZ99" s="455"/>
      <c r="CA99" s="455"/>
      <c r="CB99" s="455"/>
      <c r="CC99" s="455"/>
      <c r="CD99" s="455"/>
      <c r="CE99" s="455"/>
      <c r="CF99" s="455"/>
      <c r="CG99" s="455"/>
      <c r="CH99" s="455"/>
      <c r="CI99" s="455"/>
      <c r="CJ99" s="455"/>
      <c r="CK99" s="455"/>
      <c r="CL99" s="455"/>
      <c r="CM99" s="455"/>
      <c r="CN99" s="455"/>
      <c r="CO99" s="455"/>
      <c r="CP99" s="455"/>
      <c r="CQ99" s="455"/>
      <c r="CR99" s="455"/>
      <c r="CS99" s="455"/>
      <c r="CT99" s="455"/>
      <c r="CU99" s="455"/>
      <c r="CV99" s="455"/>
      <c r="CW99" s="455"/>
      <c r="CX99" s="455"/>
      <c r="CY99" s="455"/>
      <c r="CZ99" s="455"/>
      <c r="DA99" s="455"/>
      <c r="DB99" s="455"/>
      <c r="DC99" s="455"/>
      <c r="DD99" s="455"/>
      <c r="DE99" s="455"/>
      <c r="DF99" s="455"/>
      <c r="DG99" s="455"/>
      <c r="DH99" s="455"/>
      <c r="DI99" s="455"/>
      <c r="DJ99" s="455"/>
      <c r="DK99" s="455"/>
      <c r="DL99" s="455"/>
      <c r="DM99" s="455"/>
      <c r="DN99" s="455"/>
      <c r="DO99" s="455"/>
      <c r="DP99" s="455"/>
      <c r="DQ99" s="455"/>
      <c r="DR99" s="455"/>
      <c r="DS99" s="455"/>
      <c r="DT99" s="455"/>
      <c r="DU99" s="455"/>
      <c r="DV99" s="455"/>
      <c r="DW99" s="455"/>
      <c r="DX99" s="455"/>
      <c r="DY99" s="455"/>
      <c r="DZ99" s="455"/>
      <c r="EA99" s="455"/>
      <c r="EB99" s="455"/>
      <c r="EC99" s="455"/>
      <c r="ED99" s="455"/>
      <c r="EE99" s="455"/>
      <c r="EF99" s="455"/>
      <c r="EG99" s="455"/>
      <c r="EH99" s="455"/>
      <c r="EI99" s="455"/>
      <c r="EJ99" s="455"/>
      <c r="EK99" s="455"/>
      <c r="EL99" s="455"/>
      <c r="EM99" s="455"/>
      <c r="EN99" s="455"/>
      <c r="EO99" s="455"/>
      <c r="EP99" s="455"/>
      <c r="EQ99" s="455"/>
      <c r="ER99" s="455"/>
      <c r="ES99" s="455"/>
      <c r="ET99" s="455"/>
      <c r="EU99" s="455"/>
      <c r="EV99" s="455"/>
      <c r="EW99" s="455"/>
      <c r="EX99" s="455"/>
      <c r="EY99" s="455"/>
      <c r="EZ99" s="455"/>
      <c r="FA99" s="455"/>
      <c r="FB99" s="455"/>
      <c r="FC99" s="455"/>
      <c r="FD99" s="455"/>
      <c r="FE99" s="455"/>
      <c r="FF99" s="455"/>
      <c r="FG99" s="455"/>
      <c r="FH99" s="455"/>
      <c r="FI99" s="455"/>
      <c r="FJ99" s="455"/>
      <c r="FK99" s="455"/>
      <c r="FL99" s="455"/>
      <c r="FM99" s="455"/>
      <c r="FN99" s="455"/>
      <c r="FO99" s="455"/>
      <c r="FP99" s="455"/>
      <c r="FQ99" s="455"/>
      <c r="FR99" s="455"/>
      <c r="FS99" s="455"/>
      <c r="FT99" s="455"/>
      <c r="FU99" s="455"/>
      <c r="FV99" s="455"/>
      <c r="FW99" s="455"/>
      <c r="FX99" s="455"/>
      <c r="FY99" s="455"/>
      <c r="FZ99" s="455"/>
      <c r="GA99" s="455"/>
      <c r="GB99" s="455"/>
      <c r="GC99" s="455"/>
      <c r="GD99" s="455"/>
      <c r="GE99" s="455"/>
      <c r="GF99" s="455"/>
      <c r="GG99" s="455"/>
      <c r="GH99" s="455"/>
      <c r="GI99" s="455"/>
      <c r="GJ99" s="455"/>
      <c r="GK99" s="455"/>
      <c r="GL99" s="455"/>
      <c r="GM99" s="455"/>
      <c r="GN99" s="455"/>
      <c r="GO99" s="455"/>
      <c r="GP99" s="455"/>
      <c r="GQ99" s="455"/>
      <c r="GR99" s="455"/>
      <c r="GS99" s="455"/>
      <c r="GT99" s="455"/>
      <c r="GU99" s="455"/>
      <c r="GV99" s="455"/>
      <c r="GW99" s="455"/>
      <c r="GX99" s="455"/>
      <c r="GY99" s="455"/>
      <c r="GZ99" s="455"/>
      <c r="HA99" s="455"/>
      <c r="HB99" s="455"/>
      <c r="HC99" s="455"/>
      <c r="HD99" s="455"/>
      <c r="HE99" s="455"/>
      <c r="HF99" s="455"/>
      <c r="HG99" s="455"/>
      <c r="HH99" s="455"/>
      <c r="HI99" s="455"/>
      <c r="HJ99" s="455"/>
      <c r="HK99" s="455"/>
      <c r="HL99" s="455"/>
      <c r="HM99" s="455"/>
      <c r="HN99" s="455"/>
      <c r="HO99" s="455"/>
      <c r="HP99" s="455"/>
      <c r="HQ99" s="455"/>
      <c r="HR99" s="455"/>
      <c r="HS99" s="455"/>
      <c r="HT99" s="455"/>
      <c r="HU99" s="455"/>
      <c r="HV99" s="455"/>
      <c r="HW99" s="455"/>
      <c r="HX99" s="455"/>
      <c r="HY99" s="455"/>
      <c r="HZ99" s="455"/>
      <c r="IA99" s="455"/>
      <c r="IB99" s="455"/>
      <c r="IC99" s="455"/>
      <c r="ID99" s="455"/>
      <c r="IE99" s="455"/>
      <c r="IF99" s="455"/>
      <c r="IG99" s="455"/>
      <c r="IH99" s="455"/>
      <c r="II99" s="455"/>
      <c r="IJ99" s="455"/>
      <c r="IK99" s="455"/>
      <c r="IL99" s="455"/>
      <c r="IM99" s="455"/>
      <c r="IN99" s="455"/>
      <c r="IO99" s="455"/>
      <c r="IP99" s="455"/>
      <c r="IQ99" s="455"/>
      <c r="IR99" s="455"/>
      <c r="IS99" s="455"/>
    </row>
    <row r="100" spans="1:253" s="458" customFormat="1" ht="45" x14ac:dyDescent="0.2">
      <c r="A100" s="444">
        <v>2075</v>
      </c>
      <c r="B100" s="445" t="s">
        <v>51</v>
      </c>
      <c r="C100" s="445" t="s">
        <v>52</v>
      </c>
      <c r="D100" s="445" t="s">
        <v>91</v>
      </c>
      <c r="E100" s="445"/>
      <c r="F100" s="445"/>
      <c r="G100" s="446">
        <v>52</v>
      </c>
      <c r="H100" s="445">
        <v>41</v>
      </c>
      <c r="I100" s="445"/>
      <c r="J100" s="445">
        <v>3</v>
      </c>
      <c r="K100" s="447">
        <v>3</v>
      </c>
      <c r="L100" s="445"/>
      <c r="M100" s="445">
        <v>4</v>
      </c>
      <c r="N100" s="445" t="s">
        <v>102</v>
      </c>
      <c r="O100" s="449" t="s">
        <v>1076</v>
      </c>
      <c r="P100" s="450">
        <v>3.2029999999999998</v>
      </c>
      <c r="Q100" s="451">
        <f t="shared" si="3"/>
        <v>3.2029999999999998</v>
      </c>
      <c r="R100" s="451">
        <f>SUMIF('Wege im Detail'!$A:$A,"2075",'Wege im Detail'!$P:$P)</f>
        <v>13.058999999999999</v>
      </c>
      <c r="S100" s="452" t="s">
        <v>114</v>
      </c>
      <c r="T100" s="453">
        <v>43160</v>
      </c>
      <c r="U100" s="448"/>
      <c r="V100" s="466"/>
      <c r="W100" s="448"/>
    </row>
    <row r="101" spans="1:253" s="455" customFormat="1" ht="45" x14ac:dyDescent="0.2">
      <c r="A101" s="444">
        <v>2077</v>
      </c>
      <c r="B101" s="445" t="s">
        <v>51</v>
      </c>
      <c r="C101" s="445" t="s">
        <v>52</v>
      </c>
      <c r="D101" s="445" t="s">
        <v>91</v>
      </c>
      <c r="E101" s="445"/>
      <c r="F101" s="445"/>
      <c r="G101" s="446">
        <v>57</v>
      </c>
      <c r="H101" s="445">
        <v>40</v>
      </c>
      <c r="I101" s="445"/>
      <c r="J101" s="445">
        <v>1</v>
      </c>
      <c r="K101" s="447">
        <v>2</v>
      </c>
      <c r="L101" s="445"/>
      <c r="M101" s="445">
        <v>4</v>
      </c>
      <c r="N101" s="445" t="s">
        <v>89</v>
      </c>
      <c r="O101" s="449" t="s">
        <v>1077</v>
      </c>
      <c r="P101" s="450">
        <v>3.173</v>
      </c>
      <c r="Q101" s="451">
        <f t="shared" si="3"/>
        <v>3.173</v>
      </c>
      <c r="R101" s="451">
        <f>SUMIF('Wege im Detail'!$A:$A,"2077",'Wege im Detail'!$P:$P)</f>
        <v>8.4939999999999998</v>
      </c>
      <c r="S101" s="452" t="s">
        <v>116</v>
      </c>
      <c r="T101" s="472"/>
      <c r="U101" s="448"/>
      <c r="W101" s="448"/>
      <c r="X101" s="458"/>
      <c r="Y101" s="458"/>
      <c r="Z101" s="458"/>
      <c r="AA101" s="458"/>
      <c r="AB101" s="458"/>
      <c r="AC101" s="458"/>
      <c r="AD101" s="458"/>
      <c r="AE101" s="458"/>
      <c r="AF101" s="458"/>
      <c r="AG101" s="458"/>
      <c r="AH101" s="458"/>
      <c r="AI101" s="458"/>
      <c r="AJ101" s="458"/>
      <c r="AK101" s="458"/>
      <c r="AL101" s="458"/>
      <c r="AM101" s="458"/>
      <c r="AN101" s="458"/>
      <c r="AO101" s="458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  <c r="BL101" s="458"/>
      <c r="BM101" s="458"/>
      <c r="BN101" s="458"/>
      <c r="BO101" s="458"/>
      <c r="BP101" s="458"/>
      <c r="BQ101" s="458"/>
      <c r="BR101" s="458"/>
      <c r="BS101" s="458"/>
      <c r="BT101" s="458"/>
      <c r="BU101" s="458"/>
      <c r="BV101" s="458"/>
      <c r="BW101" s="458"/>
      <c r="BX101" s="458"/>
      <c r="BY101" s="458"/>
      <c r="BZ101" s="458"/>
      <c r="CA101" s="458"/>
      <c r="CB101" s="458"/>
      <c r="CC101" s="458"/>
      <c r="CD101" s="458"/>
      <c r="CE101" s="458"/>
      <c r="CF101" s="458"/>
      <c r="CG101" s="458"/>
      <c r="CH101" s="458"/>
      <c r="CI101" s="458"/>
      <c r="CJ101" s="458"/>
      <c r="CK101" s="458"/>
      <c r="CL101" s="458"/>
      <c r="CM101" s="458"/>
      <c r="CN101" s="458"/>
      <c r="CO101" s="458"/>
      <c r="CP101" s="458"/>
      <c r="CQ101" s="458"/>
      <c r="CR101" s="458"/>
      <c r="CS101" s="458"/>
      <c r="CT101" s="458"/>
      <c r="CU101" s="458"/>
      <c r="CV101" s="458"/>
      <c r="CW101" s="458"/>
      <c r="CX101" s="458"/>
      <c r="CY101" s="458"/>
      <c r="CZ101" s="458"/>
      <c r="DA101" s="458"/>
      <c r="DB101" s="458"/>
      <c r="DC101" s="458"/>
      <c r="DD101" s="458"/>
      <c r="DE101" s="458"/>
      <c r="DF101" s="458"/>
      <c r="DG101" s="458"/>
      <c r="DH101" s="458"/>
      <c r="DI101" s="458"/>
      <c r="DJ101" s="458"/>
      <c r="DK101" s="458"/>
      <c r="DL101" s="458"/>
      <c r="DM101" s="458"/>
      <c r="DN101" s="458"/>
      <c r="DO101" s="458"/>
      <c r="DP101" s="458"/>
      <c r="DQ101" s="458"/>
      <c r="DR101" s="458"/>
      <c r="DS101" s="458"/>
      <c r="DT101" s="458"/>
      <c r="DU101" s="458"/>
      <c r="DV101" s="458"/>
      <c r="DW101" s="458"/>
      <c r="DX101" s="458"/>
      <c r="DY101" s="458"/>
      <c r="DZ101" s="458"/>
      <c r="EA101" s="458"/>
      <c r="EB101" s="458"/>
      <c r="EC101" s="458"/>
      <c r="ED101" s="458"/>
      <c r="EE101" s="458"/>
      <c r="EF101" s="458"/>
      <c r="EG101" s="458"/>
      <c r="EH101" s="458"/>
      <c r="EI101" s="458"/>
      <c r="EJ101" s="458"/>
      <c r="EK101" s="458"/>
      <c r="EL101" s="458"/>
      <c r="EM101" s="458"/>
      <c r="EN101" s="458"/>
      <c r="EO101" s="458"/>
      <c r="EP101" s="458"/>
      <c r="EQ101" s="458"/>
      <c r="ER101" s="458"/>
      <c r="ES101" s="458"/>
      <c r="ET101" s="458"/>
      <c r="EU101" s="458"/>
      <c r="EV101" s="458"/>
      <c r="EW101" s="458"/>
      <c r="EX101" s="458"/>
      <c r="EY101" s="458"/>
      <c r="EZ101" s="458"/>
      <c r="FA101" s="458"/>
      <c r="FB101" s="458"/>
      <c r="FC101" s="458"/>
      <c r="FD101" s="458"/>
      <c r="FE101" s="458"/>
      <c r="FF101" s="458"/>
      <c r="FG101" s="458"/>
      <c r="FH101" s="458"/>
      <c r="FI101" s="458"/>
      <c r="FJ101" s="458"/>
      <c r="FK101" s="458"/>
      <c r="FL101" s="458"/>
      <c r="FM101" s="458"/>
      <c r="FN101" s="458"/>
      <c r="FO101" s="458"/>
      <c r="FP101" s="458"/>
      <c r="FQ101" s="458"/>
      <c r="FR101" s="458"/>
      <c r="FS101" s="458"/>
      <c r="FT101" s="458"/>
      <c r="FU101" s="458"/>
      <c r="FV101" s="458"/>
      <c r="FW101" s="458"/>
      <c r="FX101" s="458"/>
      <c r="FY101" s="458"/>
      <c r="FZ101" s="458"/>
      <c r="GA101" s="458"/>
      <c r="GB101" s="458"/>
      <c r="GC101" s="458"/>
      <c r="GD101" s="458"/>
      <c r="GE101" s="458"/>
      <c r="GF101" s="458"/>
      <c r="GG101" s="458"/>
      <c r="GH101" s="458"/>
      <c r="GI101" s="458"/>
      <c r="GJ101" s="458"/>
      <c r="GK101" s="458"/>
      <c r="GL101" s="458"/>
      <c r="GM101" s="458"/>
      <c r="GN101" s="458"/>
      <c r="GO101" s="458"/>
      <c r="GP101" s="458"/>
      <c r="GQ101" s="458"/>
      <c r="GR101" s="458"/>
      <c r="GS101" s="458"/>
      <c r="GT101" s="458"/>
      <c r="GU101" s="458"/>
      <c r="GV101" s="458"/>
      <c r="GW101" s="458"/>
      <c r="GX101" s="458"/>
      <c r="GY101" s="458"/>
      <c r="GZ101" s="458"/>
      <c r="HA101" s="458"/>
      <c r="HB101" s="458"/>
      <c r="HC101" s="458"/>
      <c r="HD101" s="458"/>
      <c r="HE101" s="458"/>
      <c r="HF101" s="458"/>
      <c r="HG101" s="458"/>
      <c r="HH101" s="458"/>
      <c r="HI101" s="458"/>
      <c r="HJ101" s="458"/>
      <c r="HK101" s="458"/>
      <c r="HL101" s="458"/>
      <c r="HM101" s="458"/>
      <c r="HN101" s="458"/>
      <c r="HO101" s="458"/>
      <c r="HP101" s="458"/>
      <c r="HQ101" s="458"/>
      <c r="HR101" s="458"/>
      <c r="HS101" s="458"/>
      <c r="HT101" s="458"/>
      <c r="HU101" s="458"/>
      <c r="HV101" s="458"/>
      <c r="HW101" s="458"/>
      <c r="HX101" s="458"/>
      <c r="HY101" s="458"/>
      <c r="HZ101" s="458"/>
      <c r="IA101" s="458"/>
      <c r="IB101" s="458"/>
      <c r="IC101" s="458"/>
      <c r="ID101" s="458"/>
      <c r="IE101" s="458"/>
      <c r="IF101" s="458"/>
      <c r="IG101" s="458"/>
      <c r="IH101" s="458"/>
      <c r="II101" s="458"/>
      <c r="IJ101" s="458"/>
      <c r="IK101" s="458"/>
      <c r="IL101" s="458"/>
      <c r="IM101" s="458"/>
      <c r="IN101" s="458"/>
      <c r="IO101" s="458"/>
      <c r="IP101" s="458"/>
      <c r="IQ101" s="458"/>
      <c r="IR101" s="458"/>
      <c r="IS101" s="458"/>
    </row>
    <row r="102" spans="1:253" s="455" customFormat="1" ht="56.25" x14ac:dyDescent="0.2">
      <c r="A102" s="444">
        <v>2077</v>
      </c>
      <c r="B102" s="445" t="s">
        <v>51</v>
      </c>
      <c r="C102" s="445" t="s">
        <v>52</v>
      </c>
      <c r="D102" s="445" t="s">
        <v>91</v>
      </c>
      <c r="E102" s="445"/>
      <c r="F102" s="445"/>
      <c r="G102" s="446">
        <v>57</v>
      </c>
      <c r="H102" s="445">
        <v>40</v>
      </c>
      <c r="I102" s="445"/>
      <c r="J102" s="445">
        <v>2</v>
      </c>
      <c r="K102" s="447">
        <v>2</v>
      </c>
      <c r="L102" s="445"/>
      <c r="M102" s="445">
        <v>5</v>
      </c>
      <c r="N102" s="445" t="s">
        <v>143</v>
      </c>
      <c r="O102" s="449" t="s">
        <v>1078</v>
      </c>
      <c r="P102" s="450">
        <v>5.3209999999999997</v>
      </c>
      <c r="Q102" s="451">
        <f t="shared" si="3"/>
        <v>5.3209999999999997</v>
      </c>
      <c r="R102" s="451">
        <f>SUMIF('Wege im Detail'!$A:$A,"2077",'Wege im Detail'!$P:$P)</f>
        <v>8.4939999999999998</v>
      </c>
      <c r="S102" s="452" t="s">
        <v>116</v>
      </c>
      <c r="T102" s="472"/>
      <c r="U102" s="448"/>
      <c r="W102" s="448"/>
      <c r="X102" s="458"/>
      <c r="Y102" s="458"/>
      <c r="Z102" s="458"/>
      <c r="AA102" s="458"/>
      <c r="AB102" s="458"/>
      <c r="AC102" s="458"/>
      <c r="AD102" s="458"/>
      <c r="AE102" s="458"/>
      <c r="AF102" s="458"/>
      <c r="AG102" s="458"/>
      <c r="AH102" s="458"/>
      <c r="AI102" s="458"/>
      <c r="AJ102" s="458"/>
      <c r="AK102" s="458"/>
      <c r="AL102" s="458"/>
      <c r="AM102" s="458"/>
      <c r="AN102" s="458"/>
      <c r="AO102" s="458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  <c r="BL102" s="458"/>
      <c r="BM102" s="458"/>
      <c r="BN102" s="458"/>
      <c r="BO102" s="458"/>
      <c r="BP102" s="458"/>
      <c r="BQ102" s="458"/>
      <c r="BR102" s="458"/>
      <c r="BS102" s="458"/>
      <c r="BT102" s="458"/>
      <c r="BU102" s="458"/>
      <c r="BV102" s="458"/>
      <c r="BW102" s="458"/>
      <c r="BX102" s="458"/>
      <c r="BY102" s="458"/>
      <c r="BZ102" s="458"/>
      <c r="CA102" s="458"/>
      <c r="CB102" s="458"/>
      <c r="CC102" s="458"/>
      <c r="CD102" s="458"/>
      <c r="CE102" s="458"/>
      <c r="CF102" s="458"/>
      <c r="CG102" s="458"/>
      <c r="CH102" s="458"/>
      <c r="CI102" s="458"/>
      <c r="CJ102" s="458"/>
      <c r="CK102" s="458"/>
      <c r="CL102" s="458"/>
      <c r="CM102" s="458"/>
      <c r="CN102" s="458"/>
      <c r="CO102" s="458"/>
      <c r="CP102" s="458"/>
      <c r="CQ102" s="458"/>
      <c r="CR102" s="458"/>
      <c r="CS102" s="458"/>
      <c r="CT102" s="458"/>
      <c r="CU102" s="458"/>
      <c r="CV102" s="458"/>
      <c r="CW102" s="458"/>
      <c r="CX102" s="458"/>
      <c r="CY102" s="458"/>
      <c r="CZ102" s="458"/>
      <c r="DA102" s="458"/>
      <c r="DB102" s="458"/>
      <c r="DC102" s="458"/>
      <c r="DD102" s="458"/>
      <c r="DE102" s="458"/>
      <c r="DF102" s="458"/>
      <c r="DG102" s="458"/>
      <c r="DH102" s="458"/>
      <c r="DI102" s="458"/>
      <c r="DJ102" s="458"/>
      <c r="DK102" s="458"/>
      <c r="DL102" s="458"/>
      <c r="DM102" s="458"/>
      <c r="DN102" s="458"/>
      <c r="DO102" s="458"/>
      <c r="DP102" s="458"/>
      <c r="DQ102" s="458"/>
      <c r="DR102" s="458"/>
      <c r="DS102" s="458"/>
      <c r="DT102" s="458"/>
      <c r="DU102" s="458"/>
      <c r="DV102" s="458"/>
      <c r="DW102" s="458"/>
      <c r="DX102" s="458"/>
      <c r="DY102" s="458"/>
      <c r="DZ102" s="458"/>
      <c r="EA102" s="458"/>
      <c r="EB102" s="458"/>
      <c r="EC102" s="458"/>
      <c r="ED102" s="458"/>
      <c r="EE102" s="458"/>
      <c r="EF102" s="458"/>
      <c r="EG102" s="458"/>
      <c r="EH102" s="458"/>
      <c r="EI102" s="458"/>
      <c r="EJ102" s="458"/>
      <c r="EK102" s="458"/>
      <c r="EL102" s="458"/>
      <c r="EM102" s="458"/>
      <c r="EN102" s="458"/>
      <c r="EO102" s="458"/>
      <c r="EP102" s="458"/>
      <c r="EQ102" s="458"/>
      <c r="ER102" s="458"/>
      <c r="ES102" s="458"/>
      <c r="ET102" s="458"/>
      <c r="EU102" s="458"/>
      <c r="EV102" s="458"/>
      <c r="EW102" s="458"/>
      <c r="EX102" s="458"/>
      <c r="EY102" s="458"/>
      <c r="EZ102" s="458"/>
      <c r="FA102" s="458"/>
      <c r="FB102" s="458"/>
      <c r="FC102" s="458"/>
      <c r="FD102" s="458"/>
      <c r="FE102" s="458"/>
      <c r="FF102" s="458"/>
      <c r="FG102" s="458"/>
      <c r="FH102" s="458"/>
      <c r="FI102" s="458"/>
      <c r="FJ102" s="458"/>
      <c r="FK102" s="458"/>
      <c r="FL102" s="458"/>
      <c r="FM102" s="458"/>
      <c r="FN102" s="458"/>
      <c r="FO102" s="458"/>
      <c r="FP102" s="458"/>
      <c r="FQ102" s="458"/>
      <c r="FR102" s="458"/>
      <c r="FS102" s="458"/>
      <c r="FT102" s="458"/>
      <c r="FU102" s="458"/>
      <c r="FV102" s="458"/>
      <c r="FW102" s="458"/>
      <c r="FX102" s="458"/>
      <c r="FY102" s="458"/>
      <c r="FZ102" s="458"/>
      <c r="GA102" s="458"/>
      <c r="GB102" s="458"/>
      <c r="GC102" s="458"/>
      <c r="GD102" s="458"/>
      <c r="GE102" s="458"/>
      <c r="GF102" s="458"/>
      <c r="GG102" s="458"/>
      <c r="GH102" s="458"/>
      <c r="GI102" s="458"/>
      <c r="GJ102" s="458"/>
      <c r="GK102" s="458"/>
      <c r="GL102" s="458"/>
      <c r="GM102" s="458"/>
      <c r="GN102" s="458"/>
      <c r="GO102" s="458"/>
      <c r="GP102" s="458"/>
      <c r="GQ102" s="458"/>
      <c r="GR102" s="458"/>
      <c r="GS102" s="458"/>
      <c r="GT102" s="458"/>
      <c r="GU102" s="458"/>
      <c r="GV102" s="458"/>
      <c r="GW102" s="458"/>
      <c r="GX102" s="458"/>
      <c r="GY102" s="458"/>
      <c r="GZ102" s="458"/>
      <c r="HA102" s="458"/>
      <c r="HB102" s="458"/>
      <c r="HC102" s="458"/>
      <c r="HD102" s="458"/>
      <c r="HE102" s="458"/>
      <c r="HF102" s="458"/>
      <c r="HG102" s="458"/>
      <c r="HH102" s="458"/>
      <c r="HI102" s="458"/>
      <c r="HJ102" s="458"/>
      <c r="HK102" s="458"/>
      <c r="HL102" s="458"/>
      <c r="HM102" s="458"/>
      <c r="HN102" s="458"/>
      <c r="HO102" s="458"/>
      <c r="HP102" s="458"/>
      <c r="HQ102" s="458"/>
      <c r="HR102" s="458"/>
      <c r="HS102" s="458"/>
      <c r="HT102" s="458"/>
      <c r="HU102" s="458"/>
      <c r="HV102" s="458"/>
      <c r="HW102" s="458"/>
      <c r="HX102" s="458"/>
      <c r="HY102" s="458"/>
      <c r="HZ102" s="458"/>
      <c r="IA102" s="458"/>
      <c r="IB102" s="458"/>
      <c r="IC102" s="458"/>
      <c r="ID102" s="458"/>
      <c r="IE102" s="458"/>
      <c r="IF102" s="458"/>
      <c r="IG102" s="458"/>
      <c r="IH102" s="458"/>
      <c r="II102" s="458"/>
      <c r="IJ102" s="458"/>
      <c r="IK102" s="458"/>
      <c r="IL102" s="458"/>
      <c r="IM102" s="458"/>
      <c r="IN102" s="458"/>
      <c r="IO102" s="458"/>
      <c r="IP102" s="458"/>
      <c r="IQ102" s="458"/>
      <c r="IR102" s="458"/>
      <c r="IS102" s="458"/>
    </row>
    <row r="103" spans="1:253" s="455" customFormat="1" ht="45" x14ac:dyDescent="0.2">
      <c r="A103" s="444">
        <v>2115</v>
      </c>
      <c r="B103" s="445" t="s">
        <v>51</v>
      </c>
      <c r="C103" s="445" t="s">
        <v>52</v>
      </c>
      <c r="D103" s="445" t="s">
        <v>91</v>
      </c>
      <c r="E103" s="445"/>
      <c r="F103" s="445"/>
      <c r="G103" s="446">
        <v>51</v>
      </c>
      <c r="H103" s="445">
        <v>34</v>
      </c>
      <c r="I103" s="445" t="s">
        <v>117</v>
      </c>
      <c r="J103" s="445">
        <v>1</v>
      </c>
      <c r="K103" s="447">
        <v>2</v>
      </c>
      <c r="L103" s="448"/>
      <c r="M103" s="445">
        <v>4</v>
      </c>
      <c r="N103" s="445" t="s">
        <v>118</v>
      </c>
      <c r="O103" s="461" t="s">
        <v>1079</v>
      </c>
      <c r="P103" s="450">
        <v>2.3220000000000001</v>
      </c>
      <c r="Q103" s="451">
        <f t="shared" si="3"/>
        <v>2.3220000000000001</v>
      </c>
      <c r="R103" s="451">
        <f>SUMIF('Wege im Detail'!$A:$A,"2115",'Wege im Detail'!$P:$P)</f>
        <v>2.6739999999999999</v>
      </c>
      <c r="S103" s="452" t="s">
        <v>119</v>
      </c>
      <c r="T103" s="453">
        <v>43160</v>
      </c>
      <c r="U103" s="448"/>
      <c r="V103" s="458"/>
      <c r="W103" s="448"/>
      <c r="X103" s="458"/>
      <c r="Y103" s="458"/>
      <c r="Z103" s="458"/>
      <c r="AA103" s="458"/>
      <c r="AB103" s="458"/>
      <c r="AC103" s="458"/>
      <c r="AD103" s="458"/>
      <c r="AE103" s="458"/>
      <c r="AF103" s="458"/>
      <c r="AG103" s="458"/>
      <c r="AH103" s="458"/>
      <c r="AI103" s="458"/>
      <c r="AJ103" s="458"/>
      <c r="AK103" s="458"/>
      <c r="AL103" s="458"/>
      <c r="AM103" s="458"/>
      <c r="AN103" s="458"/>
      <c r="AO103" s="458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  <c r="BM103" s="458"/>
      <c r="BN103" s="458"/>
      <c r="BO103" s="458"/>
      <c r="BP103" s="458"/>
      <c r="BQ103" s="458"/>
      <c r="BR103" s="458"/>
      <c r="BS103" s="458"/>
      <c r="BT103" s="458"/>
      <c r="BU103" s="458"/>
      <c r="BV103" s="458"/>
      <c r="BW103" s="458"/>
      <c r="BX103" s="458"/>
      <c r="BY103" s="458"/>
      <c r="BZ103" s="458"/>
      <c r="CA103" s="458"/>
      <c r="CB103" s="458"/>
      <c r="CC103" s="458"/>
      <c r="CD103" s="458"/>
      <c r="CE103" s="458"/>
      <c r="CF103" s="458"/>
      <c r="CG103" s="458"/>
      <c r="CH103" s="458"/>
      <c r="CI103" s="458"/>
      <c r="CJ103" s="458"/>
      <c r="CK103" s="458"/>
      <c r="CL103" s="458"/>
      <c r="CM103" s="458"/>
      <c r="CN103" s="458"/>
      <c r="CO103" s="458"/>
      <c r="CP103" s="458"/>
      <c r="CQ103" s="458"/>
      <c r="CR103" s="458"/>
      <c r="CS103" s="458"/>
      <c r="CT103" s="458"/>
      <c r="CU103" s="458"/>
      <c r="CV103" s="458"/>
      <c r="CW103" s="458"/>
      <c r="CX103" s="458"/>
      <c r="CY103" s="458"/>
      <c r="CZ103" s="458"/>
      <c r="DA103" s="458"/>
      <c r="DB103" s="458"/>
      <c r="DC103" s="458"/>
      <c r="DD103" s="458"/>
      <c r="DE103" s="458"/>
      <c r="DF103" s="458"/>
      <c r="DG103" s="458"/>
      <c r="DH103" s="458"/>
      <c r="DI103" s="458"/>
      <c r="DJ103" s="458"/>
      <c r="DK103" s="458"/>
      <c r="DL103" s="458"/>
      <c r="DM103" s="458"/>
      <c r="DN103" s="458"/>
      <c r="DO103" s="458"/>
      <c r="DP103" s="458"/>
      <c r="DQ103" s="458"/>
      <c r="DR103" s="458"/>
      <c r="DS103" s="458"/>
      <c r="DT103" s="458"/>
      <c r="DU103" s="458"/>
      <c r="DV103" s="458"/>
      <c r="DW103" s="458"/>
      <c r="DX103" s="458"/>
      <c r="DY103" s="458"/>
      <c r="DZ103" s="458"/>
      <c r="EA103" s="458"/>
      <c r="EB103" s="458"/>
      <c r="EC103" s="458"/>
      <c r="ED103" s="458"/>
      <c r="EE103" s="458"/>
      <c r="EF103" s="458"/>
      <c r="EG103" s="458"/>
      <c r="EH103" s="458"/>
      <c r="EI103" s="458"/>
      <c r="EJ103" s="458"/>
      <c r="EK103" s="458"/>
      <c r="EL103" s="458"/>
      <c r="EM103" s="458"/>
      <c r="EN103" s="458"/>
      <c r="EO103" s="458"/>
      <c r="EP103" s="458"/>
      <c r="EQ103" s="458"/>
      <c r="ER103" s="458"/>
      <c r="ES103" s="458"/>
      <c r="ET103" s="458"/>
      <c r="EU103" s="458"/>
      <c r="EV103" s="458"/>
      <c r="EW103" s="458"/>
      <c r="EX103" s="458"/>
      <c r="EY103" s="458"/>
      <c r="EZ103" s="458"/>
      <c r="FA103" s="458"/>
      <c r="FB103" s="458"/>
      <c r="FC103" s="458"/>
      <c r="FD103" s="458"/>
      <c r="FE103" s="458"/>
      <c r="FF103" s="458"/>
      <c r="FG103" s="458"/>
      <c r="FH103" s="458"/>
      <c r="FI103" s="458"/>
      <c r="FJ103" s="458"/>
      <c r="FK103" s="458"/>
      <c r="FL103" s="458"/>
      <c r="FM103" s="458"/>
      <c r="FN103" s="458"/>
      <c r="FO103" s="458"/>
      <c r="FP103" s="458"/>
      <c r="FQ103" s="458"/>
      <c r="FR103" s="458"/>
      <c r="FS103" s="458"/>
      <c r="FT103" s="458"/>
      <c r="FU103" s="458"/>
      <c r="FV103" s="458"/>
      <c r="FW103" s="458"/>
      <c r="FX103" s="458"/>
      <c r="FY103" s="458"/>
      <c r="FZ103" s="458"/>
      <c r="GA103" s="458"/>
      <c r="GB103" s="458"/>
      <c r="GC103" s="458"/>
      <c r="GD103" s="458"/>
      <c r="GE103" s="458"/>
      <c r="GF103" s="458"/>
      <c r="GG103" s="458"/>
      <c r="GH103" s="458"/>
      <c r="GI103" s="458"/>
      <c r="GJ103" s="458"/>
      <c r="GK103" s="458"/>
      <c r="GL103" s="458"/>
      <c r="GM103" s="458"/>
      <c r="GN103" s="458"/>
      <c r="GO103" s="458"/>
      <c r="GP103" s="458"/>
      <c r="GQ103" s="458"/>
      <c r="GR103" s="458"/>
      <c r="GS103" s="458"/>
      <c r="GT103" s="458"/>
      <c r="GU103" s="458"/>
      <c r="GV103" s="458"/>
      <c r="GW103" s="458"/>
      <c r="GX103" s="458"/>
      <c r="GY103" s="458"/>
      <c r="GZ103" s="458"/>
      <c r="HA103" s="458"/>
      <c r="HB103" s="458"/>
      <c r="HC103" s="458"/>
      <c r="HD103" s="458"/>
      <c r="HE103" s="458"/>
      <c r="HF103" s="458"/>
      <c r="HG103" s="458"/>
      <c r="HH103" s="458"/>
      <c r="HI103" s="458"/>
      <c r="HJ103" s="458"/>
      <c r="HK103" s="458"/>
      <c r="HL103" s="458"/>
      <c r="HM103" s="458"/>
      <c r="HN103" s="458"/>
      <c r="HO103" s="458"/>
      <c r="HP103" s="458"/>
      <c r="HQ103" s="458"/>
      <c r="HR103" s="458"/>
      <c r="HS103" s="458"/>
      <c r="HT103" s="458"/>
      <c r="HU103" s="458"/>
      <c r="HV103" s="458"/>
      <c r="HW103" s="458"/>
      <c r="HX103" s="458"/>
      <c r="HY103" s="458"/>
      <c r="HZ103" s="458"/>
      <c r="IA103" s="458"/>
      <c r="IB103" s="458"/>
      <c r="IC103" s="458"/>
      <c r="ID103" s="458"/>
      <c r="IE103" s="458"/>
      <c r="IF103" s="458"/>
      <c r="IG103" s="458"/>
      <c r="IH103" s="458"/>
      <c r="II103" s="458"/>
      <c r="IJ103" s="458"/>
      <c r="IK103" s="458"/>
      <c r="IL103" s="458"/>
      <c r="IM103" s="458"/>
      <c r="IN103" s="458"/>
      <c r="IO103" s="458"/>
      <c r="IP103" s="458"/>
      <c r="IQ103" s="458"/>
      <c r="IR103" s="458"/>
      <c r="IS103" s="458"/>
    </row>
    <row r="104" spans="1:253" s="458" customFormat="1" ht="33.75" x14ac:dyDescent="0.2">
      <c r="A104" s="444">
        <v>2115</v>
      </c>
      <c r="B104" s="445" t="s">
        <v>51</v>
      </c>
      <c r="C104" s="445" t="s">
        <v>52</v>
      </c>
      <c r="D104" s="445" t="s">
        <v>91</v>
      </c>
      <c r="E104" s="445"/>
      <c r="F104" s="445"/>
      <c r="G104" s="446">
        <v>51</v>
      </c>
      <c r="H104" s="445">
        <v>34</v>
      </c>
      <c r="I104" s="445" t="s">
        <v>117</v>
      </c>
      <c r="J104" s="445">
        <v>2</v>
      </c>
      <c r="K104" s="447">
        <v>2</v>
      </c>
      <c r="L104" s="448"/>
      <c r="M104" s="445">
        <v>4</v>
      </c>
      <c r="N104" s="445" t="s">
        <v>56</v>
      </c>
      <c r="O104" s="461" t="s">
        <v>1080</v>
      </c>
      <c r="P104" s="450">
        <v>0.35199999999999998</v>
      </c>
      <c r="Q104" s="451">
        <f t="shared" si="3"/>
        <v>0.35199999999999998</v>
      </c>
      <c r="R104" s="451">
        <f>SUMIF('Wege im Detail'!$A:$A,"2115",'Wege im Detail'!$P:$P)</f>
        <v>2.6739999999999999</v>
      </c>
      <c r="S104" s="452" t="s">
        <v>119</v>
      </c>
      <c r="T104" s="453">
        <v>43160</v>
      </c>
      <c r="U104" s="448"/>
      <c r="W104" s="448"/>
    </row>
    <row r="105" spans="1:253" s="458" customFormat="1" ht="33.75" x14ac:dyDescent="0.2">
      <c r="A105" s="444">
        <v>2172</v>
      </c>
      <c r="B105" s="445" t="s">
        <v>51</v>
      </c>
      <c r="C105" s="445" t="s">
        <v>52</v>
      </c>
      <c r="D105" s="445" t="s">
        <v>91</v>
      </c>
      <c r="E105" s="445"/>
      <c r="F105" s="445"/>
      <c r="G105" s="446">
        <v>51</v>
      </c>
      <c r="H105" s="445">
        <v>31</v>
      </c>
      <c r="I105" s="445"/>
      <c r="J105" s="445">
        <v>1</v>
      </c>
      <c r="K105" s="447">
        <v>3</v>
      </c>
      <c r="L105" s="445"/>
      <c r="M105" s="445">
        <v>5</v>
      </c>
      <c r="N105" s="445" t="s">
        <v>1004</v>
      </c>
      <c r="O105" s="449" t="s">
        <v>1081</v>
      </c>
      <c r="P105" s="450">
        <v>2.8250000000000002</v>
      </c>
      <c r="Q105" s="451">
        <f t="shared" si="3"/>
        <v>2.8250000000000002</v>
      </c>
      <c r="R105" s="451">
        <f>SUMIF('Wege im Detail'!$A:$A,"2172",'Wege im Detail'!$P:$P)</f>
        <v>13.05</v>
      </c>
      <c r="S105" s="452" t="s">
        <v>1082</v>
      </c>
      <c r="T105" s="453">
        <v>43160</v>
      </c>
      <c r="U105" s="448"/>
      <c r="W105" s="448"/>
    </row>
    <row r="106" spans="1:253" s="458" customFormat="1" ht="45" x14ac:dyDescent="0.2">
      <c r="A106" s="444">
        <v>2172</v>
      </c>
      <c r="B106" s="445" t="s">
        <v>51</v>
      </c>
      <c r="C106" s="445" t="s">
        <v>52</v>
      </c>
      <c r="D106" s="445" t="s">
        <v>91</v>
      </c>
      <c r="E106" s="445"/>
      <c r="F106" s="445"/>
      <c r="G106" s="446">
        <v>51</v>
      </c>
      <c r="H106" s="445">
        <v>31</v>
      </c>
      <c r="I106" s="445"/>
      <c r="J106" s="445">
        <v>2</v>
      </c>
      <c r="K106" s="447">
        <v>3</v>
      </c>
      <c r="L106" s="445"/>
      <c r="M106" s="445">
        <v>4</v>
      </c>
      <c r="N106" s="445" t="s">
        <v>102</v>
      </c>
      <c r="O106" s="449" t="s">
        <v>1083</v>
      </c>
      <c r="P106" s="450">
        <v>7.3529999999999998</v>
      </c>
      <c r="Q106" s="451">
        <f t="shared" si="3"/>
        <v>7.3529999999999998</v>
      </c>
      <c r="R106" s="451">
        <f>SUMIF('Wege im Detail'!$A:$A,"2172",'Wege im Detail'!$P:$P)</f>
        <v>13.05</v>
      </c>
      <c r="S106" s="452" t="s">
        <v>1082</v>
      </c>
      <c r="T106" s="453">
        <v>43160</v>
      </c>
      <c r="U106" s="448"/>
      <c r="W106" s="448"/>
    </row>
    <row r="107" spans="1:253" s="458" customFormat="1" ht="45" x14ac:dyDescent="0.2">
      <c r="A107" s="444">
        <v>2172</v>
      </c>
      <c r="B107" s="445" t="s">
        <v>51</v>
      </c>
      <c r="C107" s="445" t="s">
        <v>52</v>
      </c>
      <c r="D107" s="445" t="s">
        <v>91</v>
      </c>
      <c r="E107" s="445"/>
      <c r="F107" s="445"/>
      <c r="G107" s="446">
        <v>51</v>
      </c>
      <c r="H107" s="445">
        <v>31</v>
      </c>
      <c r="I107" s="445"/>
      <c r="J107" s="445">
        <v>3</v>
      </c>
      <c r="K107" s="447">
        <v>3</v>
      </c>
      <c r="L107" s="445"/>
      <c r="M107" s="445">
        <v>5</v>
      </c>
      <c r="N107" s="445" t="s">
        <v>143</v>
      </c>
      <c r="O107" s="449" t="s">
        <v>1084</v>
      </c>
      <c r="P107" s="450">
        <v>2.8719999999999999</v>
      </c>
      <c r="Q107" s="451">
        <f t="shared" si="3"/>
        <v>2.8719999999999999</v>
      </c>
      <c r="R107" s="451">
        <f>SUMIF('Wege im Detail'!$A:$A,"2172",'Wege im Detail'!$P:$P)</f>
        <v>13.05</v>
      </c>
      <c r="S107" s="452" t="s">
        <v>1082</v>
      </c>
      <c r="T107" s="453">
        <v>43160</v>
      </c>
      <c r="U107" s="448"/>
      <c r="W107" s="448"/>
    </row>
    <row r="108" spans="1:253" s="458" customFormat="1" ht="56.25" x14ac:dyDescent="0.2">
      <c r="A108" s="444">
        <v>2179</v>
      </c>
      <c r="B108" s="445" t="s">
        <v>51</v>
      </c>
      <c r="C108" s="445" t="s">
        <v>52</v>
      </c>
      <c r="D108" s="445" t="s">
        <v>91</v>
      </c>
      <c r="E108" s="445"/>
      <c r="F108" s="445"/>
      <c r="G108" s="473" t="s">
        <v>1085</v>
      </c>
      <c r="H108" s="445">
        <v>38</v>
      </c>
      <c r="I108" s="445"/>
      <c r="J108" s="445">
        <v>1</v>
      </c>
      <c r="K108" s="447">
        <v>2</v>
      </c>
      <c r="L108" s="445"/>
      <c r="M108" s="445">
        <v>4</v>
      </c>
      <c r="N108" s="445" t="s">
        <v>89</v>
      </c>
      <c r="O108" s="449" t="s">
        <v>1086</v>
      </c>
      <c r="P108" s="450">
        <v>4.3230000000000004</v>
      </c>
      <c r="Q108" s="451">
        <f t="shared" si="3"/>
        <v>4.3230000000000004</v>
      </c>
      <c r="R108" s="451">
        <f>SUMIF('Wege im Detail'!$A:$A,"2179",'Wege im Detail'!$P:$P)</f>
        <v>4.5720000000000001</v>
      </c>
      <c r="S108" s="452" t="s">
        <v>1087</v>
      </c>
      <c r="T108" s="453">
        <v>43160</v>
      </c>
      <c r="U108" s="448"/>
      <c r="V108" s="455"/>
      <c r="W108" s="448"/>
    </row>
    <row r="109" spans="1:253" s="458" customFormat="1" ht="33.75" x14ac:dyDescent="0.2">
      <c r="A109" s="444">
        <v>2179</v>
      </c>
      <c r="B109" s="445" t="s">
        <v>51</v>
      </c>
      <c r="C109" s="445" t="s">
        <v>52</v>
      </c>
      <c r="D109" s="445" t="s">
        <v>91</v>
      </c>
      <c r="E109" s="445"/>
      <c r="F109" s="445"/>
      <c r="G109" s="473" t="s">
        <v>1085</v>
      </c>
      <c r="H109" s="445">
        <v>38</v>
      </c>
      <c r="I109" s="445"/>
      <c r="J109" s="445">
        <v>2</v>
      </c>
      <c r="K109" s="447">
        <v>2</v>
      </c>
      <c r="L109" s="445"/>
      <c r="M109" s="445">
        <v>4</v>
      </c>
      <c r="N109" s="445" t="s">
        <v>56</v>
      </c>
      <c r="O109" s="449" t="s">
        <v>1088</v>
      </c>
      <c r="P109" s="450">
        <v>0.249</v>
      </c>
      <c r="Q109" s="451">
        <f t="shared" si="3"/>
        <v>0.249</v>
      </c>
      <c r="R109" s="451">
        <f>SUMIF('Wege im Detail'!$A:$A,"2179",'Wege im Detail'!$P:$P)</f>
        <v>4.5720000000000001</v>
      </c>
      <c r="S109" s="452" t="s">
        <v>1087</v>
      </c>
      <c r="T109" s="453">
        <v>43160</v>
      </c>
      <c r="U109" s="448"/>
      <c r="V109" s="455"/>
      <c r="W109" s="448"/>
      <c r="X109" s="455"/>
      <c r="Y109" s="455"/>
      <c r="Z109" s="455"/>
      <c r="AA109" s="455"/>
      <c r="AB109" s="455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  <c r="AO109" s="455"/>
      <c r="AP109" s="455"/>
      <c r="AQ109" s="455"/>
      <c r="AR109" s="455"/>
      <c r="AS109" s="455"/>
      <c r="AT109" s="455"/>
      <c r="AU109" s="455"/>
      <c r="AV109" s="455"/>
      <c r="AW109" s="455"/>
      <c r="AX109" s="455"/>
      <c r="AY109" s="455"/>
      <c r="AZ109" s="455"/>
      <c r="BA109" s="455"/>
      <c r="BB109" s="455"/>
      <c r="BC109" s="455"/>
      <c r="BD109" s="455"/>
      <c r="BE109" s="455"/>
      <c r="BF109" s="455"/>
      <c r="BG109" s="455"/>
      <c r="BH109" s="455"/>
      <c r="BI109" s="455"/>
      <c r="BJ109" s="455"/>
      <c r="BK109" s="455"/>
      <c r="BL109" s="455"/>
      <c r="BM109" s="455"/>
      <c r="BN109" s="455"/>
      <c r="BO109" s="455"/>
      <c r="BP109" s="455"/>
      <c r="BQ109" s="455"/>
      <c r="BR109" s="455"/>
      <c r="BS109" s="455"/>
      <c r="BT109" s="455"/>
      <c r="BU109" s="455"/>
      <c r="BV109" s="455"/>
      <c r="BW109" s="455"/>
      <c r="BX109" s="455"/>
      <c r="BY109" s="455"/>
      <c r="BZ109" s="455"/>
      <c r="CA109" s="455"/>
      <c r="CB109" s="455"/>
      <c r="CC109" s="455"/>
      <c r="CD109" s="455"/>
      <c r="CE109" s="455"/>
      <c r="CF109" s="455"/>
      <c r="CG109" s="455"/>
      <c r="CH109" s="455"/>
      <c r="CI109" s="455"/>
      <c r="CJ109" s="455"/>
      <c r="CK109" s="455"/>
      <c r="CL109" s="455"/>
      <c r="CM109" s="455"/>
      <c r="CN109" s="455"/>
      <c r="CO109" s="455"/>
      <c r="CP109" s="455"/>
      <c r="CQ109" s="455"/>
      <c r="CR109" s="455"/>
      <c r="CS109" s="455"/>
      <c r="CT109" s="455"/>
      <c r="CU109" s="455"/>
      <c r="CV109" s="455"/>
      <c r="CW109" s="455"/>
      <c r="CX109" s="455"/>
      <c r="CY109" s="455"/>
      <c r="CZ109" s="455"/>
      <c r="DA109" s="455"/>
      <c r="DB109" s="455"/>
      <c r="DC109" s="455"/>
      <c r="DD109" s="455"/>
      <c r="DE109" s="455"/>
      <c r="DF109" s="455"/>
      <c r="DG109" s="455"/>
      <c r="DH109" s="455"/>
      <c r="DI109" s="455"/>
      <c r="DJ109" s="455"/>
      <c r="DK109" s="455"/>
      <c r="DL109" s="455"/>
      <c r="DM109" s="455"/>
      <c r="DN109" s="455"/>
      <c r="DO109" s="455"/>
      <c r="DP109" s="455"/>
      <c r="DQ109" s="455"/>
      <c r="DR109" s="455"/>
      <c r="DS109" s="455"/>
      <c r="DT109" s="455"/>
      <c r="DU109" s="455"/>
      <c r="DV109" s="455"/>
      <c r="DW109" s="455"/>
      <c r="DX109" s="455"/>
      <c r="DY109" s="455"/>
      <c r="DZ109" s="455"/>
      <c r="EA109" s="455"/>
      <c r="EB109" s="455"/>
      <c r="EC109" s="455"/>
      <c r="ED109" s="455"/>
      <c r="EE109" s="455"/>
      <c r="EF109" s="455"/>
      <c r="EG109" s="455"/>
      <c r="EH109" s="455"/>
      <c r="EI109" s="455"/>
      <c r="EJ109" s="455"/>
      <c r="EK109" s="455"/>
      <c r="EL109" s="455"/>
      <c r="EM109" s="455"/>
      <c r="EN109" s="455"/>
      <c r="EO109" s="455"/>
      <c r="EP109" s="455"/>
      <c r="EQ109" s="455"/>
      <c r="ER109" s="455"/>
      <c r="ES109" s="455"/>
      <c r="ET109" s="455"/>
      <c r="EU109" s="455"/>
      <c r="EV109" s="455"/>
      <c r="EW109" s="455"/>
      <c r="EX109" s="455"/>
      <c r="EY109" s="455"/>
      <c r="EZ109" s="455"/>
      <c r="FA109" s="455"/>
      <c r="FB109" s="455"/>
      <c r="FC109" s="455"/>
      <c r="FD109" s="455"/>
      <c r="FE109" s="455"/>
      <c r="FF109" s="455"/>
      <c r="FG109" s="455"/>
      <c r="FH109" s="455"/>
      <c r="FI109" s="455"/>
      <c r="FJ109" s="455"/>
      <c r="FK109" s="455"/>
      <c r="FL109" s="455"/>
      <c r="FM109" s="455"/>
      <c r="FN109" s="455"/>
      <c r="FO109" s="455"/>
      <c r="FP109" s="455"/>
      <c r="FQ109" s="455"/>
      <c r="FR109" s="455"/>
      <c r="FS109" s="455"/>
      <c r="FT109" s="455"/>
      <c r="FU109" s="455"/>
      <c r="FV109" s="455"/>
      <c r="FW109" s="455"/>
      <c r="FX109" s="455"/>
      <c r="FY109" s="455"/>
      <c r="FZ109" s="455"/>
      <c r="GA109" s="455"/>
      <c r="GB109" s="455"/>
      <c r="GC109" s="455"/>
      <c r="GD109" s="455"/>
      <c r="GE109" s="455"/>
      <c r="GF109" s="455"/>
      <c r="GG109" s="455"/>
      <c r="GH109" s="455"/>
      <c r="GI109" s="455"/>
      <c r="GJ109" s="455"/>
      <c r="GK109" s="455"/>
      <c r="GL109" s="455"/>
      <c r="GM109" s="455"/>
      <c r="GN109" s="455"/>
      <c r="GO109" s="455"/>
      <c r="GP109" s="455"/>
      <c r="GQ109" s="455"/>
      <c r="GR109" s="455"/>
      <c r="GS109" s="455"/>
      <c r="GT109" s="455"/>
      <c r="GU109" s="455"/>
      <c r="GV109" s="455"/>
      <c r="GW109" s="455"/>
      <c r="GX109" s="455"/>
      <c r="GY109" s="455"/>
      <c r="GZ109" s="455"/>
      <c r="HA109" s="455"/>
      <c r="HB109" s="455"/>
      <c r="HC109" s="455"/>
      <c r="HD109" s="455"/>
      <c r="HE109" s="455"/>
      <c r="HF109" s="455"/>
      <c r="HG109" s="455"/>
      <c r="HH109" s="455"/>
      <c r="HI109" s="455"/>
      <c r="HJ109" s="455"/>
      <c r="HK109" s="455"/>
      <c r="HL109" s="455"/>
      <c r="HM109" s="455"/>
      <c r="HN109" s="455"/>
      <c r="HO109" s="455"/>
      <c r="HP109" s="455"/>
      <c r="HQ109" s="455"/>
      <c r="HR109" s="455"/>
      <c r="HS109" s="455"/>
      <c r="HT109" s="455"/>
      <c r="HU109" s="455"/>
      <c r="HV109" s="455"/>
      <c r="HW109" s="455"/>
      <c r="HX109" s="455"/>
      <c r="HY109" s="455"/>
      <c r="HZ109" s="455"/>
      <c r="IA109" s="455"/>
      <c r="IB109" s="455"/>
      <c r="IC109" s="455"/>
      <c r="ID109" s="455"/>
      <c r="IE109" s="455"/>
      <c r="IF109" s="455"/>
      <c r="IG109" s="455"/>
      <c r="IH109" s="455"/>
      <c r="II109" s="455"/>
      <c r="IJ109" s="455"/>
      <c r="IK109" s="455"/>
      <c r="IL109" s="455"/>
      <c r="IM109" s="455"/>
      <c r="IN109" s="455"/>
      <c r="IO109" s="455"/>
      <c r="IP109" s="455"/>
      <c r="IQ109" s="455"/>
      <c r="IR109" s="455"/>
      <c r="IS109" s="455"/>
    </row>
    <row r="110" spans="1:253" s="458" customFormat="1" ht="56.25" x14ac:dyDescent="0.2">
      <c r="A110" s="444">
        <v>2226</v>
      </c>
      <c r="B110" s="445" t="s">
        <v>51</v>
      </c>
      <c r="C110" s="445" t="s">
        <v>52</v>
      </c>
      <c r="D110" s="445" t="s">
        <v>91</v>
      </c>
      <c r="E110" s="445"/>
      <c r="F110" s="445"/>
      <c r="G110" s="446">
        <v>59</v>
      </c>
      <c r="H110" s="445">
        <v>23</v>
      </c>
      <c r="I110" s="445"/>
      <c r="J110" s="445">
        <v>1</v>
      </c>
      <c r="K110" s="447">
        <v>3</v>
      </c>
      <c r="L110" s="445"/>
      <c r="M110" s="445">
        <v>4</v>
      </c>
      <c r="N110" s="445" t="s">
        <v>124</v>
      </c>
      <c r="O110" s="449" t="s">
        <v>1089</v>
      </c>
      <c r="P110" s="450">
        <v>6.7149999999999999</v>
      </c>
      <c r="Q110" s="451">
        <f t="shared" si="3"/>
        <v>6.7149999999999999</v>
      </c>
      <c r="R110" s="451">
        <f>SUMIF('Wege im Detail'!$A:$A,"2226",'Wege im Detail'!$P:$P)</f>
        <v>11.355</v>
      </c>
      <c r="S110" s="452" t="s">
        <v>125</v>
      </c>
      <c r="T110" s="453">
        <v>43160</v>
      </c>
      <c r="U110" s="448"/>
      <c r="W110" s="448"/>
    </row>
    <row r="111" spans="1:253" s="458" customFormat="1" ht="56.25" x14ac:dyDescent="0.2">
      <c r="A111" s="444">
        <v>2226</v>
      </c>
      <c r="B111" s="445" t="s">
        <v>51</v>
      </c>
      <c r="C111" s="445" t="s">
        <v>52</v>
      </c>
      <c r="D111" s="445" t="s">
        <v>91</v>
      </c>
      <c r="E111" s="445"/>
      <c r="F111" s="445"/>
      <c r="G111" s="446">
        <v>59</v>
      </c>
      <c r="H111" s="445">
        <v>23</v>
      </c>
      <c r="I111" s="445"/>
      <c r="J111" s="445">
        <v>2</v>
      </c>
      <c r="K111" s="447">
        <v>3</v>
      </c>
      <c r="L111" s="445"/>
      <c r="M111" s="445">
        <v>4</v>
      </c>
      <c r="N111" s="445" t="s">
        <v>102</v>
      </c>
      <c r="O111" s="449" t="s">
        <v>1090</v>
      </c>
      <c r="P111" s="450">
        <v>2.294</v>
      </c>
      <c r="Q111" s="451">
        <f t="shared" si="3"/>
        <v>2.294</v>
      </c>
      <c r="R111" s="451">
        <f>SUMIF('Wege im Detail'!$A:$A,"2226",'Wege im Detail'!$P:$P)</f>
        <v>11.355</v>
      </c>
      <c r="S111" s="452" t="s">
        <v>125</v>
      </c>
      <c r="T111" s="453">
        <v>43160</v>
      </c>
      <c r="U111" s="448"/>
      <c r="W111" s="448"/>
    </row>
    <row r="112" spans="1:253" s="458" customFormat="1" ht="45" x14ac:dyDescent="0.2">
      <c r="A112" s="444">
        <v>2226</v>
      </c>
      <c r="B112" s="445" t="s">
        <v>51</v>
      </c>
      <c r="C112" s="445" t="s">
        <v>52</v>
      </c>
      <c r="D112" s="445" t="s">
        <v>91</v>
      </c>
      <c r="E112" s="445"/>
      <c r="F112" s="445"/>
      <c r="G112" s="446">
        <v>59</v>
      </c>
      <c r="H112" s="445">
        <v>23</v>
      </c>
      <c r="I112" s="445"/>
      <c r="J112" s="445">
        <v>3</v>
      </c>
      <c r="K112" s="447">
        <v>3</v>
      </c>
      <c r="L112" s="445"/>
      <c r="M112" s="445">
        <v>5</v>
      </c>
      <c r="N112" s="445" t="s">
        <v>1004</v>
      </c>
      <c r="O112" s="449" t="s">
        <v>1091</v>
      </c>
      <c r="P112" s="450">
        <v>2.3460000000000001</v>
      </c>
      <c r="Q112" s="451">
        <f t="shared" si="3"/>
        <v>2.3460000000000001</v>
      </c>
      <c r="R112" s="451">
        <f>SUMIF('Wege im Detail'!$A:$A,"2226",'Wege im Detail'!$P:$P)</f>
        <v>11.355</v>
      </c>
      <c r="S112" s="452" t="s">
        <v>125</v>
      </c>
      <c r="T112" s="453">
        <v>43160</v>
      </c>
      <c r="U112" s="448"/>
      <c r="W112" s="448"/>
      <c r="X112" s="455"/>
      <c r="Y112" s="455"/>
      <c r="Z112" s="455"/>
      <c r="AA112" s="455"/>
      <c r="AB112" s="455"/>
      <c r="AC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455"/>
      <c r="AN112" s="455"/>
      <c r="AO112" s="455"/>
      <c r="AP112" s="455"/>
      <c r="AQ112" s="455"/>
      <c r="AR112" s="455"/>
      <c r="AS112" s="455"/>
      <c r="AT112" s="455"/>
      <c r="AU112" s="455"/>
      <c r="AV112" s="455"/>
      <c r="AW112" s="455"/>
      <c r="AX112" s="455"/>
      <c r="AY112" s="455"/>
      <c r="AZ112" s="455"/>
      <c r="BA112" s="455"/>
      <c r="BB112" s="455"/>
      <c r="BC112" s="455"/>
      <c r="BD112" s="455"/>
      <c r="BE112" s="455"/>
      <c r="BF112" s="455"/>
      <c r="BG112" s="455"/>
      <c r="BH112" s="455"/>
      <c r="BI112" s="455"/>
      <c r="BJ112" s="455"/>
      <c r="BK112" s="455"/>
      <c r="BL112" s="455"/>
      <c r="BM112" s="455"/>
      <c r="BN112" s="455"/>
      <c r="BO112" s="455"/>
      <c r="BP112" s="455"/>
      <c r="BQ112" s="455"/>
      <c r="BR112" s="455"/>
      <c r="BS112" s="455"/>
      <c r="BT112" s="455"/>
      <c r="BU112" s="455"/>
      <c r="BV112" s="455"/>
      <c r="BW112" s="455"/>
      <c r="BX112" s="455"/>
      <c r="BY112" s="455"/>
      <c r="BZ112" s="455"/>
      <c r="CA112" s="455"/>
      <c r="CB112" s="455"/>
      <c r="CC112" s="455"/>
      <c r="CD112" s="455"/>
      <c r="CE112" s="455"/>
      <c r="CF112" s="455"/>
      <c r="CG112" s="455"/>
      <c r="CH112" s="455"/>
      <c r="CI112" s="455"/>
      <c r="CJ112" s="455"/>
      <c r="CK112" s="455"/>
      <c r="CL112" s="455"/>
      <c r="CM112" s="455"/>
      <c r="CN112" s="455"/>
      <c r="CO112" s="455"/>
      <c r="CP112" s="455"/>
      <c r="CQ112" s="455"/>
      <c r="CR112" s="455"/>
      <c r="CS112" s="455"/>
      <c r="CT112" s="455"/>
      <c r="CU112" s="455"/>
      <c r="CV112" s="455"/>
      <c r="CW112" s="455"/>
      <c r="CX112" s="455"/>
      <c r="CY112" s="455"/>
      <c r="CZ112" s="455"/>
      <c r="DA112" s="455"/>
      <c r="DB112" s="455"/>
      <c r="DC112" s="455"/>
      <c r="DD112" s="455"/>
      <c r="DE112" s="455"/>
      <c r="DF112" s="455"/>
      <c r="DG112" s="455"/>
      <c r="DH112" s="455"/>
      <c r="DI112" s="455"/>
      <c r="DJ112" s="455"/>
      <c r="DK112" s="455"/>
      <c r="DL112" s="455"/>
      <c r="DM112" s="455"/>
      <c r="DN112" s="455"/>
      <c r="DO112" s="455"/>
      <c r="DP112" s="455"/>
      <c r="DQ112" s="455"/>
      <c r="DR112" s="455"/>
      <c r="DS112" s="455"/>
      <c r="DT112" s="455"/>
      <c r="DU112" s="455"/>
      <c r="DV112" s="455"/>
      <c r="DW112" s="455"/>
      <c r="DX112" s="455"/>
      <c r="DY112" s="455"/>
      <c r="DZ112" s="455"/>
      <c r="EA112" s="455"/>
      <c r="EB112" s="455"/>
      <c r="EC112" s="455"/>
      <c r="ED112" s="455"/>
      <c r="EE112" s="455"/>
      <c r="EF112" s="455"/>
      <c r="EG112" s="455"/>
      <c r="EH112" s="455"/>
      <c r="EI112" s="455"/>
      <c r="EJ112" s="455"/>
      <c r="EK112" s="455"/>
      <c r="EL112" s="455"/>
      <c r="EM112" s="455"/>
      <c r="EN112" s="455"/>
      <c r="EO112" s="455"/>
      <c r="EP112" s="455"/>
      <c r="EQ112" s="455"/>
      <c r="ER112" s="455"/>
      <c r="ES112" s="455"/>
      <c r="ET112" s="455"/>
      <c r="EU112" s="455"/>
      <c r="EV112" s="455"/>
      <c r="EW112" s="455"/>
      <c r="EX112" s="455"/>
      <c r="EY112" s="455"/>
      <c r="EZ112" s="455"/>
      <c r="FA112" s="455"/>
      <c r="FB112" s="455"/>
      <c r="FC112" s="455"/>
      <c r="FD112" s="455"/>
      <c r="FE112" s="455"/>
      <c r="FF112" s="455"/>
      <c r="FG112" s="455"/>
      <c r="FH112" s="455"/>
      <c r="FI112" s="455"/>
      <c r="FJ112" s="455"/>
      <c r="FK112" s="455"/>
      <c r="FL112" s="455"/>
      <c r="FM112" s="455"/>
      <c r="FN112" s="455"/>
      <c r="FO112" s="455"/>
      <c r="FP112" s="455"/>
      <c r="FQ112" s="455"/>
      <c r="FR112" s="455"/>
      <c r="FS112" s="455"/>
      <c r="FT112" s="455"/>
      <c r="FU112" s="455"/>
      <c r="FV112" s="455"/>
      <c r="FW112" s="455"/>
      <c r="FX112" s="455"/>
      <c r="FY112" s="455"/>
      <c r="FZ112" s="455"/>
      <c r="GA112" s="455"/>
      <c r="GB112" s="455"/>
      <c r="GC112" s="455"/>
      <c r="GD112" s="455"/>
      <c r="GE112" s="455"/>
      <c r="GF112" s="455"/>
      <c r="GG112" s="455"/>
      <c r="GH112" s="455"/>
      <c r="GI112" s="455"/>
      <c r="GJ112" s="455"/>
      <c r="GK112" s="455"/>
      <c r="GL112" s="455"/>
      <c r="GM112" s="455"/>
      <c r="GN112" s="455"/>
      <c r="GO112" s="455"/>
      <c r="GP112" s="455"/>
      <c r="GQ112" s="455"/>
      <c r="GR112" s="455"/>
      <c r="GS112" s="455"/>
      <c r="GT112" s="455"/>
      <c r="GU112" s="455"/>
      <c r="GV112" s="455"/>
      <c r="GW112" s="455"/>
      <c r="GX112" s="455"/>
      <c r="GY112" s="455"/>
      <c r="GZ112" s="455"/>
      <c r="HA112" s="455"/>
      <c r="HB112" s="455"/>
      <c r="HC112" s="455"/>
      <c r="HD112" s="455"/>
      <c r="HE112" s="455"/>
      <c r="HF112" s="455"/>
      <c r="HG112" s="455"/>
      <c r="HH112" s="455"/>
      <c r="HI112" s="455"/>
      <c r="HJ112" s="455"/>
      <c r="HK112" s="455"/>
      <c r="HL112" s="455"/>
      <c r="HM112" s="455"/>
      <c r="HN112" s="455"/>
      <c r="HO112" s="455"/>
      <c r="HP112" s="455"/>
      <c r="HQ112" s="455"/>
      <c r="HR112" s="455"/>
      <c r="HS112" s="455"/>
      <c r="HT112" s="455"/>
      <c r="HU112" s="455"/>
      <c r="HV112" s="455"/>
      <c r="HW112" s="455"/>
      <c r="HX112" s="455"/>
      <c r="HY112" s="455"/>
      <c r="HZ112" s="455"/>
      <c r="IA112" s="455"/>
      <c r="IB112" s="455"/>
      <c r="IC112" s="455"/>
      <c r="ID112" s="455"/>
      <c r="IE112" s="455"/>
      <c r="IF112" s="455"/>
      <c r="IG112" s="455"/>
      <c r="IH112" s="455"/>
      <c r="II112" s="455"/>
      <c r="IJ112" s="455"/>
      <c r="IK112" s="455"/>
      <c r="IL112" s="455"/>
      <c r="IM112" s="455"/>
      <c r="IN112" s="455"/>
      <c r="IO112" s="455"/>
      <c r="IP112" s="455"/>
      <c r="IQ112" s="455"/>
      <c r="IR112" s="455"/>
      <c r="IS112" s="455"/>
    </row>
    <row r="113" spans="1:253" s="458" customFormat="1" ht="33.75" x14ac:dyDescent="0.2">
      <c r="A113" s="444">
        <v>2229</v>
      </c>
      <c r="B113" s="445" t="s">
        <v>51</v>
      </c>
      <c r="C113" s="445" t="s">
        <v>52</v>
      </c>
      <c r="D113" s="445" t="s">
        <v>91</v>
      </c>
      <c r="E113" s="445"/>
      <c r="F113" s="445"/>
      <c r="G113" s="446">
        <v>54</v>
      </c>
      <c r="H113" s="445">
        <v>29</v>
      </c>
      <c r="I113" s="445"/>
      <c r="J113" s="445">
        <v>1</v>
      </c>
      <c r="K113" s="447">
        <v>4</v>
      </c>
      <c r="L113" s="445"/>
      <c r="M113" s="445">
        <v>4</v>
      </c>
      <c r="N113" s="445" t="s">
        <v>102</v>
      </c>
      <c r="O113" s="474" t="s">
        <v>1092</v>
      </c>
      <c r="P113" s="450">
        <v>8.0530000000000008</v>
      </c>
      <c r="Q113" s="451">
        <f t="shared" si="3"/>
        <v>8.0530000000000008</v>
      </c>
      <c r="R113" s="451">
        <f>SUMIF('Wege im Detail'!$A:$A,"2229",'Wege im Detail'!$P:$P)</f>
        <v>22.312000000000001</v>
      </c>
      <c r="S113" s="452" t="s">
        <v>127</v>
      </c>
      <c r="T113" s="453">
        <v>44321</v>
      </c>
      <c r="U113" s="448"/>
      <c r="V113" s="538" t="s">
        <v>1093</v>
      </c>
      <c r="W113" s="448"/>
    </row>
    <row r="114" spans="1:253" s="458" customFormat="1" ht="33.75" x14ac:dyDescent="0.2">
      <c r="A114" s="444">
        <v>2229</v>
      </c>
      <c r="B114" s="445" t="s">
        <v>51</v>
      </c>
      <c r="C114" s="445" t="s">
        <v>52</v>
      </c>
      <c r="D114" s="445" t="s">
        <v>91</v>
      </c>
      <c r="E114" s="445"/>
      <c r="F114" s="445"/>
      <c r="G114" s="446">
        <v>54</v>
      </c>
      <c r="H114" s="445">
        <v>29</v>
      </c>
      <c r="I114" s="445"/>
      <c r="J114" s="445">
        <v>2</v>
      </c>
      <c r="K114" s="447">
        <v>4</v>
      </c>
      <c r="L114" s="445"/>
      <c r="M114" s="445">
        <v>5</v>
      </c>
      <c r="N114" s="445" t="s">
        <v>1004</v>
      </c>
      <c r="O114" s="464" t="s">
        <v>1094</v>
      </c>
      <c r="P114" s="450">
        <v>1.411</v>
      </c>
      <c r="Q114" s="451">
        <f t="shared" si="3"/>
        <v>1.411</v>
      </c>
      <c r="R114" s="451">
        <f>SUMIF('Wege im Detail'!$A:$A,"2229",'Wege im Detail'!$P:$P)</f>
        <v>22.312000000000001</v>
      </c>
      <c r="S114" s="452" t="s">
        <v>127</v>
      </c>
      <c r="T114" s="453">
        <v>43160</v>
      </c>
      <c r="U114" s="448"/>
      <c r="V114" s="457"/>
      <c r="W114" s="448"/>
    </row>
    <row r="115" spans="1:253" s="458" customFormat="1" ht="33.75" x14ac:dyDescent="0.2">
      <c r="A115" s="444">
        <v>2229</v>
      </c>
      <c r="B115" s="445" t="s">
        <v>51</v>
      </c>
      <c r="C115" s="445" t="s">
        <v>52</v>
      </c>
      <c r="D115" s="445" t="s">
        <v>91</v>
      </c>
      <c r="E115" s="445"/>
      <c r="F115" s="445"/>
      <c r="G115" s="446">
        <v>54</v>
      </c>
      <c r="H115" s="445">
        <v>29</v>
      </c>
      <c r="I115" s="445"/>
      <c r="J115" s="445">
        <v>3</v>
      </c>
      <c r="K115" s="447">
        <v>4</v>
      </c>
      <c r="L115" s="445"/>
      <c r="M115" s="445">
        <v>5</v>
      </c>
      <c r="N115" s="445" t="s">
        <v>164</v>
      </c>
      <c r="O115" s="464" t="s">
        <v>1095</v>
      </c>
      <c r="P115" s="450">
        <v>7.8769999999999998</v>
      </c>
      <c r="Q115" s="451">
        <f t="shared" si="3"/>
        <v>7.8769999999999998</v>
      </c>
      <c r="R115" s="451">
        <f>SUMIF('Wege im Detail'!$A:$A,"2229",'Wege im Detail'!$P:$P)</f>
        <v>22.312000000000001</v>
      </c>
      <c r="S115" s="452" t="s">
        <v>127</v>
      </c>
      <c r="T115" s="453">
        <v>43160</v>
      </c>
      <c r="U115" s="448"/>
      <c r="V115" s="468"/>
      <c r="W115" s="448"/>
    </row>
    <row r="116" spans="1:253" s="458" customFormat="1" ht="33.75" x14ac:dyDescent="0.2">
      <c r="A116" s="444">
        <v>2229</v>
      </c>
      <c r="B116" s="445" t="s">
        <v>51</v>
      </c>
      <c r="C116" s="445" t="s">
        <v>52</v>
      </c>
      <c r="D116" s="445" t="s">
        <v>91</v>
      </c>
      <c r="E116" s="445"/>
      <c r="F116" s="445"/>
      <c r="G116" s="446">
        <v>54</v>
      </c>
      <c r="H116" s="445">
        <v>29</v>
      </c>
      <c r="I116" s="445"/>
      <c r="J116" s="445">
        <v>4</v>
      </c>
      <c r="K116" s="447">
        <v>4</v>
      </c>
      <c r="L116" s="445"/>
      <c r="M116" s="445">
        <v>1</v>
      </c>
      <c r="N116" s="445" t="s">
        <v>126</v>
      </c>
      <c r="O116" s="464" t="s">
        <v>1096</v>
      </c>
      <c r="P116" s="450">
        <v>4.9710000000000001</v>
      </c>
      <c r="Q116" s="451">
        <f t="shared" si="3"/>
        <v>4.9710000000000001</v>
      </c>
      <c r="R116" s="451">
        <f>SUMIF('Wege im Detail'!$A:$A,"2229",'Wege im Detail'!$P:$P)</f>
        <v>22.312000000000001</v>
      </c>
      <c r="S116" s="452" t="s">
        <v>127</v>
      </c>
      <c r="T116" s="453">
        <v>43160</v>
      </c>
      <c r="U116" s="448"/>
      <c r="V116" s="457"/>
      <c r="W116" s="448"/>
      <c r="X116" s="455"/>
      <c r="Y116" s="455"/>
      <c r="Z116" s="455"/>
      <c r="AA116" s="455"/>
      <c r="AB116" s="455"/>
      <c r="AC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455"/>
      <c r="AN116" s="455"/>
      <c r="AO116" s="455"/>
      <c r="AP116" s="455"/>
      <c r="AQ116" s="455"/>
      <c r="AR116" s="455"/>
      <c r="AS116" s="455"/>
      <c r="AT116" s="455"/>
      <c r="AU116" s="455"/>
      <c r="AV116" s="455"/>
      <c r="AW116" s="455"/>
      <c r="AX116" s="455"/>
      <c r="AY116" s="455"/>
      <c r="AZ116" s="455"/>
      <c r="BA116" s="455"/>
      <c r="BB116" s="455"/>
      <c r="BC116" s="455"/>
      <c r="BD116" s="455"/>
      <c r="BE116" s="455"/>
      <c r="BF116" s="455"/>
      <c r="BG116" s="455"/>
      <c r="BH116" s="455"/>
      <c r="BI116" s="455"/>
      <c r="BJ116" s="455"/>
      <c r="BK116" s="455"/>
      <c r="BL116" s="455"/>
      <c r="BM116" s="455"/>
      <c r="BN116" s="455"/>
      <c r="BO116" s="455"/>
      <c r="BP116" s="455"/>
      <c r="BQ116" s="455"/>
      <c r="BR116" s="455"/>
      <c r="BS116" s="455"/>
      <c r="BT116" s="455"/>
      <c r="BU116" s="455"/>
      <c r="BV116" s="455"/>
      <c r="BW116" s="455"/>
      <c r="BX116" s="455"/>
      <c r="BY116" s="455"/>
      <c r="BZ116" s="455"/>
      <c r="CA116" s="455"/>
      <c r="CB116" s="455"/>
      <c r="CC116" s="455"/>
      <c r="CD116" s="455"/>
      <c r="CE116" s="455"/>
      <c r="CF116" s="455"/>
      <c r="CG116" s="455"/>
      <c r="CH116" s="455"/>
      <c r="CI116" s="455"/>
      <c r="CJ116" s="455"/>
      <c r="CK116" s="455"/>
      <c r="CL116" s="455"/>
      <c r="CM116" s="455"/>
      <c r="CN116" s="455"/>
      <c r="CO116" s="455"/>
      <c r="CP116" s="455"/>
      <c r="CQ116" s="455"/>
      <c r="CR116" s="455"/>
      <c r="CS116" s="455"/>
      <c r="CT116" s="455"/>
      <c r="CU116" s="455"/>
      <c r="CV116" s="455"/>
      <c r="CW116" s="455"/>
      <c r="CX116" s="455"/>
      <c r="CY116" s="455"/>
      <c r="CZ116" s="455"/>
      <c r="DA116" s="455"/>
      <c r="DB116" s="455"/>
      <c r="DC116" s="455"/>
      <c r="DD116" s="455"/>
      <c r="DE116" s="455"/>
      <c r="DF116" s="455"/>
      <c r="DG116" s="455"/>
      <c r="DH116" s="455"/>
      <c r="DI116" s="455"/>
      <c r="DJ116" s="455"/>
      <c r="DK116" s="455"/>
      <c r="DL116" s="455"/>
      <c r="DM116" s="455"/>
      <c r="DN116" s="455"/>
      <c r="DO116" s="455"/>
      <c r="DP116" s="455"/>
      <c r="DQ116" s="455"/>
      <c r="DR116" s="455"/>
      <c r="DS116" s="455"/>
      <c r="DT116" s="455"/>
      <c r="DU116" s="455"/>
      <c r="DV116" s="455"/>
      <c r="DW116" s="455"/>
      <c r="DX116" s="455"/>
      <c r="DY116" s="455"/>
      <c r="DZ116" s="455"/>
      <c r="EA116" s="455"/>
      <c r="EB116" s="455"/>
      <c r="EC116" s="455"/>
      <c r="ED116" s="455"/>
      <c r="EE116" s="455"/>
      <c r="EF116" s="455"/>
      <c r="EG116" s="455"/>
      <c r="EH116" s="455"/>
      <c r="EI116" s="455"/>
      <c r="EJ116" s="455"/>
      <c r="EK116" s="455"/>
      <c r="EL116" s="455"/>
      <c r="EM116" s="455"/>
      <c r="EN116" s="455"/>
      <c r="EO116" s="455"/>
      <c r="EP116" s="455"/>
      <c r="EQ116" s="455"/>
      <c r="ER116" s="455"/>
      <c r="ES116" s="455"/>
      <c r="ET116" s="455"/>
      <c r="EU116" s="455"/>
      <c r="EV116" s="455"/>
      <c r="EW116" s="455"/>
      <c r="EX116" s="455"/>
      <c r="EY116" s="455"/>
      <c r="EZ116" s="455"/>
      <c r="FA116" s="455"/>
      <c r="FB116" s="455"/>
      <c r="FC116" s="455"/>
      <c r="FD116" s="455"/>
      <c r="FE116" s="455"/>
      <c r="FF116" s="455"/>
      <c r="FG116" s="455"/>
      <c r="FH116" s="455"/>
      <c r="FI116" s="455"/>
      <c r="FJ116" s="455"/>
      <c r="FK116" s="455"/>
      <c r="FL116" s="455"/>
      <c r="FM116" s="455"/>
      <c r="FN116" s="455"/>
      <c r="FO116" s="455"/>
      <c r="FP116" s="455"/>
      <c r="FQ116" s="455"/>
      <c r="FR116" s="455"/>
      <c r="FS116" s="455"/>
      <c r="FT116" s="455"/>
      <c r="FU116" s="455"/>
      <c r="FV116" s="455"/>
      <c r="FW116" s="455"/>
      <c r="FX116" s="455"/>
      <c r="FY116" s="455"/>
      <c r="FZ116" s="455"/>
      <c r="GA116" s="455"/>
      <c r="GB116" s="455"/>
      <c r="GC116" s="455"/>
      <c r="GD116" s="455"/>
      <c r="GE116" s="455"/>
      <c r="GF116" s="455"/>
      <c r="GG116" s="455"/>
      <c r="GH116" s="455"/>
      <c r="GI116" s="455"/>
      <c r="GJ116" s="455"/>
      <c r="GK116" s="455"/>
      <c r="GL116" s="455"/>
      <c r="GM116" s="455"/>
      <c r="GN116" s="455"/>
      <c r="GO116" s="455"/>
      <c r="GP116" s="455"/>
      <c r="GQ116" s="455"/>
      <c r="GR116" s="455"/>
      <c r="GS116" s="455"/>
      <c r="GT116" s="455"/>
      <c r="GU116" s="455"/>
      <c r="GV116" s="455"/>
      <c r="GW116" s="455"/>
      <c r="GX116" s="455"/>
      <c r="GY116" s="455"/>
      <c r="GZ116" s="455"/>
      <c r="HA116" s="455"/>
      <c r="HB116" s="455"/>
      <c r="HC116" s="455"/>
      <c r="HD116" s="455"/>
      <c r="HE116" s="455"/>
      <c r="HF116" s="455"/>
      <c r="HG116" s="455"/>
      <c r="HH116" s="455"/>
      <c r="HI116" s="455"/>
      <c r="HJ116" s="455"/>
      <c r="HK116" s="455"/>
      <c r="HL116" s="455"/>
      <c r="HM116" s="455"/>
      <c r="HN116" s="455"/>
      <c r="HO116" s="455"/>
      <c r="HP116" s="455"/>
      <c r="HQ116" s="455"/>
      <c r="HR116" s="455"/>
      <c r="HS116" s="455"/>
      <c r="HT116" s="455"/>
      <c r="HU116" s="455"/>
      <c r="HV116" s="455"/>
      <c r="HW116" s="455"/>
      <c r="HX116" s="455"/>
      <c r="HY116" s="455"/>
      <c r="HZ116" s="455"/>
      <c r="IA116" s="455"/>
      <c r="IB116" s="455"/>
      <c r="IC116" s="455"/>
      <c r="ID116" s="455"/>
      <c r="IE116" s="455"/>
      <c r="IF116" s="455"/>
      <c r="IG116" s="455"/>
      <c r="IH116" s="455"/>
      <c r="II116" s="455"/>
      <c r="IJ116" s="455"/>
      <c r="IK116" s="455"/>
      <c r="IL116" s="455"/>
      <c r="IM116" s="455"/>
      <c r="IN116" s="455"/>
      <c r="IO116" s="455"/>
      <c r="IP116" s="455"/>
      <c r="IQ116" s="455"/>
      <c r="IR116" s="455"/>
      <c r="IS116" s="455"/>
    </row>
    <row r="117" spans="1:253" s="458" customFormat="1" ht="33.75" x14ac:dyDescent="0.2">
      <c r="A117" s="444">
        <v>2231</v>
      </c>
      <c r="B117" s="445" t="s">
        <v>51</v>
      </c>
      <c r="C117" s="445" t="s">
        <v>52</v>
      </c>
      <c r="D117" s="445" t="s">
        <v>91</v>
      </c>
      <c r="E117" s="445"/>
      <c r="F117" s="445"/>
      <c r="G117" s="446">
        <v>54</v>
      </c>
      <c r="H117" s="445">
        <v>43</v>
      </c>
      <c r="I117" s="445"/>
      <c r="J117" s="445">
        <v>1</v>
      </c>
      <c r="K117" s="447">
        <v>3</v>
      </c>
      <c r="L117" s="445"/>
      <c r="M117" s="445">
        <v>5</v>
      </c>
      <c r="N117" s="445" t="s">
        <v>128</v>
      </c>
      <c r="O117" s="464" t="s">
        <v>1097</v>
      </c>
      <c r="P117" s="450">
        <v>3.2839999999999998</v>
      </c>
      <c r="Q117" s="451">
        <f t="shared" si="3"/>
        <v>3.2839999999999998</v>
      </c>
      <c r="R117" s="451">
        <f>SUMIF('Wege im Detail'!$A:$A,"2231",'Wege im Detail'!$P:$P)</f>
        <v>10.706</v>
      </c>
      <c r="S117" s="452" t="s">
        <v>1098</v>
      </c>
      <c r="T117" s="453">
        <v>43160</v>
      </c>
      <c r="U117" s="448"/>
      <c r="V117" s="457"/>
      <c r="W117" s="448"/>
    </row>
    <row r="118" spans="1:253" s="458" customFormat="1" ht="45" x14ac:dyDescent="0.2">
      <c r="A118" s="444">
        <v>2231</v>
      </c>
      <c r="B118" s="445" t="s">
        <v>51</v>
      </c>
      <c r="C118" s="445" t="s">
        <v>52</v>
      </c>
      <c r="D118" s="445" t="s">
        <v>91</v>
      </c>
      <c r="E118" s="445"/>
      <c r="F118" s="445"/>
      <c r="G118" s="446">
        <v>54</v>
      </c>
      <c r="H118" s="445">
        <v>43</v>
      </c>
      <c r="I118" s="445"/>
      <c r="J118" s="445">
        <v>2</v>
      </c>
      <c r="K118" s="447">
        <v>3</v>
      </c>
      <c r="L118" s="445"/>
      <c r="M118" s="445">
        <v>5</v>
      </c>
      <c r="N118" s="445" t="s">
        <v>164</v>
      </c>
      <c r="O118" s="464" t="s">
        <v>1099</v>
      </c>
      <c r="P118" s="450">
        <v>5.5659999999999998</v>
      </c>
      <c r="Q118" s="451">
        <f t="shared" si="3"/>
        <v>5.5659999999999998</v>
      </c>
      <c r="R118" s="451">
        <f>SUMIF('Wege im Detail'!$A:$A,"2231",'Wege im Detail'!$P:$P)</f>
        <v>10.706</v>
      </c>
      <c r="S118" s="452" t="s">
        <v>1098</v>
      </c>
      <c r="T118" s="453">
        <v>43160</v>
      </c>
      <c r="U118" s="448"/>
      <c r="V118" s="457"/>
      <c r="W118" s="448"/>
    </row>
    <row r="119" spans="1:253" s="458" customFormat="1" ht="33.75" x14ac:dyDescent="0.2">
      <c r="A119" s="444">
        <v>2231</v>
      </c>
      <c r="B119" s="445" t="s">
        <v>51</v>
      </c>
      <c r="C119" s="445" t="s">
        <v>52</v>
      </c>
      <c r="D119" s="445" t="s">
        <v>91</v>
      </c>
      <c r="E119" s="445"/>
      <c r="F119" s="445"/>
      <c r="G119" s="446">
        <v>54</v>
      </c>
      <c r="H119" s="445">
        <v>43</v>
      </c>
      <c r="I119" s="445"/>
      <c r="J119" s="445">
        <v>3</v>
      </c>
      <c r="K119" s="447">
        <v>3</v>
      </c>
      <c r="L119" s="445"/>
      <c r="M119" s="445">
        <v>5</v>
      </c>
      <c r="N119" s="445" t="s">
        <v>164</v>
      </c>
      <c r="O119" s="464" t="s">
        <v>1100</v>
      </c>
      <c r="P119" s="450">
        <v>1.8560000000000001</v>
      </c>
      <c r="Q119" s="451">
        <f t="shared" si="3"/>
        <v>1.8560000000000001</v>
      </c>
      <c r="R119" s="451">
        <f>SUMIF('Wege im Detail'!$A:$A,"2231",'Wege im Detail'!$P:$P)</f>
        <v>10.706</v>
      </c>
      <c r="S119" s="452" t="s">
        <v>1098</v>
      </c>
      <c r="T119" s="453">
        <v>43160</v>
      </c>
      <c r="U119" s="448"/>
      <c r="V119" s="457"/>
      <c r="W119" s="448"/>
    </row>
    <row r="120" spans="1:253" s="458" customFormat="1" ht="45" x14ac:dyDescent="0.2">
      <c r="A120" s="444">
        <v>2240</v>
      </c>
      <c r="B120" s="445" t="s">
        <v>51</v>
      </c>
      <c r="C120" s="445" t="s">
        <v>52</v>
      </c>
      <c r="D120" s="445" t="s">
        <v>91</v>
      </c>
      <c r="E120" s="445"/>
      <c r="F120" s="445"/>
      <c r="G120" s="446">
        <v>59</v>
      </c>
      <c r="H120" s="445">
        <v>42</v>
      </c>
      <c r="I120" s="445"/>
      <c r="J120" s="445">
        <v>1</v>
      </c>
      <c r="K120" s="447">
        <v>1</v>
      </c>
      <c r="L120" s="445"/>
      <c r="M120" s="445">
        <v>4</v>
      </c>
      <c r="N120" s="445" t="s">
        <v>102</v>
      </c>
      <c r="O120" s="449" t="s">
        <v>1101</v>
      </c>
      <c r="P120" s="450">
        <v>10.298</v>
      </c>
      <c r="Q120" s="451">
        <f t="shared" si="3"/>
        <v>10.298</v>
      </c>
      <c r="R120" s="451">
        <f>SUMIF('Wege im Detail'!$A:$A,"2240",'Wege im Detail'!$P:$P)</f>
        <v>10.298</v>
      </c>
      <c r="S120" s="452" t="s">
        <v>130</v>
      </c>
      <c r="T120" s="453">
        <v>44075</v>
      </c>
      <c r="U120" s="448"/>
      <c r="V120" s="466"/>
      <c r="W120" s="448"/>
    </row>
    <row r="121" spans="1:253" s="458" customFormat="1" ht="45" x14ac:dyDescent="0.2">
      <c r="A121" s="444">
        <v>2248</v>
      </c>
      <c r="B121" s="445" t="s">
        <v>84</v>
      </c>
      <c r="C121" s="445" t="s">
        <v>85</v>
      </c>
      <c r="D121" s="445"/>
      <c r="E121" s="445"/>
      <c r="F121" s="445"/>
      <c r="G121" s="446">
        <v>243</v>
      </c>
      <c r="H121" s="445" t="s">
        <v>132</v>
      </c>
      <c r="I121" s="445"/>
      <c r="J121" s="445"/>
      <c r="K121" s="447"/>
      <c r="L121" s="445" t="s">
        <v>133</v>
      </c>
      <c r="M121" s="445">
        <v>4</v>
      </c>
      <c r="N121" s="445" t="s">
        <v>89</v>
      </c>
      <c r="O121" s="449" t="s">
        <v>134</v>
      </c>
      <c r="P121" s="450">
        <v>5.3920000000000003</v>
      </c>
      <c r="Q121" s="451">
        <f t="shared" si="3"/>
        <v>5.3920000000000003</v>
      </c>
      <c r="R121" s="451">
        <f>SUMIF('Wege im Detail'!$A:$A,"2248",'Wege im Detail'!$P:$P)</f>
        <v>5.3920000000000003</v>
      </c>
      <c r="S121" s="452" t="s">
        <v>135</v>
      </c>
      <c r="T121" s="453">
        <v>43160</v>
      </c>
      <c r="U121" s="448"/>
      <c r="V121" s="455"/>
      <c r="W121" s="448"/>
    </row>
    <row r="122" spans="1:253" s="458" customFormat="1" ht="56.25" x14ac:dyDescent="0.2">
      <c r="A122" s="444">
        <v>2249</v>
      </c>
      <c r="B122" s="445" t="s">
        <v>84</v>
      </c>
      <c r="C122" s="445" t="s">
        <v>85</v>
      </c>
      <c r="D122" s="445"/>
      <c r="E122" s="445"/>
      <c r="F122" s="445"/>
      <c r="G122" s="446">
        <v>244</v>
      </c>
      <c r="H122" s="445" t="s">
        <v>137</v>
      </c>
      <c r="I122" s="445"/>
      <c r="J122" s="445"/>
      <c r="K122" s="447"/>
      <c r="L122" s="445" t="s">
        <v>138</v>
      </c>
      <c r="M122" s="445">
        <v>4</v>
      </c>
      <c r="N122" s="445" t="s">
        <v>89</v>
      </c>
      <c r="O122" s="449" t="s">
        <v>1102</v>
      </c>
      <c r="P122" s="450">
        <v>5.95</v>
      </c>
      <c r="Q122" s="451">
        <f t="shared" si="3"/>
        <v>5.95</v>
      </c>
      <c r="R122" s="451">
        <f>SUMIF('Wege im Detail'!$A:$A,"2249",'Wege im Detail'!$P:$P)</f>
        <v>5.95</v>
      </c>
      <c r="S122" s="452" t="s">
        <v>139</v>
      </c>
      <c r="T122" s="453">
        <v>43101</v>
      </c>
      <c r="U122" s="448"/>
      <c r="V122" s="455" t="s">
        <v>1103</v>
      </c>
      <c r="W122" s="448"/>
    </row>
    <row r="123" spans="1:253" s="458" customFormat="1" ht="56.25" x14ac:dyDescent="0.2">
      <c r="A123" s="444">
        <v>2289</v>
      </c>
      <c r="B123" s="445" t="s">
        <v>84</v>
      </c>
      <c r="C123" s="445" t="s">
        <v>85</v>
      </c>
      <c r="D123" s="445"/>
      <c r="E123" s="445"/>
      <c r="F123" s="445"/>
      <c r="G123" s="446">
        <v>291</v>
      </c>
      <c r="H123" s="445" t="s">
        <v>141</v>
      </c>
      <c r="I123" s="445"/>
      <c r="J123" s="445"/>
      <c r="K123" s="447"/>
      <c r="L123" s="445" t="s">
        <v>142</v>
      </c>
      <c r="M123" s="445">
        <v>5</v>
      </c>
      <c r="N123" s="445" t="s">
        <v>143</v>
      </c>
      <c r="O123" s="449" t="s">
        <v>1104</v>
      </c>
      <c r="P123" s="450">
        <v>6.09</v>
      </c>
      <c r="Q123" s="451">
        <f t="shared" si="3"/>
        <v>6.09</v>
      </c>
      <c r="R123" s="451">
        <f>SUMIF('Wege im Detail'!$A:$A,"2289",'Wege im Detail'!$P:$P)</f>
        <v>6.09</v>
      </c>
      <c r="S123" s="452" t="s">
        <v>144</v>
      </c>
      <c r="T123" s="453">
        <v>43101</v>
      </c>
      <c r="U123" s="448"/>
      <c r="V123" s="475"/>
      <c r="W123" s="448"/>
    </row>
    <row r="124" spans="1:253" s="458" customFormat="1" ht="56.25" x14ac:dyDescent="0.2">
      <c r="A124" s="444">
        <v>2290</v>
      </c>
      <c r="B124" s="445" t="s">
        <v>84</v>
      </c>
      <c r="C124" s="445" t="s">
        <v>85</v>
      </c>
      <c r="D124" s="445"/>
      <c r="E124" s="445"/>
      <c r="F124" s="445"/>
      <c r="G124" s="446">
        <v>292</v>
      </c>
      <c r="H124" s="445" t="s">
        <v>146</v>
      </c>
      <c r="I124" s="445"/>
      <c r="J124" s="445"/>
      <c r="K124" s="447"/>
      <c r="L124" s="445" t="s">
        <v>147</v>
      </c>
      <c r="M124" s="445">
        <v>5</v>
      </c>
      <c r="N124" s="445" t="s">
        <v>143</v>
      </c>
      <c r="O124" s="449" t="s">
        <v>1105</v>
      </c>
      <c r="P124" s="450">
        <v>4.1859999999999999</v>
      </c>
      <c r="Q124" s="451">
        <f t="shared" si="3"/>
        <v>4.1859999999999999</v>
      </c>
      <c r="R124" s="451">
        <f>SUMIF('Wege im Detail'!$A:$A,"2290",'Wege im Detail'!$P:$P)</f>
        <v>4.1859999999999999</v>
      </c>
      <c r="S124" s="452" t="s">
        <v>148</v>
      </c>
      <c r="T124" s="453">
        <v>43101</v>
      </c>
      <c r="U124" s="448"/>
      <c r="V124" s="475"/>
      <c r="W124" s="448"/>
    </row>
    <row r="125" spans="1:253" s="458" customFormat="1" ht="33.75" x14ac:dyDescent="0.2">
      <c r="A125" s="444">
        <v>2291</v>
      </c>
      <c r="B125" s="445" t="s">
        <v>84</v>
      </c>
      <c r="C125" s="445" t="s">
        <v>85</v>
      </c>
      <c r="D125" s="445"/>
      <c r="E125" s="445"/>
      <c r="F125" s="445"/>
      <c r="G125" s="446">
        <v>293</v>
      </c>
      <c r="H125" s="445" t="s">
        <v>150</v>
      </c>
      <c r="I125" s="445"/>
      <c r="J125" s="445"/>
      <c r="K125" s="447"/>
      <c r="L125" s="445" t="s">
        <v>133</v>
      </c>
      <c r="M125" s="445">
        <v>5</v>
      </c>
      <c r="N125" s="445" t="s">
        <v>143</v>
      </c>
      <c r="O125" s="449" t="s">
        <v>1106</v>
      </c>
      <c r="P125" s="450">
        <v>2.2959999999999998</v>
      </c>
      <c r="Q125" s="451">
        <f t="shared" si="3"/>
        <v>2.2959999999999998</v>
      </c>
      <c r="R125" s="451">
        <f>SUMIF('Wege im Detail'!$A:$A,"2291",'Wege im Detail'!$P:$P)</f>
        <v>2.2959999999999998</v>
      </c>
      <c r="S125" s="452" t="s">
        <v>151</v>
      </c>
      <c r="T125" s="453">
        <v>43101</v>
      </c>
      <c r="U125" s="448"/>
      <c r="V125" s="475"/>
      <c r="W125" s="448"/>
    </row>
    <row r="126" spans="1:253" s="458" customFormat="1" ht="79.5" customHeight="1" x14ac:dyDescent="0.2">
      <c r="A126" s="438">
        <v>2292</v>
      </c>
      <c r="B126" s="445" t="s">
        <v>84</v>
      </c>
      <c r="C126" s="445" t="s">
        <v>85</v>
      </c>
      <c r="D126" s="445"/>
      <c r="E126" s="445"/>
      <c r="F126" s="470"/>
      <c r="G126" s="445">
        <v>89</v>
      </c>
      <c r="H126" s="445" t="s">
        <v>1107</v>
      </c>
      <c r="I126" s="445"/>
      <c r="J126" s="445"/>
      <c r="K126" s="447"/>
      <c r="L126" s="445" t="s">
        <v>153</v>
      </c>
      <c r="M126" s="445">
        <v>5</v>
      </c>
      <c r="N126" s="445" t="s">
        <v>143</v>
      </c>
      <c r="O126" s="461" t="s">
        <v>1108</v>
      </c>
      <c r="P126" s="450">
        <v>3.2890000000000001</v>
      </c>
      <c r="Q126" s="451">
        <v>3.3</v>
      </c>
      <c r="R126" s="451">
        <f>SUMIF('Wege im Detail'!$A:$A,"002292",'Wege im Detail'!$P:$P)</f>
        <v>3.2890000000000001</v>
      </c>
      <c r="S126" s="452" t="s">
        <v>1109</v>
      </c>
      <c r="T126" s="453">
        <v>43101</v>
      </c>
      <c r="U126" s="534" t="s">
        <v>1110</v>
      </c>
      <c r="V126" s="455" t="s">
        <v>1111</v>
      </c>
      <c r="W126" s="448"/>
      <c r="X126" s="455"/>
      <c r="Y126" s="455"/>
      <c r="Z126" s="455"/>
      <c r="AA126" s="455"/>
      <c r="AB126" s="455"/>
      <c r="AC126" s="455"/>
      <c r="AD126" s="455"/>
      <c r="AE126" s="455"/>
      <c r="AF126" s="455"/>
      <c r="AG126" s="455"/>
      <c r="AH126" s="455"/>
      <c r="AI126" s="455"/>
      <c r="AJ126" s="455"/>
      <c r="AK126" s="455"/>
      <c r="AL126" s="455"/>
      <c r="AM126" s="455"/>
      <c r="AN126" s="455"/>
      <c r="AO126" s="455"/>
      <c r="AP126" s="455"/>
      <c r="AQ126" s="455"/>
      <c r="AR126" s="455"/>
      <c r="AS126" s="455"/>
      <c r="AT126" s="455"/>
      <c r="AU126" s="455"/>
      <c r="AV126" s="455"/>
      <c r="AW126" s="455"/>
      <c r="AX126" s="455"/>
      <c r="AY126" s="455"/>
      <c r="AZ126" s="455"/>
      <c r="BA126" s="455"/>
      <c r="BB126" s="455"/>
      <c r="BC126" s="455"/>
      <c r="BD126" s="455"/>
      <c r="BE126" s="455"/>
      <c r="BF126" s="455"/>
      <c r="BG126" s="455"/>
      <c r="BH126" s="455"/>
      <c r="BI126" s="455"/>
      <c r="BJ126" s="455"/>
      <c r="BK126" s="455"/>
      <c r="BL126" s="455"/>
      <c r="BM126" s="455"/>
      <c r="BN126" s="455"/>
      <c r="BO126" s="455"/>
      <c r="BP126" s="455"/>
      <c r="BQ126" s="455"/>
      <c r="BR126" s="455"/>
      <c r="BS126" s="455"/>
      <c r="BT126" s="455"/>
      <c r="BU126" s="455"/>
      <c r="BV126" s="455"/>
      <c r="BW126" s="455"/>
      <c r="BX126" s="455"/>
      <c r="BY126" s="455"/>
      <c r="BZ126" s="455"/>
      <c r="CA126" s="455"/>
      <c r="CB126" s="455"/>
      <c r="CC126" s="455"/>
      <c r="CD126" s="455"/>
      <c r="CE126" s="455"/>
      <c r="CF126" s="455"/>
      <c r="CG126" s="455"/>
      <c r="CH126" s="455"/>
      <c r="CI126" s="455"/>
      <c r="CJ126" s="455"/>
      <c r="CK126" s="455"/>
      <c r="CL126" s="455"/>
      <c r="CM126" s="455"/>
      <c r="CN126" s="455"/>
      <c r="CO126" s="455"/>
      <c r="CP126" s="455"/>
      <c r="CQ126" s="455"/>
      <c r="CR126" s="455"/>
      <c r="CS126" s="455"/>
      <c r="CT126" s="455"/>
      <c r="CU126" s="455"/>
      <c r="CV126" s="455"/>
      <c r="CW126" s="455"/>
      <c r="CX126" s="455"/>
      <c r="CY126" s="455"/>
      <c r="CZ126" s="455"/>
      <c r="DA126" s="455"/>
      <c r="DB126" s="455"/>
      <c r="DC126" s="455"/>
      <c r="DD126" s="455"/>
      <c r="DE126" s="455"/>
      <c r="DF126" s="455"/>
      <c r="DG126" s="455"/>
      <c r="DH126" s="455"/>
      <c r="DI126" s="455"/>
      <c r="DJ126" s="455"/>
      <c r="DK126" s="455"/>
      <c r="DL126" s="455"/>
      <c r="DM126" s="455"/>
      <c r="DN126" s="455"/>
      <c r="DO126" s="455"/>
      <c r="DP126" s="455"/>
      <c r="DQ126" s="455"/>
      <c r="DR126" s="455"/>
      <c r="DS126" s="455"/>
      <c r="DT126" s="455"/>
      <c r="DU126" s="455"/>
      <c r="DV126" s="455"/>
      <c r="DW126" s="455"/>
      <c r="DX126" s="455"/>
      <c r="DY126" s="455"/>
      <c r="DZ126" s="455"/>
      <c r="EA126" s="455"/>
      <c r="EB126" s="455"/>
      <c r="EC126" s="455"/>
      <c r="ED126" s="455"/>
      <c r="EE126" s="455"/>
      <c r="EF126" s="455"/>
      <c r="EG126" s="455"/>
      <c r="EH126" s="455"/>
      <c r="EI126" s="455"/>
      <c r="EJ126" s="455"/>
      <c r="EK126" s="455"/>
      <c r="EL126" s="455"/>
      <c r="EM126" s="455"/>
      <c r="EN126" s="455"/>
      <c r="EO126" s="455"/>
      <c r="EP126" s="455"/>
      <c r="EQ126" s="455"/>
      <c r="ER126" s="455"/>
      <c r="ES126" s="455"/>
      <c r="ET126" s="455"/>
      <c r="EU126" s="455"/>
      <c r="EV126" s="455"/>
      <c r="EW126" s="455"/>
      <c r="EX126" s="455"/>
      <c r="EY126" s="455"/>
      <c r="EZ126" s="455"/>
      <c r="FA126" s="455"/>
      <c r="FB126" s="455"/>
      <c r="FC126" s="455"/>
      <c r="FD126" s="455"/>
      <c r="FE126" s="455"/>
      <c r="FF126" s="455"/>
      <c r="FG126" s="455"/>
      <c r="FH126" s="455"/>
      <c r="FI126" s="455"/>
      <c r="FJ126" s="455"/>
      <c r="FK126" s="455"/>
      <c r="FL126" s="455"/>
      <c r="FM126" s="455"/>
      <c r="FN126" s="455"/>
      <c r="FO126" s="455"/>
      <c r="FP126" s="455"/>
      <c r="FQ126" s="455"/>
      <c r="FR126" s="455"/>
      <c r="FS126" s="455"/>
      <c r="FT126" s="455"/>
      <c r="FU126" s="455"/>
      <c r="FV126" s="455"/>
      <c r="FW126" s="455"/>
      <c r="FX126" s="455"/>
      <c r="FY126" s="455"/>
      <c r="FZ126" s="455"/>
      <c r="GA126" s="455"/>
      <c r="GB126" s="455"/>
      <c r="GC126" s="455"/>
      <c r="GD126" s="455"/>
      <c r="GE126" s="455"/>
      <c r="GF126" s="455"/>
      <c r="GG126" s="455"/>
      <c r="GH126" s="455"/>
      <c r="GI126" s="455"/>
      <c r="GJ126" s="455"/>
      <c r="GK126" s="455"/>
      <c r="GL126" s="455"/>
      <c r="GM126" s="455"/>
      <c r="GN126" s="455"/>
      <c r="GO126" s="455"/>
      <c r="GP126" s="455"/>
      <c r="GQ126" s="455"/>
      <c r="GR126" s="455"/>
      <c r="GS126" s="455"/>
      <c r="GT126" s="455"/>
      <c r="GU126" s="455"/>
      <c r="GV126" s="455"/>
      <c r="GW126" s="455"/>
      <c r="GX126" s="455"/>
      <c r="GY126" s="455"/>
      <c r="GZ126" s="455"/>
      <c r="HA126" s="455"/>
      <c r="HB126" s="455"/>
      <c r="HC126" s="455"/>
      <c r="HD126" s="455"/>
      <c r="HE126" s="455"/>
      <c r="HF126" s="455"/>
      <c r="HG126" s="455"/>
      <c r="HH126" s="455"/>
      <c r="HI126" s="455"/>
      <c r="HJ126" s="455"/>
      <c r="HK126" s="455"/>
      <c r="HL126" s="455"/>
      <c r="HM126" s="455"/>
      <c r="HN126" s="455"/>
      <c r="HO126" s="455"/>
      <c r="HP126" s="455"/>
      <c r="HQ126" s="455"/>
      <c r="HR126" s="455"/>
      <c r="HS126" s="455"/>
      <c r="HT126" s="455"/>
      <c r="HU126" s="455"/>
      <c r="HV126" s="455"/>
      <c r="HW126" s="455"/>
      <c r="HX126" s="455"/>
      <c r="HY126" s="455"/>
      <c r="HZ126" s="455"/>
      <c r="IA126" s="455"/>
      <c r="IB126" s="455"/>
      <c r="IC126" s="455"/>
      <c r="ID126" s="455"/>
      <c r="IE126" s="455"/>
      <c r="IF126" s="455"/>
      <c r="IG126" s="455"/>
      <c r="IH126" s="455"/>
      <c r="II126" s="455"/>
      <c r="IJ126" s="455"/>
      <c r="IK126" s="455"/>
      <c r="IL126" s="455"/>
      <c r="IM126" s="455"/>
      <c r="IN126" s="455"/>
      <c r="IO126" s="455"/>
      <c r="IP126" s="455"/>
      <c r="IQ126" s="455"/>
      <c r="IR126" s="455"/>
      <c r="IS126" s="455"/>
    </row>
    <row r="127" spans="1:253" s="458" customFormat="1" ht="101.25" x14ac:dyDescent="0.2">
      <c r="A127" s="444">
        <v>2293</v>
      </c>
      <c r="B127" s="445" t="s">
        <v>84</v>
      </c>
      <c r="C127" s="445" t="s">
        <v>85</v>
      </c>
      <c r="D127" s="445"/>
      <c r="E127" s="445"/>
      <c r="F127" s="470"/>
      <c r="G127" s="445">
        <v>155</v>
      </c>
      <c r="H127" s="445" t="s">
        <v>152</v>
      </c>
      <c r="I127" s="445"/>
      <c r="J127" s="445"/>
      <c r="K127" s="447"/>
      <c r="L127" s="445" t="s">
        <v>156</v>
      </c>
      <c r="M127" s="445">
        <v>5</v>
      </c>
      <c r="N127" s="445" t="s">
        <v>143</v>
      </c>
      <c r="O127" s="461" t="s">
        <v>1112</v>
      </c>
      <c r="P127" s="450">
        <v>13.188000000000001</v>
      </c>
      <c r="Q127" s="451" t="s">
        <v>154</v>
      </c>
      <c r="R127" s="451">
        <f>SUMIF('Wege im Detail'!$A:$A,"002293",'Wege im Detail'!$P:$P)</f>
        <v>13.188000000000001</v>
      </c>
      <c r="S127" s="452" t="s">
        <v>154</v>
      </c>
      <c r="T127" s="453">
        <v>43101</v>
      </c>
      <c r="U127" s="448"/>
      <c r="W127" s="448"/>
    </row>
    <row r="128" spans="1:253" s="458" customFormat="1" ht="45" x14ac:dyDescent="0.2">
      <c r="A128" s="444">
        <v>2457</v>
      </c>
      <c r="B128" s="445" t="s">
        <v>51</v>
      </c>
      <c r="C128" s="445" t="s">
        <v>52</v>
      </c>
      <c r="D128" s="445" t="s">
        <v>91</v>
      </c>
      <c r="E128" s="445"/>
      <c r="F128" s="445"/>
      <c r="G128" s="446">
        <v>104</v>
      </c>
      <c r="H128" s="445">
        <v>35</v>
      </c>
      <c r="I128" s="445"/>
      <c r="J128" s="445">
        <v>1</v>
      </c>
      <c r="K128" s="447">
        <v>5</v>
      </c>
      <c r="L128" s="445"/>
      <c r="M128" s="445">
        <v>5</v>
      </c>
      <c r="N128" s="445" t="s">
        <v>128</v>
      </c>
      <c r="O128" s="449" t="s">
        <v>1113</v>
      </c>
      <c r="P128" s="450">
        <v>5.9219999999999997</v>
      </c>
      <c r="Q128" s="451">
        <f t="shared" ref="Q128:Q191" si="4">P128</f>
        <v>5.9219999999999997</v>
      </c>
      <c r="R128" s="451">
        <f>SUMIF('Wege im Detail'!$A:$A,"2457",'Wege im Detail'!$P:$P)</f>
        <v>13.592000000000001</v>
      </c>
      <c r="S128" s="452" t="s">
        <v>160</v>
      </c>
      <c r="T128" s="453">
        <v>43160</v>
      </c>
      <c r="U128" s="448"/>
      <c r="W128" s="448"/>
    </row>
    <row r="129" spans="1:253" s="458" customFormat="1" ht="45" x14ac:dyDescent="0.2">
      <c r="A129" s="444">
        <v>2457</v>
      </c>
      <c r="B129" s="445" t="s">
        <v>51</v>
      </c>
      <c r="C129" s="445" t="s">
        <v>52</v>
      </c>
      <c r="D129" s="445" t="s">
        <v>91</v>
      </c>
      <c r="E129" s="445"/>
      <c r="F129" s="445"/>
      <c r="G129" s="446">
        <v>104</v>
      </c>
      <c r="H129" s="445">
        <v>35</v>
      </c>
      <c r="I129" s="445"/>
      <c r="J129" s="445">
        <v>2</v>
      </c>
      <c r="K129" s="447">
        <v>5</v>
      </c>
      <c r="L129" s="445"/>
      <c r="M129" s="445">
        <v>5</v>
      </c>
      <c r="N129" s="445" t="s">
        <v>1014</v>
      </c>
      <c r="O129" s="449" t="s">
        <v>1114</v>
      </c>
      <c r="P129" s="450">
        <v>2.8380000000000001</v>
      </c>
      <c r="Q129" s="451">
        <f t="shared" si="4"/>
        <v>2.8380000000000001</v>
      </c>
      <c r="R129" s="451">
        <f>SUMIF('Wege im Detail'!$A:$A,"2457",'Wege im Detail'!$P:$P)</f>
        <v>13.592000000000001</v>
      </c>
      <c r="S129" s="452" t="s">
        <v>160</v>
      </c>
      <c r="T129" s="453">
        <v>43160</v>
      </c>
      <c r="U129" s="448"/>
      <c r="W129" s="448"/>
    </row>
    <row r="130" spans="1:253" s="458" customFormat="1" ht="33.75" x14ac:dyDescent="0.2">
      <c r="A130" s="444">
        <v>2457</v>
      </c>
      <c r="B130" s="445" t="s">
        <v>51</v>
      </c>
      <c r="C130" s="445" t="s">
        <v>52</v>
      </c>
      <c r="D130" s="445" t="s">
        <v>91</v>
      </c>
      <c r="E130" s="445"/>
      <c r="F130" s="445"/>
      <c r="G130" s="446">
        <v>104</v>
      </c>
      <c r="H130" s="445">
        <v>35</v>
      </c>
      <c r="I130" s="445"/>
      <c r="J130" s="445">
        <v>3</v>
      </c>
      <c r="K130" s="447">
        <v>5</v>
      </c>
      <c r="L130" s="445"/>
      <c r="M130" s="445">
        <v>5</v>
      </c>
      <c r="N130" s="445" t="s">
        <v>143</v>
      </c>
      <c r="O130" s="449" t="s">
        <v>1115</v>
      </c>
      <c r="P130" s="450">
        <v>0.14799999999999999</v>
      </c>
      <c r="Q130" s="451">
        <f t="shared" si="4"/>
        <v>0.14799999999999999</v>
      </c>
      <c r="R130" s="451">
        <f>SUMIF('Wege im Detail'!$A:$A,"2457",'Wege im Detail'!$P:$P)</f>
        <v>13.592000000000001</v>
      </c>
      <c r="S130" s="452" t="s">
        <v>160</v>
      </c>
      <c r="T130" s="453">
        <v>43160</v>
      </c>
      <c r="U130" s="448"/>
      <c r="W130" s="448"/>
    </row>
    <row r="131" spans="1:253" s="458" customFormat="1" ht="33.75" x14ac:dyDescent="0.2">
      <c r="A131" s="444">
        <v>2457</v>
      </c>
      <c r="B131" s="445" t="s">
        <v>51</v>
      </c>
      <c r="C131" s="445" t="s">
        <v>52</v>
      </c>
      <c r="D131" s="445" t="s">
        <v>91</v>
      </c>
      <c r="E131" s="445"/>
      <c r="F131" s="445"/>
      <c r="G131" s="446">
        <v>104</v>
      </c>
      <c r="H131" s="445">
        <v>35</v>
      </c>
      <c r="I131" s="445"/>
      <c r="J131" s="445">
        <v>4</v>
      </c>
      <c r="K131" s="447">
        <v>5</v>
      </c>
      <c r="L131" s="445"/>
      <c r="M131" s="445">
        <v>5</v>
      </c>
      <c r="N131" s="445" t="s">
        <v>111</v>
      </c>
      <c r="O131" s="449" t="s">
        <v>1116</v>
      </c>
      <c r="P131" s="450">
        <v>2.8250000000000002</v>
      </c>
      <c r="Q131" s="451">
        <f t="shared" si="4"/>
        <v>2.8250000000000002</v>
      </c>
      <c r="R131" s="451">
        <f>SUMIF('Wege im Detail'!$A:$A,"2457",'Wege im Detail'!$P:$P)</f>
        <v>13.592000000000001</v>
      </c>
      <c r="S131" s="452" t="s">
        <v>160</v>
      </c>
      <c r="T131" s="453">
        <v>43160</v>
      </c>
      <c r="U131" s="448"/>
      <c r="W131" s="448"/>
    </row>
    <row r="132" spans="1:253" s="458" customFormat="1" ht="33.75" x14ac:dyDescent="0.2">
      <c r="A132" s="444">
        <v>2457</v>
      </c>
      <c r="B132" s="445" t="s">
        <v>51</v>
      </c>
      <c r="C132" s="445" t="s">
        <v>52</v>
      </c>
      <c r="D132" s="445" t="s">
        <v>91</v>
      </c>
      <c r="E132" s="445"/>
      <c r="F132" s="445"/>
      <c r="G132" s="446">
        <v>104</v>
      </c>
      <c r="H132" s="445">
        <v>35</v>
      </c>
      <c r="I132" s="445"/>
      <c r="J132" s="445">
        <v>5</v>
      </c>
      <c r="K132" s="447">
        <v>5</v>
      </c>
      <c r="L132" s="445"/>
      <c r="M132" s="445">
        <v>4</v>
      </c>
      <c r="N132" s="445" t="s">
        <v>56</v>
      </c>
      <c r="O132" s="449" t="s">
        <v>1117</v>
      </c>
      <c r="P132" s="450">
        <v>1.859</v>
      </c>
      <c r="Q132" s="451">
        <f t="shared" si="4"/>
        <v>1.859</v>
      </c>
      <c r="R132" s="451">
        <f>SUMIF('Wege im Detail'!$A:$A,"2457",'Wege im Detail'!$P:$P)</f>
        <v>13.592000000000001</v>
      </c>
      <c r="S132" s="452" t="s">
        <v>160</v>
      </c>
      <c r="T132" s="453">
        <v>43160</v>
      </c>
      <c r="U132" s="448"/>
      <c r="W132" s="448"/>
    </row>
    <row r="133" spans="1:253" s="458" customFormat="1" ht="56.25" x14ac:dyDescent="0.2">
      <c r="A133" s="444">
        <v>2458</v>
      </c>
      <c r="B133" s="445" t="s">
        <v>84</v>
      </c>
      <c r="C133" s="445" t="s">
        <v>85</v>
      </c>
      <c r="D133" s="445"/>
      <c r="E133" s="445"/>
      <c r="F133" s="445"/>
      <c r="G133" s="446">
        <v>267</v>
      </c>
      <c r="H133" s="445" t="s">
        <v>162</v>
      </c>
      <c r="I133" s="445"/>
      <c r="J133" s="445"/>
      <c r="K133" s="447"/>
      <c r="L133" s="445" t="s">
        <v>163</v>
      </c>
      <c r="M133" s="445">
        <v>5</v>
      </c>
      <c r="N133" s="445" t="s">
        <v>164</v>
      </c>
      <c r="O133" s="449" t="s">
        <v>1118</v>
      </c>
      <c r="P133" s="450">
        <v>7.4169999999999998</v>
      </c>
      <c r="Q133" s="451">
        <f t="shared" si="4"/>
        <v>7.4169999999999998</v>
      </c>
      <c r="R133" s="451">
        <f>SUMIF('Wege im Detail'!$A:$A,"2458",'Wege im Detail'!$P:$P)</f>
        <v>7.4169999999999998</v>
      </c>
      <c r="S133" s="452" t="s">
        <v>165</v>
      </c>
      <c r="T133" s="453">
        <v>43160</v>
      </c>
      <c r="U133" s="448"/>
      <c r="V133" s="476"/>
      <c r="W133" s="448"/>
    </row>
    <row r="134" spans="1:253" s="458" customFormat="1" ht="45" x14ac:dyDescent="0.2">
      <c r="A134" s="444">
        <v>2462</v>
      </c>
      <c r="B134" s="445" t="s">
        <v>84</v>
      </c>
      <c r="C134" s="445" t="s">
        <v>85</v>
      </c>
      <c r="D134" s="445"/>
      <c r="E134" s="445"/>
      <c r="F134" s="445"/>
      <c r="G134" s="446" t="s">
        <v>1119</v>
      </c>
      <c r="H134" s="445" t="s">
        <v>167</v>
      </c>
      <c r="I134" s="445"/>
      <c r="J134" s="445"/>
      <c r="K134" s="447"/>
      <c r="L134" s="445" t="s">
        <v>168</v>
      </c>
      <c r="M134" s="445">
        <v>5</v>
      </c>
      <c r="N134" s="445" t="s">
        <v>164</v>
      </c>
      <c r="O134" s="449" t="s">
        <v>1120</v>
      </c>
      <c r="P134" s="450">
        <v>4.1399999999999997</v>
      </c>
      <c r="Q134" s="451">
        <f t="shared" si="4"/>
        <v>4.1399999999999997</v>
      </c>
      <c r="R134" s="451">
        <f>SUMIF('Wege im Detail'!$A:$A,"2462",'Wege im Detail'!$P:$P)</f>
        <v>4.1399999999999997</v>
      </c>
      <c r="S134" s="452" t="s">
        <v>169</v>
      </c>
      <c r="T134" s="453">
        <v>43160</v>
      </c>
      <c r="U134" s="448"/>
      <c r="V134" s="476"/>
      <c r="W134" s="448"/>
    </row>
    <row r="135" spans="1:253" s="458" customFormat="1" ht="56.25" x14ac:dyDescent="0.2">
      <c r="A135" s="444">
        <v>2464</v>
      </c>
      <c r="B135" s="445" t="s">
        <v>84</v>
      </c>
      <c r="C135" s="445" t="s">
        <v>85</v>
      </c>
      <c r="D135" s="445"/>
      <c r="E135" s="445"/>
      <c r="F135" s="445"/>
      <c r="G135" s="446">
        <v>266</v>
      </c>
      <c r="H135" s="445" t="s">
        <v>171</v>
      </c>
      <c r="I135" s="445"/>
      <c r="J135" s="445"/>
      <c r="K135" s="447"/>
      <c r="L135" s="445" t="s">
        <v>172</v>
      </c>
      <c r="M135" s="445">
        <v>5</v>
      </c>
      <c r="N135" s="445" t="s">
        <v>164</v>
      </c>
      <c r="O135" s="449" t="s">
        <v>1121</v>
      </c>
      <c r="P135" s="450">
        <v>5.641</v>
      </c>
      <c r="Q135" s="451">
        <f t="shared" si="4"/>
        <v>5.641</v>
      </c>
      <c r="R135" s="451">
        <f>SUMIF('Wege im Detail'!$A:$A,"2464",'Wege im Detail'!$P:$P)</f>
        <v>5.641</v>
      </c>
      <c r="S135" s="452" t="s">
        <v>173</v>
      </c>
      <c r="T135" s="453">
        <v>43160</v>
      </c>
      <c r="U135" s="448"/>
      <c r="V135" s="476"/>
      <c r="W135" s="448"/>
    </row>
    <row r="136" spans="1:253" s="458" customFormat="1" ht="56.25" x14ac:dyDescent="0.2">
      <c r="A136" s="444">
        <v>2466</v>
      </c>
      <c r="B136" s="445" t="s">
        <v>84</v>
      </c>
      <c r="C136" s="445" t="s">
        <v>85</v>
      </c>
      <c r="D136" s="445"/>
      <c r="E136" s="445"/>
      <c r="F136" s="445"/>
      <c r="G136" s="473" t="s">
        <v>1122</v>
      </c>
      <c r="H136" s="445" t="s">
        <v>174</v>
      </c>
      <c r="I136" s="445"/>
      <c r="J136" s="445"/>
      <c r="K136" s="447"/>
      <c r="L136" s="445" t="s">
        <v>133</v>
      </c>
      <c r="M136" s="445">
        <v>5</v>
      </c>
      <c r="N136" s="445" t="s">
        <v>128</v>
      </c>
      <c r="O136" s="449" t="s">
        <v>1123</v>
      </c>
      <c r="P136" s="450">
        <v>10.887</v>
      </c>
      <c r="Q136" s="451">
        <f t="shared" si="4"/>
        <v>10.887</v>
      </c>
      <c r="R136" s="451">
        <f>SUMIF('Wege im Detail'!$A:$A,"2466",'Wege im Detail'!$P:$P)</f>
        <v>10.887</v>
      </c>
      <c r="S136" s="452" t="s">
        <v>175</v>
      </c>
      <c r="T136" s="453">
        <v>43160</v>
      </c>
      <c r="U136" s="448"/>
      <c r="V136" s="477"/>
      <c r="W136" s="448"/>
    </row>
    <row r="137" spans="1:253" s="458" customFormat="1" ht="45" x14ac:dyDescent="0.2">
      <c r="A137" s="444">
        <v>2470</v>
      </c>
      <c r="B137" s="445" t="s">
        <v>51</v>
      </c>
      <c r="C137" s="445" t="s">
        <v>52</v>
      </c>
      <c r="D137" s="445" t="s">
        <v>91</v>
      </c>
      <c r="E137" s="445"/>
      <c r="F137" s="445"/>
      <c r="G137" s="446">
        <v>53</v>
      </c>
      <c r="H137" s="445">
        <v>22</v>
      </c>
      <c r="I137" s="445"/>
      <c r="J137" s="445">
        <v>1</v>
      </c>
      <c r="K137" s="447">
        <v>3</v>
      </c>
      <c r="L137" s="445"/>
      <c r="M137" s="445">
        <v>4</v>
      </c>
      <c r="N137" s="445" t="s">
        <v>124</v>
      </c>
      <c r="O137" s="449" t="s">
        <v>1124</v>
      </c>
      <c r="P137" s="450">
        <v>3.4449999999999998</v>
      </c>
      <c r="Q137" s="451">
        <f t="shared" si="4"/>
        <v>3.4449999999999998</v>
      </c>
      <c r="R137" s="451">
        <f>SUMIF('Wege im Detail'!$A:$A,"2470",'Wege im Detail'!$P:$P)</f>
        <v>12.335999999999999</v>
      </c>
      <c r="S137" s="452" t="s">
        <v>177</v>
      </c>
      <c r="T137" s="453">
        <v>43221</v>
      </c>
      <c r="U137" s="448"/>
      <c r="W137" s="448"/>
    </row>
    <row r="138" spans="1:253" s="458" customFormat="1" ht="45" x14ac:dyDescent="0.2">
      <c r="A138" s="444">
        <v>2470</v>
      </c>
      <c r="B138" s="445" t="s">
        <v>51</v>
      </c>
      <c r="C138" s="445" t="s">
        <v>52</v>
      </c>
      <c r="D138" s="445" t="s">
        <v>91</v>
      </c>
      <c r="E138" s="445"/>
      <c r="F138" s="445"/>
      <c r="G138" s="446">
        <v>53</v>
      </c>
      <c r="H138" s="445">
        <v>22</v>
      </c>
      <c r="I138" s="445"/>
      <c r="J138" s="445">
        <v>2</v>
      </c>
      <c r="K138" s="447">
        <v>3</v>
      </c>
      <c r="L138" s="445"/>
      <c r="M138" s="445">
        <v>4</v>
      </c>
      <c r="N138" s="445" t="s">
        <v>389</v>
      </c>
      <c r="O138" s="449" t="s">
        <v>1125</v>
      </c>
      <c r="P138" s="450">
        <v>0.79400000000000004</v>
      </c>
      <c r="Q138" s="451">
        <f t="shared" si="4"/>
        <v>0.79400000000000004</v>
      </c>
      <c r="R138" s="451">
        <f>SUMIF('Wege im Detail'!$A:$A,"2470",'Wege im Detail'!$P:$P)</f>
        <v>12.335999999999999</v>
      </c>
      <c r="S138" s="452" t="s">
        <v>177</v>
      </c>
      <c r="T138" s="453">
        <v>43221</v>
      </c>
      <c r="U138" s="448"/>
      <c r="W138" s="448"/>
    </row>
    <row r="139" spans="1:253" s="458" customFormat="1" ht="56.25" x14ac:dyDescent="0.2">
      <c r="A139" s="444">
        <v>2470</v>
      </c>
      <c r="B139" s="445" t="s">
        <v>51</v>
      </c>
      <c r="C139" s="445" t="s">
        <v>52</v>
      </c>
      <c r="D139" s="445" t="s">
        <v>91</v>
      </c>
      <c r="E139" s="445"/>
      <c r="F139" s="445"/>
      <c r="G139" s="446">
        <v>53</v>
      </c>
      <c r="H139" s="445">
        <v>22</v>
      </c>
      <c r="I139" s="445"/>
      <c r="J139" s="445">
        <v>3</v>
      </c>
      <c r="K139" s="447">
        <v>3</v>
      </c>
      <c r="L139" s="445"/>
      <c r="M139" s="445">
        <v>4</v>
      </c>
      <c r="N139" s="445" t="s">
        <v>102</v>
      </c>
      <c r="O139" s="449" t="s">
        <v>1126</v>
      </c>
      <c r="P139" s="450">
        <v>8.0969999999999995</v>
      </c>
      <c r="Q139" s="451">
        <f t="shared" si="4"/>
        <v>8.0969999999999995</v>
      </c>
      <c r="R139" s="451">
        <f>SUMIF('Wege im Detail'!$A:$A,"2470",'Wege im Detail'!$P:$P)</f>
        <v>12.335999999999999</v>
      </c>
      <c r="S139" s="452" t="s">
        <v>177</v>
      </c>
      <c r="T139" s="453">
        <v>43221</v>
      </c>
      <c r="U139" s="448"/>
      <c r="W139" s="448"/>
    </row>
    <row r="140" spans="1:253" s="458" customFormat="1" ht="45" x14ac:dyDescent="0.2">
      <c r="A140" s="444">
        <v>2483</v>
      </c>
      <c r="B140" s="445" t="s">
        <v>51</v>
      </c>
      <c r="C140" s="445" t="s">
        <v>52</v>
      </c>
      <c r="D140" s="445" t="s">
        <v>91</v>
      </c>
      <c r="E140" s="445"/>
      <c r="F140" s="445"/>
      <c r="G140" s="446">
        <v>59</v>
      </c>
      <c r="H140" s="445">
        <v>67</v>
      </c>
      <c r="I140" s="445"/>
      <c r="J140" s="445">
        <v>1</v>
      </c>
      <c r="K140" s="447">
        <v>2</v>
      </c>
      <c r="L140" s="445"/>
      <c r="M140" s="445">
        <v>5</v>
      </c>
      <c r="N140" s="445" t="s">
        <v>128</v>
      </c>
      <c r="O140" s="449" t="s">
        <v>1127</v>
      </c>
      <c r="P140" s="450">
        <v>5.7069999999999999</v>
      </c>
      <c r="Q140" s="451">
        <f t="shared" si="4"/>
        <v>5.7069999999999999</v>
      </c>
      <c r="R140" s="451">
        <f>SUMIF('Wege im Detail'!$A:$A,"2483",'Wege im Detail'!$P:$P)</f>
        <v>11.021000000000001</v>
      </c>
      <c r="S140" s="452" t="s">
        <v>179</v>
      </c>
      <c r="T140" s="453">
        <v>43160</v>
      </c>
      <c r="U140" s="448"/>
      <c r="W140" s="448"/>
    </row>
    <row r="141" spans="1:253" s="458" customFormat="1" ht="45" x14ac:dyDescent="0.2">
      <c r="A141" s="444">
        <v>2483</v>
      </c>
      <c r="B141" s="445" t="s">
        <v>51</v>
      </c>
      <c r="C141" s="445" t="s">
        <v>52</v>
      </c>
      <c r="D141" s="445" t="s">
        <v>91</v>
      </c>
      <c r="E141" s="445"/>
      <c r="F141" s="445"/>
      <c r="G141" s="446">
        <v>59</v>
      </c>
      <c r="H141" s="445">
        <v>67</v>
      </c>
      <c r="I141" s="445"/>
      <c r="J141" s="445">
        <v>2</v>
      </c>
      <c r="K141" s="447">
        <v>2</v>
      </c>
      <c r="L141" s="445"/>
      <c r="M141" s="445">
        <v>5</v>
      </c>
      <c r="N141" s="445" t="s">
        <v>248</v>
      </c>
      <c r="O141" s="449" t="s">
        <v>1128</v>
      </c>
      <c r="P141" s="450">
        <v>5.3140000000000001</v>
      </c>
      <c r="Q141" s="451">
        <f t="shared" si="4"/>
        <v>5.3140000000000001</v>
      </c>
      <c r="R141" s="451">
        <f>SUMIF('Wege im Detail'!$A:$A,"2483",'Wege im Detail'!$P:$P)</f>
        <v>11.021000000000001</v>
      </c>
      <c r="S141" s="452" t="s">
        <v>179</v>
      </c>
      <c r="T141" s="453">
        <v>43160</v>
      </c>
      <c r="U141" s="448"/>
      <c r="W141" s="448"/>
      <c r="X141" s="455"/>
      <c r="Y141" s="455"/>
      <c r="Z141" s="455"/>
      <c r="AA141" s="455"/>
      <c r="AB141" s="455"/>
      <c r="AC141" s="455"/>
      <c r="AD141" s="455"/>
      <c r="AE141" s="455"/>
      <c r="AF141" s="455"/>
      <c r="AG141" s="455"/>
      <c r="AH141" s="455"/>
      <c r="AI141" s="455"/>
      <c r="AJ141" s="455"/>
      <c r="AK141" s="455"/>
      <c r="AL141" s="455"/>
      <c r="AM141" s="455"/>
      <c r="AN141" s="455"/>
      <c r="AO141" s="455"/>
      <c r="AP141" s="455"/>
      <c r="AQ141" s="455"/>
      <c r="AR141" s="455"/>
      <c r="AS141" s="455"/>
      <c r="AT141" s="455"/>
      <c r="AU141" s="455"/>
      <c r="AV141" s="455"/>
      <c r="AW141" s="455"/>
      <c r="AX141" s="455"/>
      <c r="AY141" s="455"/>
      <c r="AZ141" s="455"/>
      <c r="BA141" s="455"/>
      <c r="BB141" s="455"/>
      <c r="BC141" s="455"/>
      <c r="BD141" s="455"/>
      <c r="BE141" s="455"/>
      <c r="BF141" s="455"/>
      <c r="BG141" s="455"/>
      <c r="BH141" s="455"/>
      <c r="BI141" s="455"/>
      <c r="BJ141" s="455"/>
      <c r="BK141" s="455"/>
      <c r="BL141" s="455"/>
      <c r="BM141" s="455"/>
      <c r="BN141" s="455"/>
      <c r="BO141" s="455"/>
      <c r="BP141" s="455"/>
      <c r="BQ141" s="455"/>
      <c r="BR141" s="455"/>
      <c r="BS141" s="455"/>
      <c r="BT141" s="455"/>
      <c r="BU141" s="455"/>
      <c r="BV141" s="455"/>
      <c r="BW141" s="455"/>
      <c r="BX141" s="455"/>
      <c r="BY141" s="455"/>
      <c r="BZ141" s="455"/>
      <c r="CA141" s="455"/>
      <c r="CB141" s="455"/>
      <c r="CC141" s="455"/>
      <c r="CD141" s="455"/>
      <c r="CE141" s="455"/>
      <c r="CF141" s="455"/>
      <c r="CG141" s="455"/>
      <c r="CH141" s="455"/>
      <c r="CI141" s="455"/>
      <c r="CJ141" s="455"/>
      <c r="CK141" s="455"/>
      <c r="CL141" s="455"/>
      <c r="CM141" s="455"/>
      <c r="CN141" s="455"/>
      <c r="CO141" s="455"/>
      <c r="CP141" s="455"/>
      <c r="CQ141" s="455"/>
      <c r="CR141" s="455"/>
      <c r="CS141" s="455"/>
      <c r="CT141" s="455"/>
      <c r="CU141" s="455"/>
      <c r="CV141" s="455"/>
      <c r="CW141" s="455"/>
      <c r="CX141" s="455"/>
      <c r="CY141" s="455"/>
      <c r="CZ141" s="455"/>
      <c r="DA141" s="455"/>
      <c r="DB141" s="455"/>
      <c r="DC141" s="455"/>
      <c r="DD141" s="455"/>
      <c r="DE141" s="455"/>
      <c r="DF141" s="455"/>
      <c r="DG141" s="455"/>
      <c r="DH141" s="455"/>
      <c r="DI141" s="455"/>
      <c r="DJ141" s="455"/>
      <c r="DK141" s="455"/>
      <c r="DL141" s="455"/>
      <c r="DM141" s="455"/>
      <c r="DN141" s="455"/>
      <c r="DO141" s="455"/>
      <c r="DP141" s="455"/>
      <c r="DQ141" s="455"/>
      <c r="DR141" s="455"/>
      <c r="DS141" s="455"/>
      <c r="DT141" s="455"/>
      <c r="DU141" s="455"/>
      <c r="DV141" s="455"/>
      <c r="DW141" s="455"/>
      <c r="DX141" s="455"/>
      <c r="DY141" s="455"/>
      <c r="DZ141" s="455"/>
      <c r="EA141" s="455"/>
      <c r="EB141" s="455"/>
      <c r="EC141" s="455"/>
      <c r="ED141" s="455"/>
      <c r="EE141" s="455"/>
      <c r="EF141" s="455"/>
      <c r="EG141" s="455"/>
      <c r="EH141" s="455"/>
      <c r="EI141" s="455"/>
      <c r="EJ141" s="455"/>
      <c r="EK141" s="455"/>
      <c r="EL141" s="455"/>
      <c r="EM141" s="455"/>
      <c r="EN141" s="455"/>
      <c r="EO141" s="455"/>
      <c r="EP141" s="455"/>
      <c r="EQ141" s="455"/>
      <c r="ER141" s="455"/>
      <c r="ES141" s="455"/>
      <c r="ET141" s="455"/>
      <c r="EU141" s="455"/>
      <c r="EV141" s="455"/>
      <c r="EW141" s="455"/>
      <c r="EX141" s="455"/>
      <c r="EY141" s="455"/>
      <c r="EZ141" s="455"/>
      <c r="FA141" s="455"/>
      <c r="FB141" s="455"/>
      <c r="FC141" s="455"/>
      <c r="FD141" s="455"/>
      <c r="FE141" s="455"/>
      <c r="FF141" s="455"/>
      <c r="FG141" s="455"/>
      <c r="FH141" s="455"/>
      <c r="FI141" s="455"/>
      <c r="FJ141" s="455"/>
      <c r="FK141" s="455"/>
      <c r="FL141" s="455"/>
      <c r="FM141" s="455"/>
      <c r="FN141" s="455"/>
      <c r="FO141" s="455"/>
      <c r="FP141" s="455"/>
      <c r="FQ141" s="455"/>
      <c r="FR141" s="455"/>
      <c r="FS141" s="455"/>
      <c r="FT141" s="455"/>
      <c r="FU141" s="455"/>
      <c r="FV141" s="455"/>
      <c r="FW141" s="455"/>
      <c r="FX141" s="455"/>
      <c r="FY141" s="455"/>
      <c r="FZ141" s="455"/>
      <c r="GA141" s="455"/>
      <c r="GB141" s="455"/>
      <c r="GC141" s="455"/>
      <c r="GD141" s="455"/>
      <c r="GE141" s="455"/>
      <c r="GF141" s="455"/>
      <c r="GG141" s="455"/>
      <c r="GH141" s="455"/>
      <c r="GI141" s="455"/>
      <c r="GJ141" s="455"/>
      <c r="GK141" s="455"/>
      <c r="GL141" s="455"/>
      <c r="GM141" s="455"/>
      <c r="GN141" s="455"/>
      <c r="GO141" s="455"/>
      <c r="GP141" s="455"/>
      <c r="GQ141" s="455"/>
      <c r="GR141" s="455"/>
      <c r="GS141" s="455"/>
      <c r="GT141" s="455"/>
      <c r="GU141" s="455"/>
      <c r="GV141" s="455"/>
      <c r="GW141" s="455"/>
      <c r="GX141" s="455"/>
      <c r="GY141" s="455"/>
      <c r="GZ141" s="455"/>
      <c r="HA141" s="455"/>
      <c r="HB141" s="455"/>
      <c r="HC141" s="455"/>
      <c r="HD141" s="455"/>
      <c r="HE141" s="455"/>
      <c r="HF141" s="455"/>
      <c r="HG141" s="455"/>
      <c r="HH141" s="455"/>
      <c r="HI141" s="455"/>
      <c r="HJ141" s="455"/>
      <c r="HK141" s="455"/>
      <c r="HL141" s="455"/>
      <c r="HM141" s="455"/>
      <c r="HN141" s="455"/>
      <c r="HO141" s="455"/>
      <c r="HP141" s="455"/>
      <c r="HQ141" s="455"/>
      <c r="HR141" s="455"/>
      <c r="HS141" s="455"/>
      <c r="HT141" s="455"/>
      <c r="HU141" s="455"/>
      <c r="HV141" s="455"/>
      <c r="HW141" s="455"/>
      <c r="HX141" s="455"/>
      <c r="HY141" s="455"/>
      <c r="HZ141" s="455"/>
      <c r="IA141" s="455"/>
      <c r="IB141" s="455"/>
      <c r="IC141" s="455"/>
      <c r="ID141" s="455"/>
      <c r="IE141" s="455"/>
      <c r="IF141" s="455"/>
      <c r="IG141" s="455"/>
      <c r="IH141" s="455"/>
      <c r="II141" s="455"/>
      <c r="IJ141" s="455"/>
      <c r="IK141" s="455"/>
      <c r="IL141" s="455"/>
      <c r="IM141" s="455"/>
      <c r="IN141" s="455"/>
      <c r="IO141" s="455"/>
      <c r="IP141" s="455"/>
      <c r="IQ141" s="455"/>
      <c r="IR141" s="455"/>
      <c r="IS141" s="455"/>
    </row>
    <row r="142" spans="1:253" s="458" customFormat="1" ht="45" x14ac:dyDescent="0.2">
      <c r="A142" s="444">
        <v>2485</v>
      </c>
      <c r="B142" s="445" t="s">
        <v>51</v>
      </c>
      <c r="C142" s="445" t="s">
        <v>52</v>
      </c>
      <c r="D142" s="445" t="s">
        <v>91</v>
      </c>
      <c r="E142" s="445"/>
      <c r="F142" s="445"/>
      <c r="G142" s="446">
        <v>65</v>
      </c>
      <c r="H142" s="445">
        <v>65</v>
      </c>
      <c r="I142" s="445"/>
      <c r="J142" s="445">
        <v>1</v>
      </c>
      <c r="K142" s="447">
        <v>4</v>
      </c>
      <c r="L142" s="445"/>
      <c r="M142" s="445">
        <v>3</v>
      </c>
      <c r="N142" s="445" t="s">
        <v>187</v>
      </c>
      <c r="O142" s="449" t="s">
        <v>1129</v>
      </c>
      <c r="P142" s="450">
        <v>3.4529999999999998</v>
      </c>
      <c r="Q142" s="451">
        <f t="shared" si="4"/>
        <v>3.4529999999999998</v>
      </c>
      <c r="R142" s="451">
        <f>SUMIF('Wege im Detail'!$A:$A,"2485",'Wege im Detail'!$P:$P)</f>
        <v>19.035</v>
      </c>
      <c r="S142" s="452" t="s">
        <v>182</v>
      </c>
      <c r="T142" s="453">
        <v>43160</v>
      </c>
      <c r="U142" s="448"/>
      <c r="W142" s="448"/>
    </row>
    <row r="143" spans="1:253" s="458" customFormat="1" ht="33.75" x14ac:dyDescent="0.2">
      <c r="A143" s="444">
        <v>2485</v>
      </c>
      <c r="B143" s="445" t="s">
        <v>51</v>
      </c>
      <c r="C143" s="445" t="s">
        <v>52</v>
      </c>
      <c r="D143" s="445" t="s">
        <v>91</v>
      </c>
      <c r="E143" s="445"/>
      <c r="F143" s="445"/>
      <c r="G143" s="446">
        <v>65</v>
      </c>
      <c r="H143" s="445">
        <v>65</v>
      </c>
      <c r="I143" s="445"/>
      <c r="J143" s="445">
        <v>2</v>
      </c>
      <c r="K143" s="447">
        <v>4</v>
      </c>
      <c r="L143" s="445"/>
      <c r="M143" s="445">
        <v>5</v>
      </c>
      <c r="N143" s="445" t="s">
        <v>111</v>
      </c>
      <c r="O143" s="449" t="s">
        <v>1130</v>
      </c>
      <c r="P143" s="450">
        <v>2.9769999999999999</v>
      </c>
      <c r="Q143" s="451">
        <f t="shared" si="4"/>
        <v>2.9769999999999999</v>
      </c>
      <c r="R143" s="451">
        <f>SUMIF('Wege im Detail'!$A:$A,"2485",'Wege im Detail'!$P:$P)</f>
        <v>19.035</v>
      </c>
      <c r="S143" s="452" t="s">
        <v>182</v>
      </c>
      <c r="T143" s="453">
        <v>43160</v>
      </c>
      <c r="U143" s="448"/>
      <c r="W143" s="448"/>
    </row>
    <row r="144" spans="1:253" s="458" customFormat="1" ht="56.25" x14ac:dyDescent="0.2">
      <c r="A144" s="444">
        <v>2485</v>
      </c>
      <c r="B144" s="445" t="s">
        <v>51</v>
      </c>
      <c r="C144" s="445" t="s">
        <v>52</v>
      </c>
      <c r="D144" s="445" t="s">
        <v>91</v>
      </c>
      <c r="E144" s="445"/>
      <c r="F144" s="445"/>
      <c r="G144" s="446">
        <v>65</v>
      </c>
      <c r="H144" s="445">
        <v>65</v>
      </c>
      <c r="I144" s="445"/>
      <c r="J144" s="445">
        <v>3</v>
      </c>
      <c r="K144" s="447">
        <v>4</v>
      </c>
      <c r="L144" s="445"/>
      <c r="M144" s="445">
        <v>5</v>
      </c>
      <c r="N144" s="445" t="s">
        <v>248</v>
      </c>
      <c r="O144" s="449" t="s">
        <v>1131</v>
      </c>
      <c r="P144" s="450">
        <v>8.2910000000000004</v>
      </c>
      <c r="Q144" s="451">
        <f t="shared" si="4"/>
        <v>8.2910000000000004</v>
      </c>
      <c r="R144" s="451">
        <f>SUMIF('Wege im Detail'!$A:$A,"2485",'Wege im Detail'!$P:$P)</f>
        <v>19.035</v>
      </c>
      <c r="S144" s="452" t="s">
        <v>182</v>
      </c>
      <c r="T144" s="453">
        <v>43160</v>
      </c>
      <c r="U144" s="448"/>
      <c r="W144" s="448"/>
    </row>
    <row r="145" spans="1:253" s="458" customFormat="1" ht="45" x14ac:dyDescent="0.2">
      <c r="A145" s="444">
        <v>2485</v>
      </c>
      <c r="B145" s="445" t="s">
        <v>51</v>
      </c>
      <c r="C145" s="445" t="s">
        <v>52</v>
      </c>
      <c r="D145" s="445" t="s">
        <v>91</v>
      </c>
      <c r="E145" s="445"/>
      <c r="F145" s="445"/>
      <c r="G145" s="446">
        <v>65</v>
      </c>
      <c r="H145" s="445">
        <v>65</v>
      </c>
      <c r="I145" s="445"/>
      <c r="J145" s="445">
        <v>4</v>
      </c>
      <c r="K145" s="447">
        <v>4</v>
      </c>
      <c r="L145" s="445"/>
      <c r="M145" s="445">
        <v>5</v>
      </c>
      <c r="N145" s="445" t="s">
        <v>181</v>
      </c>
      <c r="O145" s="449" t="s">
        <v>1132</v>
      </c>
      <c r="P145" s="450">
        <v>4.3140000000000001</v>
      </c>
      <c r="Q145" s="451">
        <f t="shared" si="4"/>
        <v>4.3140000000000001</v>
      </c>
      <c r="R145" s="451">
        <f>SUMIF('Wege im Detail'!$A:$A,"2485",'Wege im Detail'!$P:$P)</f>
        <v>19.035</v>
      </c>
      <c r="S145" s="452" t="s">
        <v>182</v>
      </c>
      <c r="T145" s="453">
        <v>43160</v>
      </c>
      <c r="U145" s="448"/>
      <c r="V145" s="468"/>
      <c r="W145" s="448"/>
    </row>
    <row r="146" spans="1:253" s="458" customFormat="1" ht="33.75" x14ac:dyDescent="0.2">
      <c r="A146" s="444">
        <v>2487</v>
      </c>
      <c r="B146" s="445" t="s">
        <v>51</v>
      </c>
      <c r="C146" s="445" t="s">
        <v>52</v>
      </c>
      <c r="D146" s="445" t="s">
        <v>91</v>
      </c>
      <c r="E146" s="445"/>
      <c r="F146" s="445"/>
      <c r="G146" s="446">
        <v>104</v>
      </c>
      <c r="H146" s="445">
        <v>36</v>
      </c>
      <c r="I146" s="445" t="s">
        <v>117</v>
      </c>
      <c r="J146" s="445">
        <v>1</v>
      </c>
      <c r="K146" s="447">
        <v>2</v>
      </c>
      <c r="L146" s="445"/>
      <c r="M146" s="445">
        <v>5</v>
      </c>
      <c r="N146" s="445" t="s">
        <v>111</v>
      </c>
      <c r="O146" s="449" t="s">
        <v>1133</v>
      </c>
      <c r="P146" s="450">
        <v>2.0939999999999999</v>
      </c>
      <c r="Q146" s="451">
        <f t="shared" si="4"/>
        <v>2.0939999999999999</v>
      </c>
      <c r="R146" s="451">
        <f>SUMIF('Wege im Detail'!$A:$A,"2487",'Wege im Detail'!$P:$P)</f>
        <v>2.1890000000000001</v>
      </c>
      <c r="S146" s="452" t="s">
        <v>1134</v>
      </c>
      <c r="T146" s="453">
        <v>43160</v>
      </c>
      <c r="U146" s="448"/>
      <c r="W146" s="448"/>
    </row>
    <row r="147" spans="1:253" s="458" customFormat="1" ht="33.75" x14ac:dyDescent="0.2">
      <c r="A147" s="444">
        <v>2487</v>
      </c>
      <c r="B147" s="445" t="s">
        <v>51</v>
      </c>
      <c r="C147" s="445" t="s">
        <v>52</v>
      </c>
      <c r="D147" s="445" t="s">
        <v>91</v>
      </c>
      <c r="E147" s="445"/>
      <c r="F147" s="445"/>
      <c r="G147" s="446">
        <v>104</v>
      </c>
      <c r="H147" s="445">
        <v>36</v>
      </c>
      <c r="I147" s="445" t="s">
        <v>117</v>
      </c>
      <c r="J147" s="445">
        <v>2</v>
      </c>
      <c r="K147" s="447">
        <v>2</v>
      </c>
      <c r="L147" s="445"/>
      <c r="M147" s="445">
        <v>5</v>
      </c>
      <c r="N147" s="445" t="s">
        <v>1014</v>
      </c>
      <c r="O147" s="449" t="s">
        <v>1135</v>
      </c>
      <c r="P147" s="450">
        <v>9.5000000000000001E-2</v>
      </c>
      <c r="Q147" s="451">
        <f t="shared" si="4"/>
        <v>9.5000000000000001E-2</v>
      </c>
      <c r="R147" s="451">
        <f>SUMIF('Wege im Detail'!$A:$A,"2487",'Wege im Detail'!$P:$P)</f>
        <v>2.1890000000000001</v>
      </c>
      <c r="S147" s="452" t="s">
        <v>1134</v>
      </c>
      <c r="T147" s="453">
        <v>43160</v>
      </c>
      <c r="U147" s="448"/>
      <c r="W147" s="448"/>
    </row>
    <row r="148" spans="1:253" s="458" customFormat="1" ht="45" x14ac:dyDescent="0.2">
      <c r="A148" s="444">
        <v>2488</v>
      </c>
      <c r="B148" s="445" t="s">
        <v>51</v>
      </c>
      <c r="C148" s="445" t="s">
        <v>52</v>
      </c>
      <c r="D148" s="445" t="s">
        <v>91</v>
      </c>
      <c r="E148" s="445"/>
      <c r="F148" s="445"/>
      <c r="G148" s="446">
        <v>52</v>
      </c>
      <c r="H148" s="445">
        <v>48</v>
      </c>
      <c r="I148" s="445"/>
      <c r="J148" s="445">
        <v>1</v>
      </c>
      <c r="K148" s="447">
        <v>2</v>
      </c>
      <c r="L148" s="445"/>
      <c r="M148" s="445">
        <v>5</v>
      </c>
      <c r="N148" s="445" t="s">
        <v>111</v>
      </c>
      <c r="O148" s="449" t="s">
        <v>1136</v>
      </c>
      <c r="P148" s="450">
        <v>11.327999999999999</v>
      </c>
      <c r="Q148" s="451">
        <f t="shared" si="4"/>
        <v>11.327999999999999</v>
      </c>
      <c r="R148" s="451">
        <f>SUMIF('Wege im Detail'!$A:$A,"2488",'Wege im Detail'!$P:$P)</f>
        <v>14.673</v>
      </c>
      <c r="S148" s="452" t="s">
        <v>185</v>
      </c>
      <c r="T148" s="453">
        <v>43160</v>
      </c>
      <c r="U148" s="448"/>
      <c r="V148" s="468"/>
      <c r="W148" s="448"/>
    </row>
    <row r="149" spans="1:253" s="458" customFormat="1" ht="45" x14ac:dyDescent="0.2">
      <c r="A149" s="444">
        <v>2488</v>
      </c>
      <c r="B149" s="445" t="s">
        <v>51</v>
      </c>
      <c r="C149" s="445" t="s">
        <v>52</v>
      </c>
      <c r="D149" s="445" t="s">
        <v>91</v>
      </c>
      <c r="E149" s="445"/>
      <c r="F149" s="445"/>
      <c r="G149" s="446">
        <v>52</v>
      </c>
      <c r="H149" s="445">
        <v>48</v>
      </c>
      <c r="I149" s="445"/>
      <c r="J149" s="445">
        <v>2</v>
      </c>
      <c r="K149" s="447">
        <v>2</v>
      </c>
      <c r="L149" s="445"/>
      <c r="M149" s="445">
        <v>3</v>
      </c>
      <c r="N149" s="445" t="s">
        <v>187</v>
      </c>
      <c r="O149" s="449" t="s">
        <v>1137</v>
      </c>
      <c r="P149" s="450">
        <v>3.3450000000000002</v>
      </c>
      <c r="Q149" s="451">
        <f t="shared" si="4"/>
        <v>3.3450000000000002</v>
      </c>
      <c r="R149" s="451">
        <f>SUMIF('Wege im Detail'!$A:$A,"2488",'Wege im Detail'!$P:$P)</f>
        <v>14.673</v>
      </c>
      <c r="S149" s="452" t="s">
        <v>185</v>
      </c>
      <c r="T149" s="453">
        <v>43160</v>
      </c>
      <c r="U149" s="448"/>
      <c r="W149" s="448"/>
    </row>
    <row r="150" spans="1:253" s="458" customFormat="1" ht="45" x14ac:dyDescent="0.2">
      <c r="A150" s="444">
        <v>2489</v>
      </c>
      <c r="B150" s="445" t="s">
        <v>51</v>
      </c>
      <c r="C150" s="445" t="s">
        <v>52</v>
      </c>
      <c r="D150" s="445" t="s">
        <v>91</v>
      </c>
      <c r="E150" s="445"/>
      <c r="F150" s="445"/>
      <c r="G150" s="446">
        <v>63</v>
      </c>
      <c r="H150" s="445">
        <v>66</v>
      </c>
      <c r="I150" s="445"/>
      <c r="J150" s="445">
        <v>1</v>
      </c>
      <c r="K150" s="447">
        <v>3</v>
      </c>
      <c r="L150" s="445"/>
      <c r="M150" s="445">
        <v>3</v>
      </c>
      <c r="N150" s="445" t="s">
        <v>187</v>
      </c>
      <c r="O150" s="449" t="s">
        <v>1138</v>
      </c>
      <c r="P150" s="450">
        <v>1.929</v>
      </c>
      <c r="Q150" s="451">
        <f t="shared" si="4"/>
        <v>1.929</v>
      </c>
      <c r="R150" s="451">
        <f>SUMIF('Wege im Detail'!$A:$A,"2489",'Wege im Detail'!$P:$P)</f>
        <v>3.2330000000000001</v>
      </c>
      <c r="S150" s="452" t="s">
        <v>188</v>
      </c>
      <c r="T150" s="453">
        <v>43160</v>
      </c>
      <c r="U150" s="448"/>
      <c r="W150" s="448"/>
    </row>
    <row r="151" spans="1:253" s="458" customFormat="1" ht="45" x14ac:dyDescent="0.2">
      <c r="A151" s="444">
        <v>2489</v>
      </c>
      <c r="B151" s="445" t="s">
        <v>51</v>
      </c>
      <c r="C151" s="445" t="s">
        <v>52</v>
      </c>
      <c r="D151" s="445" t="s">
        <v>91</v>
      </c>
      <c r="E151" s="445"/>
      <c r="F151" s="445"/>
      <c r="G151" s="446">
        <v>63</v>
      </c>
      <c r="H151" s="445">
        <v>66</v>
      </c>
      <c r="I151" s="445"/>
      <c r="J151" s="445">
        <v>2</v>
      </c>
      <c r="K151" s="447">
        <v>3</v>
      </c>
      <c r="L151" s="445"/>
      <c r="M151" s="445">
        <v>3</v>
      </c>
      <c r="N151" s="445" t="s">
        <v>202</v>
      </c>
      <c r="O151" s="449" t="s">
        <v>1139</v>
      </c>
      <c r="P151" s="450">
        <v>1.2030000000000001</v>
      </c>
      <c r="Q151" s="451">
        <f t="shared" si="4"/>
        <v>1.2030000000000001</v>
      </c>
      <c r="R151" s="451">
        <f>SUMIF('Wege im Detail'!$A:$A,"2489",'Wege im Detail'!$P:$P)</f>
        <v>3.2330000000000001</v>
      </c>
      <c r="S151" s="452" t="s">
        <v>188</v>
      </c>
      <c r="T151" s="453">
        <v>43160</v>
      </c>
      <c r="U151" s="448"/>
      <c r="W151" s="448"/>
    </row>
    <row r="152" spans="1:253" s="458" customFormat="1" ht="33.75" x14ac:dyDescent="0.2">
      <c r="A152" s="444">
        <v>2489</v>
      </c>
      <c r="B152" s="445" t="s">
        <v>51</v>
      </c>
      <c r="C152" s="445" t="s">
        <v>52</v>
      </c>
      <c r="D152" s="445" t="s">
        <v>91</v>
      </c>
      <c r="E152" s="445"/>
      <c r="F152" s="445"/>
      <c r="G152" s="446">
        <v>63</v>
      </c>
      <c r="H152" s="445">
        <v>66</v>
      </c>
      <c r="I152" s="445"/>
      <c r="J152" s="445">
        <v>3</v>
      </c>
      <c r="K152" s="447">
        <v>3</v>
      </c>
      <c r="L152" s="445"/>
      <c r="M152" s="445">
        <v>5</v>
      </c>
      <c r="N152" s="445" t="s">
        <v>248</v>
      </c>
      <c r="O152" s="449" t="s">
        <v>1140</v>
      </c>
      <c r="P152" s="450">
        <v>0.10100000000000001</v>
      </c>
      <c r="Q152" s="451">
        <f t="shared" si="4"/>
        <v>0.10100000000000001</v>
      </c>
      <c r="R152" s="451">
        <f>SUMIF('Wege im Detail'!$A:$A,"2489",'Wege im Detail'!$P:$P)</f>
        <v>3.2330000000000001</v>
      </c>
      <c r="S152" s="452" t="s">
        <v>188</v>
      </c>
      <c r="T152" s="453">
        <v>43160</v>
      </c>
      <c r="U152" s="448"/>
      <c r="W152" s="448"/>
    </row>
    <row r="153" spans="1:253" s="458" customFormat="1" ht="45" x14ac:dyDescent="0.2">
      <c r="A153" s="444">
        <v>2491</v>
      </c>
      <c r="B153" s="445" t="s">
        <v>51</v>
      </c>
      <c r="C153" s="445" t="s">
        <v>52</v>
      </c>
      <c r="D153" s="445" t="s">
        <v>91</v>
      </c>
      <c r="E153" s="445"/>
      <c r="F153" s="445"/>
      <c r="G153" s="446">
        <v>66</v>
      </c>
      <c r="H153" s="445">
        <v>66</v>
      </c>
      <c r="I153" s="445" t="s">
        <v>117</v>
      </c>
      <c r="J153" s="445">
        <v>1</v>
      </c>
      <c r="K153" s="447">
        <v>3</v>
      </c>
      <c r="L153" s="445" t="s">
        <v>191</v>
      </c>
      <c r="M153" s="445">
        <v>3</v>
      </c>
      <c r="N153" s="445" t="s">
        <v>187</v>
      </c>
      <c r="O153" s="449" t="s">
        <v>1141</v>
      </c>
      <c r="P153" s="450">
        <v>5.4930000000000003</v>
      </c>
      <c r="Q153" s="478">
        <f t="shared" si="4"/>
        <v>5.4930000000000003</v>
      </c>
      <c r="R153" s="478">
        <f>SUMIF('Wege im Detail'!$A:$A,"2491",'Wege im Detail'!$P:$P)</f>
        <v>7.9769999999999994</v>
      </c>
      <c r="S153" s="452" t="s">
        <v>1142</v>
      </c>
      <c r="T153" s="453">
        <v>43160</v>
      </c>
      <c r="U153" s="448"/>
      <c r="V153" s="468"/>
      <c r="W153" s="448"/>
    </row>
    <row r="154" spans="1:253" s="458" customFormat="1" ht="45" x14ac:dyDescent="0.2">
      <c r="A154" s="444">
        <v>2491</v>
      </c>
      <c r="B154" s="445" t="s">
        <v>51</v>
      </c>
      <c r="C154" s="445" t="s">
        <v>52</v>
      </c>
      <c r="D154" s="445" t="s">
        <v>91</v>
      </c>
      <c r="E154" s="445"/>
      <c r="F154" s="445"/>
      <c r="G154" s="446">
        <v>66</v>
      </c>
      <c r="H154" s="445">
        <v>66</v>
      </c>
      <c r="I154" s="445" t="s">
        <v>117</v>
      </c>
      <c r="J154" s="445">
        <v>2</v>
      </c>
      <c r="K154" s="447">
        <v>3</v>
      </c>
      <c r="L154" s="445" t="s">
        <v>191</v>
      </c>
      <c r="M154" s="445">
        <v>3</v>
      </c>
      <c r="N154" s="445" t="s">
        <v>202</v>
      </c>
      <c r="O154" s="449" t="s">
        <v>1143</v>
      </c>
      <c r="P154" s="450">
        <v>2.0649999999999999</v>
      </c>
      <c r="Q154" s="478">
        <f t="shared" si="4"/>
        <v>2.0649999999999999</v>
      </c>
      <c r="R154" s="478">
        <f>SUMIF('Wege im Detail'!$A:$A,"2491",'Wege im Detail'!$P:$P)</f>
        <v>7.9769999999999994</v>
      </c>
      <c r="S154" s="452" t="s">
        <v>1142</v>
      </c>
      <c r="T154" s="453">
        <v>43160</v>
      </c>
      <c r="U154" s="448"/>
      <c r="V154" s="468"/>
      <c r="W154" s="448"/>
    </row>
    <row r="155" spans="1:253" s="458" customFormat="1" ht="33.75" x14ac:dyDescent="0.2">
      <c r="A155" s="444">
        <v>2491</v>
      </c>
      <c r="B155" s="445" t="s">
        <v>51</v>
      </c>
      <c r="C155" s="445" t="s">
        <v>52</v>
      </c>
      <c r="D155" s="445" t="s">
        <v>91</v>
      </c>
      <c r="E155" s="445"/>
      <c r="F155" s="445"/>
      <c r="G155" s="446">
        <v>66</v>
      </c>
      <c r="H155" s="445">
        <v>66</v>
      </c>
      <c r="I155" s="445" t="s">
        <v>117</v>
      </c>
      <c r="J155" s="445">
        <v>3</v>
      </c>
      <c r="K155" s="447">
        <v>3</v>
      </c>
      <c r="L155" s="445" t="s">
        <v>191</v>
      </c>
      <c r="M155" s="445">
        <v>5</v>
      </c>
      <c r="N155" s="445" t="s">
        <v>248</v>
      </c>
      <c r="O155" s="449" t="s">
        <v>1144</v>
      </c>
      <c r="P155" s="450">
        <v>0.41899999999999998</v>
      </c>
      <c r="Q155" s="478">
        <f t="shared" si="4"/>
        <v>0.41899999999999998</v>
      </c>
      <c r="R155" s="478">
        <f>SUMIF('Wege im Detail'!$A:$A,"2491",'Wege im Detail'!$P:$P)</f>
        <v>7.9769999999999994</v>
      </c>
      <c r="S155" s="452" t="s">
        <v>1142</v>
      </c>
      <c r="T155" s="453">
        <v>43160</v>
      </c>
      <c r="U155" s="448"/>
      <c r="V155" s="468"/>
      <c r="W155" s="448"/>
    </row>
    <row r="156" spans="1:253" s="458" customFormat="1" ht="33.75" x14ac:dyDescent="0.2">
      <c r="A156" s="444">
        <v>2494</v>
      </c>
      <c r="B156" s="445" t="s">
        <v>51</v>
      </c>
      <c r="C156" s="445" t="s">
        <v>52</v>
      </c>
      <c r="D156" s="445" t="s">
        <v>91</v>
      </c>
      <c r="E156" s="445"/>
      <c r="F156" s="445"/>
      <c r="G156" s="446">
        <v>51</v>
      </c>
      <c r="H156" s="445">
        <v>93</v>
      </c>
      <c r="I156" s="445"/>
      <c r="J156" s="445">
        <v>1</v>
      </c>
      <c r="K156" s="447">
        <v>1</v>
      </c>
      <c r="L156" s="445" t="s">
        <v>194</v>
      </c>
      <c r="M156" s="445">
        <v>3</v>
      </c>
      <c r="N156" s="445" t="s">
        <v>187</v>
      </c>
      <c r="O156" s="449" t="s">
        <v>1145</v>
      </c>
      <c r="P156" s="450">
        <v>1.585</v>
      </c>
      <c r="Q156" s="451">
        <f t="shared" si="4"/>
        <v>1.585</v>
      </c>
      <c r="R156" s="451">
        <f>SUMIF('Wege im Detail'!$A:$A,"2494",'Wege im Detail'!$P:$P)</f>
        <v>1.585</v>
      </c>
      <c r="S156" s="452" t="s">
        <v>195</v>
      </c>
      <c r="T156" s="453">
        <v>43160</v>
      </c>
      <c r="U156" s="448"/>
      <c r="V156" s="457" t="s">
        <v>58</v>
      </c>
      <c r="W156" s="448"/>
    </row>
    <row r="157" spans="1:253" s="458" customFormat="1" ht="33.75" x14ac:dyDescent="0.2">
      <c r="A157" s="444">
        <v>2495</v>
      </c>
      <c r="B157" s="445" t="s">
        <v>51</v>
      </c>
      <c r="C157" s="445" t="s">
        <v>52</v>
      </c>
      <c r="D157" s="445" t="s">
        <v>91</v>
      </c>
      <c r="E157" s="445"/>
      <c r="F157" s="445"/>
      <c r="G157" s="446">
        <v>104</v>
      </c>
      <c r="H157" s="445">
        <v>92</v>
      </c>
      <c r="I157" s="445"/>
      <c r="J157" s="445">
        <v>1</v>
      </c>
      <c r="K157" s="447">
        <v>2</v>
      </c>
      <c r="L157" s="445"/>
      <c r="M157" s="445">
        <v>3</v>
      </c>
      <c r="N157" s="445" t="s">
        <v>187</v>
      </c>
      <c r="O157" s="449" t="s">
        <v>1146</v>
      </c>
      <c r="P157" s="450">
        <v>0.69299999999999995</v>
      </c>
      <c r="Q157" s="451">
        <f t="shared" si="4"/>
        <v>0.69299999999999995</v>
      </c>
      <c r="R157" s="451">
        <f>SUMIF('Wege im Detail'!$A:$A,"2495",'Wege im Detail'!$P:$P)</f>
        <v>2.2389999999999999</v>
      </c>
      <c r="S157" s="452" t="s">
        <v>199</v>
      </c>
      <c r="T157" s="453">
        <v>43160</v>
      </c>
      <c r="U157" s="448"/>
      <c r="V157" s="457"/>
      <c r="W157" s="448"/>
    </row>
    <row r="158" spans="1:253" s="458" customFormat="1" ht="45" x14ac:dyDescent="0.2">
      <c r="A158" s="444">
        <v>2495</v>
      </c>
      <c r="B158" s="445" t="s">
        <v>51</v>
      </c>
      <c r="C158" s="445" t="s">
        <v>52</v>
      </c>
      <c r="D158" s="445" t="s">
        <v>91</v>
      </c>
      <c r="E158" s="445"/>
      <c r="F158" s="445"/>
      <c r="G158" s="446">
        <v>104</v>
      </c>
      <c r="H158" s="445">
        <v>92</v>
      </c>
      <c r="I158" s="445"/>
      <c r="J158" s="445">
        <v>2</v>
      </c>
      <c r="K158" s="447">
        <v>2</v>
      </c>
      <c r="L158" s="445"/>
      <c r="M158" s="445">
        <v>3</v>
      </c>
      <c r="N158" s="445" t="s">
        <v>202</v>
      </c>
      <c r="O158" s="449" t="s">
        <v>1147</v>
      </c>
      <c r="P158" s="450">
        <v>1.546</v>
      </c>
      <c r="Q158" s="451">
        <f t="shared" si="4"/>
        <v>1.546</v>
      </c>
      <c r="R158" s="451">
        <f>SUMIF('Wege im Detail'!$A:$A,"2495",'Wege im Detail'!$P:$P)</f>
        <v>2.2389999999999999</v>
      </c>
      <c r="S158" s="452" t="s">
        <v>199</v>
      </c>
      <c r="T158" s="453">
        <v>43160</v>
      </c>
      <c r="U158" s="448"/>
      <c r="V158" s="457"/>
      <c r="W158" s="448"/>
    </row>
    <row r="159" spans="1:253" s="458" customFormat="1" ht="45" x14ac:dyDescent="0.2">
      <c r="A159" s="444">
        <v>2497</v>
      </c>
      <c r="B159" s="445" t="s">
        <v>51</v>
      </c>
      <c r="C159" s="445" t="s">
        <v>52</v>
      </c>
      <c r="D159" s="445" t="s">
        <v>91</v>
      </c>
      <c r="E159" s="445"/>
      <c r="F159" s="479"/>
      <c r="G159" s="446">
        <v>61</v>
      </c>
      <c r="H159" s="445">
        <v>96</v>
      </c>
      <c r="I159" s="445"/>
      <c r="J159" s="445">
        <v>1</v>
      </c>
      <c r="K159" s="447">
        <v>1</v>
      </c>
      <c r="L159" s="448" t="s">
        <v>201</v>
      </c>
      <c r="M159" s="448">
        <v>3</v>
      </c>
      <c r="N159" s="445" t="s">
        <v>202</v>
      </c>
      <c r="O159" s="449" t="s">
        <v>1148</v>
      </c>
      <c r="P159" s="450">
        <v>4.3440000000000003</v>
      </c>
      <c r="Q159" s="451">
        <f t="shared" si="4"/>
        <v>4.3440000000000003</v>
      </c>
      <c r="R159" s="451">
        <f>SUMIF('Wege im Detail'!$A:$A,"2497",'Wege im Detail'!$P:$P)</f>
        <v>4.3440000000000003</v>
      </c>
      <c r="S159" s="452" t="s">
        <v>203</v>
      </c>
      <c r="T159" s="453">
        <v>43160</v>
      </c>
      <c r="U159" s="448"/>
      <c r="W159" s="448"/>
    </row>
    <row r="160" spans="1:253" s="455" customFormat="1" ht="33.75" x14ac:dyDescent="0.2">
      <c r="A160" s="444">
        <v>2500</v>
      </c>
      <c r="B160" s="445" t="s">
        <v>51</v>
      </c>
      <c r="C160" s="445" t="s">
        <v>52</v>
      </c>
      <c r="D160" s="445" t="s">
        <v>91</v>
      </c>
      <c r="E160" s="445"/>
      <c r="F160" s="445"/>
      <c r="G160" s="446">
        <v>58</v>
      </c>
      <c r="H160" s="445">
        <v>60</v>
      </c>
      <c r="I160" s="445"/>
      <c r="J160" s="445">
        <v>4</v>
      </c>
      <c r="K160" s="447">
        <v>4</v>
      </c>
      <c r="L160" s="445"/>
      <c r="M160" s="445">
        <v>3</v>
      </c>
      <c r="N160" s="445" t="s">
        <v>248</v>
      </c>
      <c r="O160" s="449" t="s">
        <v>1149</v>
      </c>
      <c r="P160" s="450">
        <v>0.63</v>
      </c>
      <c r="Q160" s="451">
        <f t="shared" si="4"/>
        <v>0.63</v>
      </c>
      <c r="R160" s="451">
        <f>SUMIF('Wege im Detail'!$A:$A,"2500",'Wege im Detail'!$P:$P)</f>
        <v>21.032</v>
      </c>
      <c r="S160" s="452" t="s">
        <v>205</v>
      </c>
      <c r="T160" s="453">
        <v>43160</v>
      </c>
      <c r="U160" s="448"/>
      <c r="V160" s="457" t="s">
        <v>58</v>
      </c>
      <c r="W160" s="448"/>
      <c r="X160" s="458"/>
      <c r="Y160" s="458"/>
      <c r="Z160" s="458"/>
      <c r="AA160" s="458"/>
      <c r="AB160" s="458"/>
      <c r="AC160" s="458"/>
      <c r="AD160" s="458"/>
      <c r="AE160" s="458"/>
      <c r="AF160" s="458"/>
      <c r="AG160" s="458"/>
      <c r="AH160" s="458"/>
      <c r="AI160" s="458"/>
      <c r="AJ160" s="458"/>
      <c r="AK160" s="458"/>
      <c r="AL160" s="458"/>
      <c r="AM160" s="458"/>
      <c r="AN160" s="458"/>
      <c r="AO160" s="458"/>
      <c r="AP160" s="458"/>
      <c r="AQ160" s="458"/>
      <c r="AR160" s="458"/>
      <c r="AS160" s="458"/>
      <c r="AT160" s="458"/>
      <c r="AU160" s="458"/>
      <c r="AV160" s="458"/>
      <c r="AW160" s="458"/>
      <c r="AX160" s="458"/>
      <c r="AY160" s="458"/>
      <c r="AZ160" s="458"/>
      <c r="BA160" s="458"/>
      <c r="BB160" s="458"/>
      <c r="BC160" s="458"/>
      <c r="BD160" s="458"/>
      <c r="BE160" s="458"/>
      <c r="BF160" s="458"/>
      <c r="BG160" s="458"/>
      <c r="BH160" s="458"/>
      <c r="BI160" s="458"/>
      <c r="BJ160" s="458"/>
      <c r="BK160" s="458"/>
      <c r="BL160" s="458"/>
      <c r="BM160" s="458"/>
      <c r="BN160" s="458"/>
      <c r="BO160" s="458"/>
      <c r="BP160" s="458"/>
      <c r="BQ160" s="458"/>
      <c r="BR160" s="458"/>
      <c r="BS160" s="458"/>
      <c r="BT160" s="458"/>
      <c r="BU160" s="458"/>
      <c r="BV160" s="458"/>
      <c r="BW160" s="458"/>
      <c r="BX160" s="458"/>
      <c r="BY160" s="458"/>
      <c r="BZ160" s="458"/>
      <c r="CA160" s="458"/>
      <c r="CB160" s="458"/>
      <c r="CC160" s="458"/>
      <c r="CD160" s="458"/>
      <c r="CE160" s="458"/>
      <c r="CF160" s="458"/>
      <c r="CG160" s="458"/>
      <c r="CH160" s="458"/>
      <c r="CI160" s="458"/>
      <c r="CJ160" s="458"/>
      <c r="CK160" s="458"/>
      <c r="CL160" s="458"/>
      <c r="CM160" s="458"/>
      <c r="CN160" s="458"/>
      <c r="CO160" s="458"/>
      <c r="CP160" s="458"/>
      <c r="CQ160" s="458"/>
      <c r="CR160" s="458"/>
      <c r="CS160" s="458"/>
      <c r="CT160" s="458"/>
      <c r="CU160" s="458"/>
      <c r="CV160" s="458"/>
      <c r="CW160" s="458"/>
      <c r="CX160" s="458"/>
      <c r="CY160" s="458"/>
      <c r="CZ160" s="458"/>
      <c r="DA160" s="458"/>
      <c r="DB160" s="458"/>
      <c r="DC160" s="458"/>
      <c r="DD160" s="458"/>
      <c r="DE160" s="458"/>
      <c r="DF160" s="458"/>
      <c r="DG160" s="458"/>
      <c r="DH160" s="458"/>
      <c r="DI160" s="458"/>
      <c r="DJ160" s="458"/>
      <c r="DK160" s="458"/>
      <c r="DL160" s="458"/>
      <c r="DM160" s="458"/>
      <c r="DN160" s="458"/>
      <c r="DO160" s="458"/>
      <c r="DP160" s="458"/>
      <c r="DQ160" s="458"/>
      <c r="DR160" s="458"/>
      <c r="DS160" s="458"/>
      <c r="DT160" s="458"/>
      <c r="DU160" s="458"/>
      <c r="DV160" s="458"/>
      <c r="DW160" s="458"/>
      <c r="DX160" s="458"/>
      <c r="DY160" s="458"/>
      <c r="DZ160" s="458"/>
      <c r="EA160" s="458"/>
      <c r="EB160" s="458"/>
      <c r="EC160" s="458"/>
      <c r="ED160" s="458"/>
      <c r="EE160" s="458"/>
      <c r="EF160" s="458"/>
      <c r="EG160" s="458"/>
      <c r="EH160" s="458"/>
      <c r="EI160" s="458"/>
      <c r="EJ160" s="458"/>
      <c r="EK160" s="458"/>
      <c r="EL160" s="458"/>
      <c r="EM160" s="458"/>
      <c r="EN160" s="458"/>
      <c r="EO160" s="458"/>
      <c r="EP160" s="458"/>
      <c r="EQ160" s="458"/>
      <c r="ER160" s="458"/>
      <c r="ES160" s="458"/>
      <c r="ET160" s="458"/>
      <c r="EU160" s="458"/>
      <c r="EV160" s="458"/>
      <c r="EW160" s="458"/>
      <c r="EX160" s="458"/>
      <c r="EY160" s="458"/>
      <c r="EZ160" s="458"/>
      <c r="FA160" s="458"/>
      <c r="FB160" s="458"/>
      <c r="FC160" s="458"/>
      <c r="FD160" s="458"/>
      <c r="FE160" s="458"/>
      <c r="FF160" s="458"/>
      <c r="FG160" s="458"/>
      <c r="FH160" s="458"/>
      <c r="FI160" s="458"/>
      <c r="FJ160" s="458"/>
      <c r="FK160" s="458"/>
      <c r="FL160" s="458"/>
      <c r="FM160" s="458"/>
      <c r="FN160" s="458"/>
      <c r="FO160" s="458"/>
      <c r="FP160" s="458"/>
      <c r="FQ160" s="458"/>
      <c r="FR160" s="458"/>
      <c r="FS160" s="458"/>
      <c r="FT160" s="458"/>
      <c r="FU160" s="458"/>
      <c r="FV160" s="458"/>
      <c r="FW160" s="458"/>
      <c r="FX160" s="458"/>
      <c r="FY160" s="458"/>
      <c r="FZ160" s="458"/>
      <c r="GA160" s="458"/>
      <c r="GB160" s="458"/>
      <c r="GC160" s="458"/>
      <c r="GD160" s="458"/>
      <c r="GE160" s="458"/>
      <c r="GF160" s="458"/>
      <c r="GG160" s="458"/>
      <c r="GH160" s="458"/>
      <c r="GI160" s="458"/>
      <c r="GJ160" s="458"/>
      <c r="GK160" s="458"/>
      <c r="GL160" s="458"/>
      <c r="GM160" s="458"/>
      <c r="GN160" s="458"/>
      <c r="GO160" s="458"/>
      <c r="GP160" s="458"/>
      <c r="GQ160" s="458"/>
      <c r="GR160" s="458"/>
      <c r="GS160" s="458"/>
      <c r="GT160" s="458"/>
      <c r="GU160" s="458"/>
      <c r="GV160" s="458"/>
      <c r="GW160" s="458"/>
      <c r="GX160" s="458"/>
      <c r="GY160" s="458"/>
      <c r="GZ160" s="458"/>
      <c r="HA160" s="458"/>
      <c r="HB160" s="458"/>
      <c r="HC160" s="458"/>
      <c r="HD160" s="458"/>
      <c r="HE160" s="458"/>
      <c r="HF160" s="458"/>
      <c r="HG160" s="458"/>
      <c r="HH160" s="458"/>
      <c r="HI160" s="458"/>
      <c r="HJ160" s="458"/>
      <c r="HK160" s="458"/>
      <c r="HL160" s="458"/>
      <c r="HM160" s="458"/>
      <c r="HN160" s="458"/>
      <c r="HO160" s="458"/>
      <c r="HP160" s="458"/>
      <c r="HQ160" s="458"/>
      <c r="HR160" s="458"/>
      <c r="HS160" s="458"/>
      <c r="HT160" s="458"/>
      <c r="HU160" s="458"/>
      <c r="HV160" s="458"/>
      <c r="HW160" s="458"/>
      <c r="HX160" s="458"/>
      <c r="HY160" s="458"/>
      <c r="HZ160" s="458"/>
      <c r="IA160" s="458"/>
      <c r="IB160" s="458"/>
      <c r="IC160" s="458"/>
      <c r="ID160" s="458"/>
      <c r="IE160" s="458"/>
      <c r="IF160" s="458"/>
      <c r="IG160" s="458"/>
      <c r="IH160" s="458"/>
      <c r="II160" s="458"/>
      <c r="IJ160" s="458"/>
      <c r="IK160" s="458"/>
      <c r="IL160" s="458"/>
      <c r="IM160" s="458"/>
      <c r="IN160" s="458"/>
      <c r="IO160" s="458"/>
      <c r="IP160" s="458"/>
      <c r="IQ160" s="458"/>
      <c r="IR160" s="458"/>
      <c r="IS160" s="458"/>
    </row>
    <row r="161" spans="1:253" s="455" customFormat="1" ht="56.25" x14ac:dyDescent="0.2">
      <c r="A161" s="444">
        <v>2500</v>
      </c>
      <c r="B161" s="445" t="s">
        <v>51</v>
      </c>
      <c r="C161" s="445" t="s">
        <v>52</v>
      </c>
      <c r="D161" s="445" t="s">
        <v>91</v>
      </c>
      <c r="E161" s="445"/>
      <c r="F161" s="445"/>
      <c r="G161" s="446">
        <v>58</v>
      </c>
      <c r="H161" s="445">
        <v>60</v>
      </c>
      <c r="I161" s="445"/>
      <c r="J161" s="445">
        <v>1</v>
      </c>
      <c r="K161" s="447">
        <v>4</v>
      </c>
      <c r="L161" s="445"/>
      <c r="M161" s="445">
        <v>3</v>
      </c>
      <c r="N161" s="445" t="s">
        <v>466</v>
      </c>
      <c r="O161" s="449" t="s">
        <v>1150</v>
      </c>
      <c r="P161" s="450">
        <v>10.157999999999999</v>
      </c>
      <c r="Q161" s="451">
        <f t="shared" si="4"/>
        <v>10.157999999999999</v>
      </c>
      <c r="R161" s="451">
        <f>SUMIF('Wege im Detail'!$A:$A,"2500",'Wege im Detail'!$P:$P)</f>
        <v>21.032</v>
      </c>
      <c r="S161" s="452" t="s">
        <v>205</v>
      </c>
      <c r="T161" s="453">
        <v>43160</v>
      </c>
      <c r="U161" s="448"/>
      <c r="V161" s="457" t="s">
        <v>58</v>
      </c>
      <c r="W161" s="448"/>
      <c r="X161" s="458"/>
      <c r="Y161" s="458"/>
      <c r="Z161" s="458"/>
      <c r="AA161" s="458"/>
      <c r="AB161" s="458"/>
      <c r="AC161" s="458"/>
      <c r="AD161" s="458"/>
      <c r="AE161" s="458"/>
      <c r="AF161" s="458"/>
      <c r="AG161" s="458"/>
      <c r="AH161" s="458"/>
      <c r="AI161" s="458"/>
      <c r="AJ161" s="458"/>
      <c r="AK161" s="458"/>
      <c r="AL161" s="458"/>
      <c r="AM161" s="458"/>
      <c r="AN161" s="458"/>
      <c r="AO161" s="458"/>
      <c r="AP161" s="458"/>
      <c r="AQ161" s="458"/>
      <c r="AR161" s="458"/>
      <c r="AS161" s="458"/>
      <c r="AT161" s="458"/>
      <c r="AU161" s="458"/>
      <c r="AV161" s="458"/>
      <c r="AW161" s="458"/>
      <c r="AX161" s="458"/>
      <c r="AY161" s="458"/>
      <c r="AZ161" s="458"/>
      <c r="BA161" s="458"/>
      <c r="BB161" s="458"/>
      <c r="BC161" s="458"/>
      <c r="BD161" s="458"/>
      <c r="BE161" s="458"/>
      <c r="BF161" s="458"/>
      <c r="BG161" s="458"/>
      <c r="BH161" s="458"/>
      <c r="BI161" s="458"/>
      <c r="BJ161" s="458"/>
      <c r="BK161" s="458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F161" s="458"/>
      <c r="CG161" s="458"/>
      <c r="CH161" s="458"/>
      <c r="CI161" s="458"/>
      <c r="CJ161" s="458"/>
      <c r="CK161" s="458"/>
      <c r="CL161" s="458"/>
      <c r="CM161" s="458"/>
      <c r="CN161" s="458"/>
      <c r="CO161" s="458"/>
      <c r="CP161" s="458"/>
      <c r="CQ161" s="458"/>
      <c r="CR161" s="458"/>
      <c r="CS161" s="458"/>
      <c r="CT161" s="458"/>
      <c r="CU161" s="458"/>
      <c r="CV161" s="458"/>
      <c r="CW161" s="458"/>
      <c r="CX161" s="458"/>
      <c r="CY161" s="458"/>
      <c r="CZ161" s="458"/>
      <c r="DA161" s="458"/>
      <c r="DB161" s="458"/>
      <c r="DC161" s="458"/>
      <c r="DD161" s="458"/>
      <c r="DE161" s="458"/>
      <c r="DF161" s="458"/>
      <c r="DG161" s="458"/>
      <c r="DH161" s="458"/>
      <c r="DI161" s="458"/>
      <c r="DJ161" s="458"/>
      <c r="DK161" s="458"/>
      <c r="DL161" s="458"/>
      <c r="DM161" s="458"/>
      <c r="DN161" s="458"/>
      <c r="DO161" s="458"/>
      <c r="DP161" s="458"/>
      <c r="DQ161" s="458"/>
      <c r="DR161" s="458"/>
      <c r="DS161" s="458"/>
      <c r="DT161" s="458"/>
      <c r="DU161" s="458"/>
      <c r="DV161" s="458"/>
      <c r="DW161" s="458"/>
      <c r="DX161" s="458"/>
      <c r="DY161" s="458"/>
      <c r="DZ161" s="458"/>
      <c r="EA161" s="458"/>
      <c r="EB161" s="458"/>
      <c r="EC161" s="458"/>
      <c r="ED161" s="458"/>
      <c r="EE161" s="458"/>
      <c r="EF161" s="458"/>
      <c r="EG161" s="458"/>
      <c r="EH161" s="458"/>
      <c r="EI161" s="458"/>
      <c r="EJ161" s="458"/>
      <c r="EK161" s="458"/>
      <c r="EL161" s="458"/>
      <c r="EM161" s="458"/>
      <c r="EN161" s="458"/>
      <c r="EO161" s="458"/>
      <c r="EP161" s="458"/>
      <c r="EQ161" s="458"/>
      <c r="ER161" s="458"/>
      <c r="ES161" s="458"/>
      <c r="ET161" s="458"/>
      <c r="EU161" s="458"/>
      <c r="EV161" s="458"/>
      <c r="EW161" s="458"/>
      <c r="EX161" s="458"/>
      <c r="EY161" s="458"/>
      <c r="EZ161" s="458"/>
      <c r="FA161" s="458"/>
      <c r="FB161" s="458"/>
      <c r="FC161" s="458"/>
      <c r="FD161" s="458"/>
      <c r="FE161" s="458"/>
      <c r="FF161" s="458"/>
      <c r="FG161" s="458"/>
      <c r="FH161" s="458"/>
      <c r="FI161" s="458"/>
      <c r="FJ161" s="458"/>
      <c r="FK161" s="458"/>
      <c r="FL161" s="458"/>
      <c r="FM161" s="458"/>
      <c r="FN161" s="458"/>
      <c r="FO161" s="458"/>
      <c r="FP161" s="458"/>
      <c r="FQ161" s="458"/>
      <c r="FR161" s="458"/>
      <c r="FS161" s="458"/>
      <c r="FT161" s="458"/>
      <c r="FU161" s="458"/>
      <c r="FV161" s="458"/>
      <c r="FW161" s="458"/>
      <c r="FX161" s="458"/>
      <c r="FY161" s="458"/>
      <c r="FZ161" s="458"/>
      <c r="GA161" s="458"/>
      <c r="GB161" s="458"/>
      <c r="GC161" s="458"/>
      <c r="GD161" s="458"/>
      <c r="GE161" s="458"/>
      <c r="GF161" s="458"/>
      <c r="GG161" s="458"/>
      <c r="GH161" s="458"/>
      <c r="GI161" s="458"/>
      <c r="GJ161" s="458"/>
      <c r="GK161" s="458"/>
      <c r="GL161" s="458"/>
      <c r="GM161" s="458"/>
      <c r="GN161" s="458"/>
      <c r="GO161" s="458"/>
      <c r="GP161" s="458"/>
      <c r="GQ161" s="458"/>
      <c r="GR161" s="458"/>
      <c r="GS161" s="458"/>
      <c r="GT161" s="458"/>
      <c r="GU161" s="458"/>
      <c r="GV161" s="458"/>
      <c r="GW161" s="458"/>
      <c r="GX161" s="458"/>
      <c r="GY161" s="458"/>
      <c r="GZ161" s="458"/>
      <c r="HA161" s="458"/>
      <c r="HB161" s="458"/>
      <c r="HC161" s="458"/>
      <c r="HD161" s="458"/>
      <c r="HE161" s="458"/>
      <c r="HF161" s="458"/>
      <c r="HG161" s="458"/>
      <c r="HH161" s="458"/>
      <c r="HI161" s="458"/>
      <c r="HJ161" s="458"/>
      <c r="HK161" s="458"/>
      <c r="HL161" s="458"/>
      <c r="HM161" s="458"/>
      <c r="HN161" s="458"/>
      <c r="HO161" s="458"/>
      <c r="HP161" s="458"/>
      <c r="HQ161" s="458"/>
      <c r="HR161" s="458"/>
      <c r="HS161" s="458"/>
      <c r="HT161" s="458"/>
      <c r="HU161" s="458"/>
      <c r="HV161" s="458"/>
      <c r="HW161" s="458"/>
      <c r="HX161" s="458"/>
      <c r="HY161" s="458"/>
      <c r="HZ161" s="458"/>
      <c r="IA161" s="458"/>
      <c r="IB161" s="458"/>
      <c r="IC161" s="458"/>
      <c r="ID161" s="458"/>
      <c r="IE161" s="458"/>
      <c r="IF161" s="458"/>
      <c r="IG161" s="458"/>
      <c r="IH161" s="458"/>
      <c r="II161" s="458"/>
      <c r="IJ161" s="458"/>
      <c r="IK161" s="458"/>
      <c r="IL161" s="458"/>
      <c r="IM161" s="458"/>
      <c r="IN161" s="458"/>
      <c r="IO161" s="458"/>
      <c r="IP161" s="458"/>
      <c r="IQ161" s="458"/>
      <c r="IR161" s="458"/>
      <c r="IS161" s="458"/>
    </row>
    <row r="162" spans="1:253" s="455" customFormat="1" ht="56.25" x14ac:dyDescent="0.2">
      <c r="A162" s="444">
        <v>2500</v>
      </c>
      <c r="B162" s="445" t="s">
        <v>51</v>
      </c>
      <c r="C162" s="445" t="s">
        <v>52</v>
      </c>
      <c r="D162" s="445" t="s">
        <v>91</v>
      </c>
      <c r="E162" s="445"/>
      <c r="F162" s="445"/>
      <c r="G162" s="446">
        <v>58</v>
      </c>
      <c r="H162" s="445">
        <v>60</v>
      </c>
      <c r="I162" s="445"/>
      <c r="J162" s="445">
        <v>2</v>
      </c>
      <c r="K162" s="447">
        <v>4</v>
      </c>
      <c r="L162" s="445"/>
      <c r="M162" s="445">
        <v>3</v>
      </c>
      <c r="N162" s="445" t="s">
        <v>220</v>
      </c>
      <c r="O162" s="449" t="s">
        <v>1151</v>
      </c>
      <c r="P162" s="450">
        <v>4.4770000000000003</v>
      </c>
      <c r="Q162" s="451">
        <f t="shared" si="4"/>
        <v>4.4770000000000003</v>
      </c>
      <c r="R162" s="451">
        <f>SUMIF('Wege im Detail'!$A:$A,"2500",'Wege im Detail'!$P:$P)</f>
        <v>21.032</v>
      </c>
      <c r="S162" s="452" t="s">
        <v>205</v>
      </c>
      <c r="T162" s="453">
        <v>43160</v>
      </c>
      <c r="U162" s="448"/>
      <c r="V162" s="457" t="s">
        <v>58</v>
      </c>
      <c r="W162" s="448"/>
      <c r="X162" s="458"/>
      <c r="Y162" s="458"/>
      <c r="Z162" s="458"/>
      <c r="AA162" s="458"/>
      <c r="AB162" s="458"/>
      <c r="AC162" s="458"/>
      <c r="AD162" s="458"/>
      <c r="AE162" s="458"/>
      <c r="AF162" s="458"/>
      <c r="AG162" s="458"/>
      <c r="AH162" s="458"/>
      <c r="AI162" s="458"/>
      <c r="AJ162" s="458"/>
      <c r="AK162" s="458"/>
      <c r="AL162" s="458"/>
      <c r="AM162" s="458"/>
      <c r="AN162" s="458"/>
      <c r="AO162" s="458"/>
      <c r="AP162" s="458"/>
      <c r="AQ162" s="458"/>
      <c r="AR162" s="458"/>
      <c r="AS162" s="458"/>
      <c r="AT162" s="458"/>
      <c r="AU162" s="458"/>
      <c r="AV162" s="458"/>
      <c r="AW162" s="458"/>
      <c r="AX162" s="458"/>
      <c r="AY162" s="458"/>
      <c r="AZ162" s="458"/>
      <c r="BA162" s="458"/>
      <c r="BB162" s="458"/>
      <c r="BC162" s="458"/>
      <c r="BD162" s="458"/>
      <c r="BE162" s="458"/>
      <c r="BF162" s="458"/>
      <c r="BG162" s="458"/>
      <c r="BH162" s="458"/>
      <c r="BI162" s="458"/>
      <c r="BJ162" s="458"/>
      <c r="BK162" s="458"/>
      <c r="BL162" s="458"/>
      <c r="BM162" s="458"/>
      <c r="BN162" s="458"/>
      <c r="BO162" s="458"/>
      <c r="BP162" s="458"/>
      <c r="BQ162" s="458"/>
      <c r="BR162" s="458"/>
      <c r="BS162" s="458"/>
      <c r="BT162" s="458"/>
      <c r="BU162" s="458"/>
      <c r="BV162" s="458"/>
      <c r="BW162" s="458"/>
      <c r="BX162" s="458"/>
      <c r="BY162" s="458"/>
      <c r="BZ162" s="458"/>
      <c r="CA162" s="458"/>
      <c r="CB162" s="458"/>
      <c r="CC162" s="458"/>
      <c r="CD162" s="458"/>
      <c r="CE162" s="458"/>
      <c r="CF162" s="458"/>
      <c r="CG162" s="458"/>
      <c r="CH162" s="458"/>
      <c r="CI162" s="458"/>
      <c r="CJ162" s="458"/>
      <c r="CK162" s="458"/>
      <c r="CL162" s="458"/>
      <c r="CM162" s="458"/>
      <c r="CN162" s="458"/>
      <c r="CO162" s="458"/>
      <c r="CP162" s="458"/>
      <c r="CQ162" s="458"/>
      <c r="CR162" s="458"/>
      <c r="CS162" s="458"/>
      <c r="CT162" s="458"/>
      <c r="CU162" s="458"/>
      <c r="CV162" s="458"/>
      <c r="CW162" s="458"/>
      <c r="CX162" s="458"/>
      <c r="CY162" s="458"/>
      <c r="CZ162" s="458"/>
      <c r="DA162" s="458"/>
      <c r="DB162" s="458"/>
      <c r="DC162" s="458"/>
      <c r="DD162" s="458"/>
      <c r="DE162" s="458"/>
      <c r="DF162" s="458"/>
      <c r="DG162" s="458"/>
      <c r="DH162" s="458"/>
      <c r="DI162" s="458"/>
      <c r="DJ162" s="458"/>
      <c r="DK162" s="458"/>
      <c r="DL162" s="458"/>
      <c r="DM162" s="458"/>
      <c r="DN162" s="458"/>
      <c r="DO162" s="458"/>
      <c r="DP162" s="458"/>
      <c r="DQ162" s="458"/>
      <c r="DR162" s="458"/>
      <c r="DS162" s="458"/>
      <c r="DT162" s="458"/>
      <c r="DU162" s="458"/>
      <c r="DV162" s="458"/>
      <c r="DW162" s="458"/>
      <c r="DX162" s="458"/>
      <c r="DY162" s="458"/>
      <c r="DZ162" s="458"/>
      <c r="EA162" s="458"/>
      <c r="EB162" s="458"/>
      <c r="EC162" s="458"/>
      <c r="ED162" s="458"/>
      <c r="EE162" s="458"/>
      <c r="EF162" s="458"/>
      <c r="EG162" s="458"/>
      <c r="EH162" s="458"/>
      <c r="EI162" s="458"/>
      <c r="EJ162" s="458"/>
      <c r="EK162" s="458"/>
      <c r="EL162" s="458"/>
      <c r="EM162" s="458"/>
      <c r="EN162" s="458"/>
      <c r="EO162" s="458"/>
      <c r="EP162" s="458"/>
      <c r="EQ162" s="458"/>
      <c r="ER162" s="458"/>
      <c r="ES162" s="458"/>
      <c r="ET162" s="458"/>
      <c r="EU162" s="458"/>
      <c r="EV162" s="458"/>
      <c r="EW162" s="458"/>
      <c r="EX162" s="458"/>
      <c r="EY162" s="458"/>
      <c r="EZ162" s="458"/>
      <c r="FA162" s="458"/>
      <c r="FB162" s="458"/>
      <c r="FC162" s="458"/>
      <c r="FD162" s="458"/>
      <c r="FE162" s="458"/>
      <c r="FF162" s="458"/>
      <c r="FG162" s="458"/>
      <c r="FH162" s="458"/>
      <c r="FI162" s="458"/>
      <c r="FJ162" s="458"/>
      <c r="FK162" s="458"/>
      <c r="FL162" s="458"/>
      <c r="FM162" s="458"/>
      <c r="FN162" s="458"/>
      <c r="FO162" s="458"/>
      <c r="FP162" s="458"/>
      <c r="FQ162" s="458"/>
      <c r="FR162" s="458"/>
      <c r="FS162" s="458"/>
      <c r="FT162" s="458"/>
      <c r="FU162" s="458"/>
      <c r="FV162" s="458"/>
      <c r="FW162" s="458"/>
      <c r="FX162" s="458"/>
      <c r="FY162" s="458"/>
      <c r="FZ162" s="458"/>
      <c r="GA162" s="458"/>
      <c r="GB162" s="458"/>
      <c r="GC162" s="458"/>
      <c r="GD162" s="458"/>
      <c r="GE162" s="458"/>
      <c r="GF162" s="458"/>
      <c r="GG162" s="458"/>
      <c r="GH162" s="458"/>
      <c r="GI162" s="458"/>
      <c r="GJ162" s="458"/>
      <c r="GK162" s="458"/>
      <c r="GL162" s="458"/>
      <c r="GM162" s="458"/>
      <c r="GN162" s="458"/>
      <c r="GO162" s="458"/>
      <c r="GP162" s="458"/>
      <c r="GQ162" s="458"/>
      <c r="GR162" s="458"/>
      <c r="GS162" s="458"/>
      <c r="GT162" s="458"/>
      <c r="GU162" s="458"/>
      <c r="GV162" s="458"/>
      <c r="GW162" s="458"/>
      <c r="GX162" s="458"/>
      <c r="GY162" s="458"/>
      <c r="GZ162" s="458"/>
      <c r="HA162" s="458"/>
      <c r="HB162" s="458"/>
      <c r="HC162" s="458"/>
      <c r="HD162" s="458"/>
      <c r="HE162" s="458"/>
      <c r="HF162" s="458"/>
      <c r="HG162" s="458"/>
      <c r="HH162" s="458"/>
      <c r="HI162" s="458"/>
      <c r="HJ162" s="458"/>
      <c r="HK162" s="458"/>
      <c r="HL162" s="458"/>
      <c r="HM162" s="458"/>
      <c r="HN162" s="458"/>
      <c r="HO162" s="458"/>
      <c r="HP162" s="458"/>
      <c r="HQ162" s="458"/>
      <c r="HR162" s="458"/>
      <c r="HS162" s="458"/>
      <c r="HT162" s="458"/>
      <c r="HU162" s="458"/>
      <c r="HV162" s="458"/>
      <c r="HW162" s="458"/>
      <c r="HX162" s="458"/>
      <c r="HY162" s="458"/>
      <c r="HZ162" s="458"/>
      <c r="IA162" s="458"/>
      <c r="IB162" s="458"/>
      <c r="IC162" s="458"/>
      <c r="ID162" s="458"/>
      <c r="IE162" s="458"/>
      <c r="IF162" s="458"/>
      <c r="IG162" s="458"/>
      <c r="IH162" s="458"/>
      <c r="II162" s="458"/>
      <c r="IJ162" s="458"/>
      <c r="IK162" s="458"/>
      <c r="IL162" s="458"/>
      <c r="IM162" s="458"/>
      <c r="IN162" s="458"/>
      <c r="IO162" s="458"/>
      <c r="IP162" s="458"/>
      <c r="IQ162" s="458"/>
      <c r="IR162" s="458"/>
      <c r="IS162" s="458"/>
    </row>
    <row r="163" spans="1:253" s="455" customFormat="1" ht="45" x14ac:dyDescent="0.2">
      <c r="A163" s="444">
        <v>2500</v>
      </c>
      <c r="B163" s="445" t="s">
        <v>51</v>
      </c>
      <c r="C163" s="445" t="s">
        <v>52</v>
      </c>
      <c r="D163" s="445" t="s">
        <v>91</v>
      </c>
      <c r="E163" s="445"/>
      <c r="F163" s="445"/>
      <c r="G163" s="446">
        <v>58</v>
      </c>
      <c r="H163" s="445">
        <v>60</v>
      </c>
      <c r="I163" s="445"/>
      <c r="J163" s="445">
        <v>3</v>
      </c>
      <c r="K163" s="447">
        <v>4</v>
      </c>
      <c r="L163" s="445"/>
      <c r="M163" s="445">
        <v>3</v>
      </c>
      <c r="N163" s="445" t="s">
        <v>202</v>
      </c>
      <c r="O163" s="449" t="s">
        <v>1152</v>
      </c>
      <c r="P163" s="450">
        <v>5.7670000000000003</v>
      </c>
      <c r="Q163" s="451">
        <f t="shared" si="4"/>
        <v>5.7670000000000003</v>
      </c>
      <c r="R163" s="451">
        <f>SUMIF('Wege im Detail'!$A:$A,"2500",'Wege im Detail'!$P:$P)</f>
        <v>21.032</v>
      </c>
      <c r="S163" s="452" t="s">
        <v>205</v>
      </c>
      <c r="T163" s="453">
        <v>43160</v>
      </c>
      <c r="U163" s="448"/>
      <c r="V163" s="457" t="s">
        <v>58</v>
      </c>
      <c r="W163" s="448"/>
    </row>
    <row r="164" spans="1:253" s="455" customFormat="1" ht="56.25" x14ac:dyDescent="0.2">
      <c r="A164" s="444">
        <v>2503</v>
      </c>
      <c r="B164" s="445" t="s">
        <v>51</v>
      </c>
      <c r="C164" s="445" t="s">
        <v>52</v>
      </c>
      <c r="D164" s="445" t="s">
        <v>91</v>
      </c>
      <c r="E164" s="445"/>
      <c r="F164" s="445"/>
      <c r="G164" s="446">
        <v>57</v>
      </c>
      <c r="H164" s="445">
        <v>63</v>
      </c>
      <c r="I164" s="445"/>
      <c r="J164" s="445">
        <v>1</v>
      </c>
      <c r="K164" s="447">
        <v>3</v>
      </c>
      <c r="L164" s="445"/>
      <c r="M164" s="445">
        <v>3</v>
      </c>
      <c r="N164" s="445" t="s">
        <v>202</v>
      </c>
      <c r="O164" s="449" t="s">
        <v>1153</v>
      </c>
      <c r="P164" s="450">
        <v>5.0339999999999998</v>
      </c>
      <c r="Q164" s="451">
        <f t="shared" si="4"/>
        <v>5.0339999999999998</v>
      </c>
      <c r="R164" s="451">
        <f>SUMIF('Wege im Detail'!$A:$A,"2503",'Wege im Detail'!$P:$P)</f>
        <v>10.542999999999999</v>
      </c>
      <c r="S164" s="452" t="s">
        <v>207</v>
      </c>
      <c r="T164" s="453">
        <v>42795</v>
      </c>
      <c r="U164" s="448"/>
      <c r="W164" s="448"/>
    </row>
    <row r="165" spans="1:253" s="455" customFormat="1" ht="45" x14ac:dyDescent="0.2">
      <c r="A165" s="444">
        <v>2503</v>
      </c>
      <c r="B165" s="445" t="s">
        <v>51</v>
      </c>
      <c r="C165" s="445" t="s">
        <v>52</v>
      </c>
      <c r="D165" s="445" t="s">
        <v>91</v>
      </c>
      <c r="E165" s="445"/>
      <c r="F165" s="445"/>
      <c r="G165" s="446">
        <v>57</v>
      </c>
      <c r="H165" s="445">
        <v>63</v>
      </c>
      <c r="I165" s="445"/>
      <c r="J165" s="445">
        <v>2</v>
      </c>
      <c r="K165" s="447">
        <v>3</v>
      </c>
      <c r="L165" s="445"/>
      <c r="M165" s="445">
        <v>3</v>
      </c>
      <c r="N165" s="445" t="s">
        <v>220</v>
      </c>
      <c r="O165" s="449" t="s">
        <v>1154</v>
      </c>
      <c r="P165" s="450">
        <v>1.679</v>
      </c>
      <c r="Q165" s="451">
        <f t="shared" si="4"/>
        <v>1.679</v>
      </c>
      <c r="R165" s="451">
        <f>SUMIF('Wege im Detail'!$A:$A,"2503",'Wege im Detail'!$P:$P)</f>
        <v>10.542999999999999</v>
      </c>
      <c r="S165" s="452" t="s">
        <v>207</v>
      </c>
      <c r="T165" s="453">
        <v>42795</v>
      </c>
      <c r="U165" s="448"/>
      <c r="W165" s="448"/>
      <c r="X165" s="458"/>
      <c r="Y165" s="458"/>
      <c r="Z165" s="458"/>
      <c r="AA165" s="458"/>
      <c r="AB165" s="458"/>
      <c r="AC165" s="458"/>
      <c r="AD165" s="458"/>
      <c r="AE165" s="458"/>
      <c r="AF165" s="458"/>
      <c r="AG165" s="458"/>
      <c r="AH165" s="458"/>
      <c r="AI165" s="458"/>
      <c r="AJ165" s="458"/>
      <c r="AK165" s="458"/>
      <c r="AL165" s="458"/>
      <c r="AM165" s="458"/>
      <c r="AN165" s="458"/>
      <c r="AO165" s="458"/>
      <c r="AP165" s="458"/>
      <c r="AQ165" s="458"/>
      <c r="AR165" s="458"/>
      <c r="AS165" s="458"/>
      <c r="AT165" s="458"/>
      <c r="AU165" s="458"/>
      <c r="AV165" s="458"/>
      <c r="AW165" s="458"/>
      <c r="AX165" s="458"/>
      <c r="AY165" s="458"/>
      <c r="AZ165" s="458"/>
      <c r="BA165" s="458"/>
      <c r="BB165" s="458"/>
      <c r="BC165" s="458"/>
      <c r="BD165" s="458"/>
      <c r="BE165" s="458"/>
      <c r="BF165" s="458"/>
      <c r="BG165" s="458"/>
      <c r="BH165" s="458"/>
      <c r="BI165" s="458"/>
      <c r="BJ165" s="458"/>
      <c r="BK165" s="458"/>
      <c r="BL165" s="458"/>
      <c r="BM165" s="458"/>
      <c r="BN165" s="458"/>
      <c r="BO165" s="458"/>
      <c r="BP165" s="458"/>
      <c r="BQ165" s="458"/>
      <c r="BR165" s="458"/>
      <c r="BS165" s="458"/>
      <c r="BT165" s="458"/>
      <c r="BU165" s="458"/>
      <c r="BV165" s="458"/>
      <c r="BW165" s="458"/>
      <c r="BX165" s="458"/>
      <c r="BY165" s="458"/>
      <c r="BZ165" s="458"/>
      <c r="CA165" s="458"/>
      <c r="CB165" s="458"/>
      <c r="CC165" s="458"/>
      <c r="CD165" s="458"/>
      <c r="CE165" s="458"/>
      <c r="CF165" s="458"/>
      <c r="CG165" s="458"/>
      <c r="CH165" s="458"/>
      <c r="CI165" s="458"/>
      <c r="CJ165" s="458"/>
      <c r="CK165" s="458"/>
      <c r="CL165" s="458"/>
      <c r="CM165" s="458"/>
      <c r="CN165" s="458"/>
      <c r="CO165" s="458"/>
      <c r="CP165" s="458"/>
      <c r="CQ165" s="458"/>
      <c r="CR165" s="458"/>
      <c r="CS165" s="458"/>
      <c r="CT165" s="458"/>
      <c r="CU165" s="458"/>
      <c r="CV165" s="458"/>
      <c r="CW165" s="458"/>
      <c r="CX165" s="458"/>
      <c r="CY165" s="458"/>
      <c r="CZ165" s="458"/>
      <c r="DA165" s="458"/>
      <c r="DB165" s="458"/>
      <c r="DC165" s="458"/>
      <c r="DD165" s="458"/>
      <c r="DE165" s="458"/>
      <c r="DF165" s="458"/>
      <c r="DG165" s="458"/>
      <c r="DH165" s="458"/>
      <c r="DI165" s="458"/>
      <c r="DJ165" s="458"/>
      <c r="DK165" s="458"/>
      <c r="DL165" s="458"/>
      <c r="DM165" s="458"/>
      <c r="DN165" s="458"/>
      <c r="DO165" s="458"/>
      <c r="DP165" s="458"/>
      <c r="DQ165" s="458"/>
      <c r="DR165" s="458"/>
      <c r="DS165" s="458"/>
      <c r="DT165" s="458"/>
      <c r="DU165" s="458"/>
      <c r="DV165" s="458"/>
      <c r="DW165" s="458"/>
      <c r="DX165" s="458"/>
      <c r="DY165" s="458"/>
      <c r="DZ165" s="458"/>
      <c r="EA165" s="458"/>
      <c r="EB165" s="458"/>
      <c r="EC165" s="458"/>
      <c r="ED165" s="458"/>
      <c r="EE165" s="458"/>
      <c r="EF165" s="458"/>
      <c r="EG165" s="458"/>
      <c r="EH165" s="458"/>
      <c r="EI165" s="458"/>
      <c r="EJ165" s="458"/>
      <c r="EK165" s="458"/>
      <c r="EL165" s="458"/>
      <c r="EM165" s="458"/>
      <c r="EN165" s="458"/>
      <c r="EO165" s="458"/>
      <c r="EP165" s="458"/>
      <c r="EQ165" s="458"/>
      <c r="ER165" s="458"/>
      <c r="ES165" s="458"/>
      <c r="ET165" s="458"/>
      <c r="EU165" s="458"/>
      <c r="EV165" s="458"/>
      <c r="EW165" s="458"/>
      <c r="EX165" s="458"/>
      <c r="EY165" s="458"/>
      <c r="EZ165" s="458"/>
      <c r="FA165" s="458"/>
      <c r="FB165" s="458"/>
      <c r="FC165" s="458"/>
      <c r="FD165" s="458"/>
      <c r="FE165" s="458"/>
      <c r="FF165" s="458"/>
      <c r="FG165" s="458"/>
      <c r="FH165" s="458"/>
      <c r="FI165" s="458"/>
      <c r="FJ165" s="458"/>
      <c r="FK165" s="458"/>
      <c r="FL165" s="458"/>
      <c r="FM165" s="458"/>
      <c r="FN165" s="458"/>
      <c r="FO165" s="458"/>
      <c r="FP165" s="458"/>
      <c r="FQ165" s="458"/>
      <c r="FR165" s="458"/>
      <c r="FS165" s="458"/>
      <c r="FT165" s="458"/>
      <c r="FU165" s="458"/>
      <c r="FV165" s="458"/>
      <c r="FW165" s="458"/>
      <c r="FX165" s="458"/>
      <c r="FY165" s="458"/>
      <c r="FZ165" s="458"/>
      <c r="GA165" s="458"/>
      <c r="GB165" s="458"/>
      <c r="GC165" s="458"/>
      <c r="GD165" s="458"/>
      <c r="GE165" s="458"/>
      <c r="GF165" s="458"/>
      <c r="GG165" s="458"/>
      <c r="GH165" s="458"/>
      <c r="GI165" s="458"/>
      <c r="GJ165" s="458"/>
      <c r="GK165" s="458"/>
      <c r="GL165" s="458"/>
      <c r="GM165" s="458"/>
      <c r="GN165" s="458"/>
      <c r="GO165" s="458"/>
      <c r="GP165" s="458"/>
      <c r="GQ165" s="458"/>
      <c r="GR165" s="458"/>
      <c r="GS165" s="458"/>
      <c r="GT165" s="458"/>
      <c r="GU165" s="458"/>
      <c r="GV165" s="458"/>
      <c r="GW165" s="458"/>
      <c r="GX165" s="458"/>
      <c r="GY165" s="458"/>
      <c r="GZ165" s="458"/>
      <c r="HA165" s="458"/>
      <c r="HB165" s="458"/>
      <c r="HC165" s="458"/>
      <c r="HD165" s="458"/>
      <c r="HE165" s="458"/>
      <c r="HF165" s="458"/>
      <c r="HG165" s="458"/>
      <c r="HH165" s="458"/>
      <c r="HI165" s="458"/>
      <c r="HJ165" s="458"/>
      <c r="HK165" s="458"/>
      <c r="HL165" s="458"/>
      <c r="HM165" s="458"/>
      <c r="HN165" s="458"/>
      <c r="HO165" s="458"/>
      <c r="HP165" s="458"/>
      <c r="HQ165" s="458"/>
      <c r="HR165" s="458"/>
      <c r="HS165" s="458"/>
      <c r="HT165" s="458"/>
      <c r="HU165" s="458"/>
      <c r="HV165" s="458"/>
      <c r="HW165" s="458"/>
      <c r="HX165" s="458"/>
      <c r="HY165" s="458"/>
      <c r="HZ165" s="458"/>
      <c r="IA165" s="458"/>
      <c r="IB165" s="458"/>
      <c r="IC165" s="458"/>
      <c r="ID165" s="458"/>
      <c r="IE165" s="458"/>
      <c r="IF165" s="458"/>
      <c r="IG165" s="458"/>
      <c r="IH165" s="458"/>
      <c r="II165" s="458"/>
      <c r="IJ165" s="458"/>
      <c r="IK165" s="458"/>
      <c r="IL165" s="458"/>
      <c r="IM165" s="458"/>
      <c r="IN165" s="458"/>
      <c r="IO165" s="458"/>
      <c r="IP165" s="458"/>
      <c r="IQ165" s="458"/>
      <c r="IR165" s="458"/>
      <c r="IS165" s="458"/>
    </row>
    <row r="166" spans="1:253" s="458" customFormat="1" ht="45" x14ac:dyDescent="0.2">
      <c r="A166" s="444">
        <v>2503</v>
      </c>
      <c r="B166" s="445" t="s">
        <v>51</v>
      </c>
      <c r="C166" s="445" t="s">
        <v>52</v>
      </c>
      <c r="D166" s="445" t="s">
        <v>91</v>
      </c>
      <c r="E166" s="445"/>
      <c r="F166" s="445"/>
      <c r="G166" s="446">
        <v>57</v>
      </c>
      <c r="H166" s="445">
        <v>63</v>
      </c>
      <c r="I166" s="445"/>
      <c r="J166" s="445">
        <v>3</v>
      </c>
      <c r="K166" s="447">
        <v>3</v>
      </c>
      <c r="L166" s="445"/>
      <c r="M166" s="445">
        <v>3</v>
      </c>
      <c r="N166" s="445" t="s">
        <v>206</v>
      </c>
      <c r="O166" s="449" t="s">
        <v>1155</v>
      </c>
      <c r="P166" s="450">
        <v>3.83</v>
      </c>
      <c r="Q166" s="451">
        <f t="shared" si="4"/>
        <v>3.83</v>
      </c>
      <c r="R166" s="451">
        <f>SUMIF('Wege im Detail'!$A:$A,"2503",'Wege im Detail'!$P:$P)</f>
        <v>10.542999999999999</v>
      </c>
      <c r="S166" s="452" t="s">
        <v>207</v>
      </c>
      <c r="T166" s="453">
        <v>42795</v>
      </c>
      <c r="U166" s="448"/>
      <c r="V166" s="455"/>
      <c r="W166" s="448"/>
      <c r="X166" s="455"/>
      <c r="Y166" s="455"/>
      <c r="Z166" s="455"/>
      <c r="AA166" s="455"/>
      <c r="AB166" s="455"/>
      <c r="AC166" s="455"/>
      <c r="AD166" s="455"/>
      <c r="AE166" s="455"/>
      <c r="AF166" s="455"/>
      <c r="AG166" s="455"/>
      <c r="AH166" s="455"/>
      <c r="AI166" s="455"/>
      <c r="AJ166" s="455"/>
      <c r="AK166" s="455"/>
      <c r="AL166" s="455"/>
      <c r="AM166" s="455"/>
      <c r="AN166" s="455"/>
      <c r="AO166" s="455"/>
      <c r="AP166" s="455"/>
      <c r="AQ166" s="455"/>
      <c r="AR166" s="455"/>
      <c r="AS166" s="455"/>
      <c r="AT166" s="455"/>
      <c r="AU166" s="455"/>
      <c r="AV166" s="455"/>
      <c r="AW166" s="455"/>
      <c r="AX166" s="455"/>
      <c r="AY166" s="455"/>
      <c r="AZ166" s="455"/>
      <c r="BA166" s="455"/>
      <c r="BB166" s="455"/>
      <c r="BC166" s="455"/>
      <c r="BD166" s="455"/>
      <c r="BE166" s="455"/>
      <c r="BF166" s="455"/>
      <c r="BG166" s="455"/>
      <c r="BH166" s="455"/>
      <c r="BI166" s="455"/>
      <c r="BJ166" s="455"/>
      <c r="BK166" s="455"/>
      <c r="BL166" s="455"/>
      <c r="BM166" s="455"/>
      <c r="BN166" s="455"/>
      <c r="BO166" s="455"/>
      <c r="BP166" s="455"/>
      <c r="BQ166" s="455"/>
      <c r="BR166" s="455"/>
      <c r="BS166" s="455"/>
      <c r="BT166" s="455"/>
      <c r="BU166" s="455"/>
      <c r="BV166" s="455"/>
      <c r="BW166" s="455"/>
      <c r="BX166" s="455"/>
      <c r="BY166" s="455"/>
      <c r="BZ166" s="455"/>
      <c r="CA166" s="455"/>
      <c r="CB166" s="455"/>
      <c r="CC166" s="455"/>
      <c r="CD166" s="455"/>
      <c r="CE166" s="455"/>
      <c r="CF166" s="455"/>
      <c r="CG166" s="455"/>
      <c r="CH166" s="455"/>
      <c r="CI166" s="455"/>
      <c r="CJ166" s="455"/>
      <c r="CK166" s="455"/>
      <c r="CL166" s="455"/>
      <c r="CM166" s="455"/>
      <c r="CN166" s="455"/>
      <c r="CO166" s="455"/>
      <c r="CP166" s="455"/>
      <c r="CQ166" s="455"/>
      <c r="CR166" s="455"/>
      <c r="CS166" s="455"/>
      <c r="CT166" s="455"/>
      <c r="CU166" s="455"/>
      <c r="CV166" s="455"/>
      <c r="CW166" s="455"/>
      <c r="CX166" s="455"/>
      <c r="CY166" s="455"/>
      <c r="CZ166" s="455"/>
      <c r="DA166" s="455"/>
      <c r="DB166" s="455"/>
      <c r="DC166" s="455"/>
      <c r="DD166" s="455"/>
      <c r="DE166" s="455"/>
      <c r="DF166" s="455"/>
      <c r="DG166" s="455"/>
      <c r="DH166" s="455"/>
      <c r="DI166" s="455"/>
      <c r="DJ166" s="455"/>
      <c r="DK166" s="455"/>
      <c r="DL166" s="455"/>
      <c r="DM166" s="455"/>
      <c r="DN166" s="455"/>
      <c r="DO166" s="455"/>
      <c r="DP166" s="455"/>
      <c r="DQ166" s="455"/>
      <c r="DR166" s="455"/>
      <c r="DS166" s="455"/>
      <c r="DT166" s="455"/>
      <c r="DU166" s="455"/>
      <c r="DV166" s="455"/>
      <c r="DW166" s="455"/>
      <c r="DX166" s="455"/>
      <c r="DY166" s="455"/>
      <c r="DZ166" s="455"/>
      <c r="EA166" s="455"/>
      <c r="EB166" s="455"/>
      <c r="EC166" s="455"/>
      <c r="ED166" s="455"/>
      <c r="EE166" s="455"/>
      <c r="EF166" s="455"/>
      <c r="EG166" s="455"/>
      <c r="EH166" s="455"/>
      <c r="EI166" s="455"/>
      <c r="EJ166" s="455"/>
      <c r="EK166" s="455"/>
      <c r="EL166" s="455"/>
      <c r="EM166" s="455"/>
      <c r="EN166" s="455"/>
      <c r="EO166" s="455"/>
      <c r="EP166" s="455"/>
      <c r="EQ166" s="455"/>
      <c r="ER166" s="455"/>
      <c r="ES166" s="455"/>
      <c r="ET166" s="455"/>
      <c r="EU166" s="455"/>
      <c r="EV166" s="455"/>
      <c r="EW166" s="455"/>
      <c r="EX166" s="455"/>
      <c r="EY166" s="455"/>
      <c r="EZ166" s="455"/>
      <c r="FA166" s="455"/>
      <c r="FB166" s="455"/>
      <c r="FC166" s="455"/>
      <c r="FD166" s="455"/>
      <c r="FE166" s="455"/>
      <c r="FF166" s="455"/>
      <c r="FG166" s="455"/>
      <c r="FH166" s="455"/>
      <c r="FI166" s="455"/>
      <c r="FJ166" s="455"/>
      <c r="FK166" s="455"/>
      <c r="FL166" s="455"/>
      <c r="FM166" s="455"/>
      <c r="FN166" s="455"/>
      <c r="FO166" s="455"/>
      <c r="FP166" s="455"/>
      <c r="FQ166" s="455"/>
      <c r="FR166" s="455"/>
      <c r="FS166" s="455"/>
      <c r="FT166" s="455"/>
      <c r="FU166" s="455"/>
      <c r="FV166" s="455"/>
      <c r="FW166" s="455"/>
      <c r="FX166" s="455"/>
      <c r="FY166" s="455"/>
      <c r="FZ166" s="455"/>
      <c r="GA166" s="455"/>
      <c r="GB166" s="455"/>
      <c r="GC166" s="455"/>
      <c r="GD166" s="455"/>
      <c r="GE166" s="455"/>
      <c r="GF166" s="455"/>
      <c r="GG166" s="455"/>
      <c r="GH166" s="455"/>
      <c r="GI166" s="455"/>
      <c r="GJ166" s="455"/>
      <c r="GK166" s="455"/>
      <c r="GL166" s="455"/>
      <c r="GM166" s="455"/>
      <c r="GN166" s="455"/>
      <c r="GO166" s="455"/>
      <c r="GP166" s="455"/>
      <c r="GQ166" s="455"/>
      <c r="GR166" s="455"/>
      <c r="GS166" s="455"/>
      <c r="GT166" s="455"/>
      <c r="GU166" s="455"/>
      <c r="GV166" s="455"/>
      <c r="GW166" s="455"/>
      <c r="GX166" s="455"/>
      <c r="GY166" s="455"/>
      <c r="GZ166" s="455"/>
      <c r="HA166" s="455"/>
      <c r="HB166" s="455"/>
      <c r="HC166" s="455"/>
      <c r="HD166" s="455"/>
      <c r="HE166" s="455"/>
      <c r="HF166" s="455"/>
      <c r="HG166" s="455"/>
      <c r="HH166" s="455"/>
      <c r="HI166" s="455"/>
      <c r="HJ166" s="455"/>
      <c r="HK166" s="455"/>
      <c r="HL166" s="455"/>
      <c r="HM166" s="455"/>
      <c r="HN166" s="455"/>
      <c r="HO166" s="455"/>
      <c r="HP166" s="455"/>
      <c r="HQ166" s="455"/>
      <c r="HR166" s="455"/>
      <c r="HS166" s="455"/>
      <c r="HT166" s="455"/>
      <c r="HU166" s="455"/>
      <c r="HV166" s="455"/>
      <c r="HW166" s="455"/>
      <c r="HX166" s="455"/>
      <c r="HY166" s="455"/>
      <c r="HZ166" s="455"/>
      <c r="IA166" s="455"/>
      <c r="IB166" s="455"/>
      <c r="IC166" s="455"/>
      <c r="ID166" s="455"/>
      <c r="IE166" s="455"/>
      <c r="IF166" s="455"/>
      <c r="IG166" s="455"/>
      <c r="IH166" s="455"/>
      <c r="II166" s="455"/>
      <c r="IJ166" s="455"/>
      <c r="IK166" s="455"/>
      <c r="IL166" s="455"/>
      <c r="IM166" s="455"/>
      <c r="IN166" s="455"/>
      <c r="IO166" s="455"/>
      <c r="IP166" s="455"/>
      <c r="IQ166" s="455"/>
      <c r="IR166" s="455"/>
      <c r="IS166" s="455"/>
    </row>
    <row r="167" spans="1:253" s="458" customFormat="1" ht="45" x14ac:dyDescent="0.2">
      <c r="A167" s="444">
        <v>2506</v>
      </c>
      <c r="B167" s="445" t="s">
        <v>51</v>
      </c>
      <c r="C167" s="445" t="s">
        <v>52</v>
      </c>
      <c r="D167" s="445" t="s">
        <v>91</v>
      </c>
      <c r="E167" s="445"/>
      <c r="F167" s="445"/>
      <c r="G167" s="446">
        <v>57</v>
      </c>
      <c r="H167" s="445">
        <v>69</v>
      </c>
      <c r="I167" s="445"/>
      <c r="J167" s="445">
        <v>1</v>
      </c>
      <c r="K167" s="447">
        <v>1</v>
      </c>
      <c r="L167" s="445"/>
      <c r="M167" s="445">
        <v>5</v>
      </c>
      <c r="N167" s="445" t="s">
        <v>208</v>
      </c>
      <c r="O167" s="449" t="s">
        <v>1156</v>
      </c>
      <c r="P167" s="450">
        <v>3.6760000000000002</v>
      </c>
      <c r="Q167" s="451">
        <f t="shared" si="4"/>
        <v>3.6760000000000002</v>
      </c>
      <c r="R167" s="451">
        <f>SUMIF('Wege im Detail'!$A:$A,"2506",'Wege im Detail'!$P:$P)</f>
        <v>3.6760000000000002</v>
      </c>
      <c r="S167" s="452" t="s">
        <v>209</v>
      </c>
      <c r="T167" s="453">
        <v>42795</v>
      </c>
      <c r="U167" s="448"/>
      <c r="V167" s="457" t="s">
        <v>58</v>
      </c>
      <c r="W167" s="448"/>
    </row>
    <row r="168" spans="1:253" s="458" customFormat="1" ht="45" x14ac:dyDescent="0.2">
      <c r="A168" s="444">
        <v>2511</v>
      </c>
      <c r="B168" s="445" t="s">
        <v>51</v>
      </c>
      <c r="C168" s="445" t="s">
        <v>52</v>
      </c>
      <c r="D168" s="445" t="s">
        <v>91</v>
      </c>
      <c r="E168" s="445"/>
      <c r="F168" s="445"/>
      <c r="G168" s="446">
        <v>51</v>
      </c>
      <c r="H168" s="445">
        <v>76</v>
      </c>
      <c r="I168" s="445"/>
      <c r="J168" s="445">
        <v>1</v>
      </c>
      <c r="K168" s="447">
        <v>1</v>
      </c>
      <c r="L168" s="445"/>
      <c r="M168" s="445">
        <v>5</v>
      </c>
      <c r="N168" s="445" t="s">
        <v>208</v>
      </c>
      <c r="O168" s="449" t="s">
        <v>1157</v>
      </c>
      <c r="P168" s="450">
        <v>5.5620000000000003</v>
      </c>
      <c r="Q168" s="451">
        <f t="shared" si="4"/>
        <v>5.5620000000000003</v>
      </c>
      <c r="R168" s="451">
        <f>SUMIF('Wege im Detail'!$A:$A,"2511",'Wege im Detail'!$P:$P)</f>
        <v>5.5620000000000003</v>
      </c>
      <c r="S168" s="452" t="s">
        <v>210</v>
      </c>
      <c r="T168" s="453">
        <v>42917</v>
      </c>
      <c r="U168" s="448"/>
      <c r="V168" s="457" t="s">
        <v>58</v>
      </c>
      <c r="W168" s="448"/>
    </row>
    <row r="169" spans="1:253" s="458" customFormat="1" ht="45" x14ac:dyDescent="0.2">
      <c r="A169" s="444">
        <v>2512</v>
      </c>
      <c r="B169" s="445" t="s">
        <v>51</v>
      </c>
      <c r="C169" s="445" t="s">
        <v>52</v>
      </c>
      <c r="D169" s="445" t="s">
        <v>91</v>
      </c>
      <c r="E169" s="445"/>
      <c r="F169" s="445"/>
      <c r="G169" s="446">
        <v>68</v>
      </c>
      <c r="H169" s="445">
        <v>71</v>
      </c>
      <c r="I169" s="445"/>
      <c r="J169" s="445">
        <v>1</v>
      </c>
      <c r="K169" s="447">
        <v>2</v>
      </c>
      <c r="L169" s="445"/>
      <c r="M169" s="445">
        <v>5</v>
      </c>
      <c r="N169" s="445" t="s">
        <v>208</v>
      </c>
      <c r="O169" s="449" t="s">
        <v>1158</v>
      </c>
      <c r="P169" s="450">
        <v>3.4060000000000001</v>
      </c>
      <c r="Q169" s="451">
        <f t="shared" si="4"/>
        <v>3.4060000000000001</v>
      </c>
      <c r="R169" s="451">
        <f>SUMIF('Wege im Detail'!$A:$A,"2512",'Wege im Detail'!$P:$P)</f>
        <v>3.96</v>
      </c>
      <c r="S169" s="452" t="s">
        <v>1159</v>
      </c>
      <c r="T169" s="453">
        <v>42917</v>
      </c>
      <c r="U169" s="448"/>
      <c r="V169" s="457" t="s">
        <v>58</v>
      </c>
      <c r="W169" s="448"/>
    </row>
    <row r="170" spans="1:253" s="458" customFormat="1" ht="45" x14ac:dyDescent="0.2">
      <c r="A170" s="444">
        <v>2512</v>
      </c>
      <c r="B170" s="445" t="s">
        <v>51</v>
      </c>
      <c r="C170" s="445" t="s">
        <v>52</v>
      </c>
      <c r="D170" s="445" t="s">
        <v>91</v>
      </c>
      <c r="E170" s="445"/>
      <c r="F170" s="445"/>
      <c r="G170" s="446">
        <v>68</v>
      </c>
      <c r="H170" s="445">
        <v>71</v>
      </c>
      <c r="I170" s="445"/>
      <c r="J170" s="445">
        <v>2</v>
      </c>
      <c r="K170" s="447">
        <v>2</v>
      </c>
      <c r="L170" s="445"/>
      <c r="M170" s="445">
        <v>5</v>
      </c>
      <c r="N170" s="445" t="s">
        <v>181</v>
      </c>
      <c r="O170" s="449" t="s">
        <v>1160</v>
      </c>
      <c r="P170" s="450">
        <v>0.55400000000000005</v>
      </c>
      <c r="Q170" s="451">
        <f t="shared" si="4"/>
        <v>0.55400000000000005</v>
      </c>
      <c r="R170" s="451">
        <f>SUMIF('Wege im Detail'!$A:$A,"2512",'Wege im Detail'!$P:$P)</f>
        <v>3.96</v>
      </c>
      <c r="S170" s="452" t="s">
        <v>1159</v>
      </c>
      <c r="T170" s="453">
        <v>42917</v>
      </c>
      <c r="U170" s="448"/>
      <c r="V170" s="457" t="s">
        <v>58</v>
      </c>
      <c r="W170" s="448"/>
    </row>
    <row r="171" spans="1:253" s="458" customFormat="1" ht="33.75" x14ac:dyDescent="0.2">
      <c r="A171" s="444">
        <v>2513</v>
      </c>
      <c r="B171" s="445" t="s">
        <v>51</v>
      </c>
      <c r="C171" s="445" t="s">
        <v>52</v>
      </c>
      <c r="D171" s="445" t="s">
        <v>91</v>
      </c>
      <c r="E171" s="445"/>
      <c r="F171" s="445"/>
      <c r="G171" s="446">
        <v>51</v>
      </c>
      <c r="H171" s="445">
        <v>72</v>
      </c>
      <c r="I171" s="445"/>
      <c r="J171" s="445">
        <v>1</v>
      </c>
      <c r="K171" s="447">
        <v>2</v>
      </c>
      <c r="L171" s="445"/>
      <c r="M171" s="445">
        <v>5</v>
      </c>
      <c r="N171" s="445" t="s">
        <v>208</v>
      </c>
      <c r="O171" s="449" t="s">
        <v>1161</v>
      </c>
      <c r="P171" s="450">
        <v>3.8380000000000001</v>
      </c>
      <c r="Q171" s="451">
        <f t="shared" si="4"/>
        <v>3.8380000000000001</v>
      </c>
      <c r="R171" s="451">
        <f>SUMIF('Wege im Detail'!$A:$A,"2513",'Wege im Detail'!$P:$P)</f>
        <v>4.1530000000000005</v>
      </c>
      <c r="S171" s="452" t="s">
        <v>213</v>
      </c>
      <c r="T171" s="453">
        <v>43221</v>
      </c>
      <c r="U171" s="448"/>
      <c r="V171" s="457" t="s">
        <v>58</v>
      </c>
      <c r="W171" s="448"/>
    </row>
    <row r="172" spans="1:253" s="458" customFormat="1" ht="33.75" x14ac:dyDescent="0.2">
      <c r="A172" s="444">
        <v>2513</v>
      </c>
      <c r="B172" s="445" t="s">
        <v>51</v>
      </c>
      <c r="C172" s="445" t="s">
        <v>52</v>
      </c>
      <c r="D172" s="445" t="s">
        <v>91</v>
      </c>
      <c r="E172" s="445"/>
      <c r="F172" s="445"/>
      <c r="G172" s="446">
        <v>51</v>
      </c>
      <c r="H172" s="445">
        <v>72</v>
      </c>
      <c r="I172" s="445"/>
      <c r="J172" s="445">
        <v>2</v>
      </c>
      <c r="K172" s="447">
        <v>2</v>
      </c>
      <c r="L172" s="445"/>
      <c r="M172" s="445">
        <v>5</v>
      </c>
      <c r="N172" s="445" t="s">
        <v>181</v>
      </c>
      <c r="O172" s="449" t="s">
        <v>1162</v>
      </c>
      <c r="P172" s="450">
        <v>0.315</v>
      </c>
      <c r="Q172" s="451">
        <f t="shared" si="4"/>
        <v>0.315</v>
      </c>
      <c r="R172" s="451">
        <f>SUMIF('Wege im Detail'!$A:$A,"2513",'Wege im Detail'!$P:$P)</f>
        <v>4.1530000000000005</v>
      </c>
      <c r="S172" s="452" t="s">
        <v>213</v>
      </c>
      <c r="T172" s="453">
        <v>43221</v>
      </c>
      <c r="U172" s="448"/>
      <c r="V172" s="457" t="s">
        <v>58</v>
      </c>
      <c r="W172" s="448"/>
    </row>
    <row r="173" spans="1:253" s="458" customFormat="1" ht="45" x14ac:dyDescent="0.2">
      <c r="A173" s="444">
        <v>2521</v>
      </c>
      <c r="B173" s="445" t="s">
        <v>51</v>
      </c>
      <c r="C173" s="445" t="s">
        <v>52</v>
      </c>
      <c r="D173" s="445" t="s">
        <v>214</v>
      </c>
      <c r="E173" s="445"/>
      <c r="F173" s="470"/>
      <c r="G173" s="446">
        <v>34</v>
      </c>
      <c r="H173" s="445">
        <v>203</v>
      </c>
      <c r="I173" s="445"/>
      <c r="J173" s="445">
        <v>4</v>
      </c>
      <c r="K173" s="447">
        <v>4</v>
      </c>
      <c r="L173" s="445" t="s">
        <v>216</v>
      </c>
      <c r="M173" s="445">
        <v>5</v>
      </c>
      <c r="N173" s="445" t="s">
        <v>181</v>
      </c>
      <c r="O173" s="449" t="s">
        <v>1163</v>
      </c>
      <c r="P173" s="450">
        <v>3.9889999999999999</v>
      </c>
      <c r="Q173" s="451">
        <f t="shared" si="4"/>
        <v>3.9889999999999999</v>
      </c>
      <c r="R173" s="451">
        <f>SUMIF('Wege im Detail'!$A:$A,"2521",'Wege im Detail'!$P:$P)</f>
        <v>16.141000000000002</v>
      </c>
      <c r="S173" s="452" t="s">
        <v>1164</v>
      </c>
      <c r="T173" s="453">
        <v>43252</v>
      </c>
      <c r="U173" s="448"/>
      <c r="V173" s="455"/>
      <c r="W173" s="448"/>
    </row>
    <row r="174" spans="1:253" s="458" customFormat="1" ht="56.25" x14ac:dyDescent="0.2">
      <c r="A174" s="444">
        <v>2521</v>
      </c>
      <c r="B174" s="445" t="s">
        <v>51</v>
      </c>
      <c r="C174" s="445" t="s">
        <v>52</v>
      </c>
      <c r="D174" s="445" t="s">
        <v>214</v>
      </c>
      <c r="E174" s="445"/>
      <c r="F174" s="470"/>
      <c r="G174" s="446">
        <v>34</v>
      </c>
      <c r="H174" s="445">
        <v>203</v>
      </c>
      <c r="I174" s="445"/>
      <c r="J174" s="445">
        <v>1</v>
      </c>
      <c r="K174" s="447">
        <v>4</v>
      </c>
      <c r="L174" s="445" t="s">
        <v>216</v>
      </c>
      <c r="M174" s="445">
        <v>5</v>
      </c>
      <c r="N174" s="445" t="s">
        <v>72</v>
      </c>
      <c r="O174" s="449" t="s">
        <v>1165</v>
      </c>
      <c r="P174" s="450">
        <v>7.4009999999999998</v>
      </c>
      <c r="Q174" s="451">
        <f t="shared" si="4"/>
        <v>7.4009999999999998</v>
      </c>
      <c r="R174" s="451">
        <f>SUMIF('Wege im Detail'!$A:$A,"2521",'Wege im Detail'!$P:$P)</f>
        <v>16.141000000000002</v>
      </c>
      <c r="S174" s="452" t="s">
        <v>1164</v>
      </c>
      <c r="T174" s="453">
        <v>43252</v>
      </c>
      <c r="U174" s="448"/>
      <c r="V174" s="455"/>
      <c r="W174" s="448"/>
    </row>
    <row r="175" spans="1:253" s="458" customFormat="1" ht="45" x14ac:dyDescent="0.2">
      <c r="A175" s="444">
        <v>2521</v>
      </c>
      <c r="B175" s="445" t="s">
        <v>51</v>
      </c>
      <c r="C175" s="445" t="s">
        <v>52</v>
      </c>
      <c r="D175" s="445" t="s">
        <v>214</v>
      </c>
      <c r="E175" s="445"/>
      <c r="F175" s="470"/>
      <c r="G175" s="446">
        <v>34</v>
      </c>
      <c r="H175" s="445">
        <v>203</v>
      </c>
      <c r="I175" s="445"/>
      <c r="J175" s="445">
        <v>2</v>
      </c>
      <c r="K175" s="447">
        <v>4</v>
      </c>
      <c r="L175" s="445" t="s">
        <v>216</v>
      </c>
      <c r="M175" s="445">
        <v>2</v>
      </c>
      <c r="N175" s="445" t="s">
        <v>834</v>
      </c>
      <c r="O175" s="449" t="s">
        <v>1166</v>
      </c>
      <c r="P175" s="450">
        <v>1.8169999999999999</v>
      </c>
      <c r="Q175" s="451">
        <f t="shared" si="4"/>
        <v>1.8169999999999999</v>
      </c>
      <c r="R175" s="451">
        <f>SUMIF('Wege im Detail'!$A:$A,"2521",'Wege im Detail'!$P:$P)</f>
        <v>16.141000000000002</v>
      </c>
      <c r="S175" s="452" t="s">
        <v>1164</v>
      </c>
      <c r="T175" s="453">
        <v>43252</v>
      </c>
      <c r="U175" s="448"/>
      <c r="V175" s="455"/>
      <c r="W175" s="448"/>
    </row>
    <row r="176" spans="1:253" s="458" customFormat="1" ht="33.75" x14ac:dyDescent="0.2">
      <c r="A176" s="444">
        <v>2521</v>
      </c>
      <c r="B176" s="445" t="s">
        <v>51</v>
      </c>
      <c r="C176" s="445" t="s">
        <v>52</v>
      </c>
      <c r="D176" s="445" t="s">
        <v>214</v>
      </c>
      <c r="E176" s="445"/>
      <c r="F176" s="470"/>
      <c r="G176" s="446">
        <v>34</v>
      </c>
      <c r="H176" s="445">
        <v>203</v>
      </c>
      <c r="I176" s="445"/>
      <c r="J176" s="445">
        <v>3</v>
      </c>
      <c r="K176" s="447">
        <v>4</v>
      </c>
      <c r="L176" s="445" t="s">
        <v>216</v>
      </c>
      <c r="M176" s="445">
        <v>5</v>
      </c>
      <c r="N176" s="445" t="s">
        <v>208</v>
      </c>
      <c r="O176" s="449" t="s">
        <v>1167</v>
      </c>
      <c r="P176" s="450">
        <v>2.9340000000000002</v>
      </c>
      <c r="Q176" s="451">
        <f t="shared" si="4"/>
        <v>2.9340000000000002</v>
      </c>
      <c r="R176" s="451">
        <f>SUMIF('Wege im Detail'!$A:$A,"2521",'Wege im Detail'!$P:$P)</f>
        <v>16.141000000000002</v>
      </c>
      <c r="S176" s="452" t="s">
        <v>1164</v>
      </c>
      <c r="T176" s="453">
        <v>43252</v>
      </c>
      <c r="U176" s="448"/>
      <c r="V176" s="455"/>
      <c r="W176" s="448"/>
    </row>
    <row r="177" spans="1:253" s="458" customFormat="1" ht="45" x14ac:dyDescent="0.2">
      <c r="A177" s="444">
        <v>2523</v>
      </c>
      <c r="B177" s="445" t="s">
        <v>51</v>
      </c>
      <c r="C177" s="445" t="s">
        <v>52</v>
      </c>
      <c r="D177" s="445" t="s">
        <v>91</v>
      </c>
      <c r="E177" s="445"/>
      <c r="F177" s="479"/>
      <c r="G177" s="473" t="s">
        <v>1168</v>
      </c>
      <c r="H177" s="445">
        <v>62</v>
      </c>
      <c r="I177" s="445"/>
      <c r="J177" s="445">
        <v>1</v>
      </c>
      <c r="K177" s="447">
        <v>3</v>
      </c>
      <c r="L177" s="448" t="s">
        <v>219</v>
      </c>
      <c r="M177" s="445">
        <v>3</v>
      </c>
      <c r="N177" s="445" t="s">
        <v>106</v>
      </c>
      <c r="O177" s="449" t="s">
        <v>1169</v>
      </c>
      <c r="P177" s="450">
        <v>1.4410000000000001</v>
      </c>
      <c r="Q177" s="451">
        <f t="shared" si="4"/>
        <v>1.4410000000000001</v>
      </c>
      <c r="R177" s="451">
        <f>SUMIF('Wege im Detail'!$A:$A,"2523",'Wege im Detail'!$P:$P)</f>
        <v>13.841000000000001</v>
      </c>
      <c r="S177" s="452" t="s">
        <v>1170</v>
      </c>
      <c r="T177" s="453">
        <v>43252</v>
      </c>
      <c r="U177" s="448"/>
      <c r="W177" s="448"/>
    </row>
    <row r="178" spans="1:253" s="458" customFormat="1" ht="56.25" x14ac:dyDescent="0.2">
      <c r="A178" s="444">
        <v>2523</v>
      </c>
      <c r="B178" s="445" t="s">
        <v>51</v>
      </c>
      <c r="C178" s="445" t="s">
        <v>52</v>
      </c>
      <c r="D178" s="445" t="s">
        <v>91</v>
      </c>
      <c r="E178" s="445"/>
      <c r="F178" s="479"/>
      <c r="G178" s="473" t="s">
        <v>1168</v>
      </c>
      <c r="H178" s="445">
        <v>62</v>
      </c>
      <c r="I178" s="445"/>
      <c r="J178" s="445">
        <v>2</v>
      </c>
      <c r="K178" s="447">
        <v>3</v>
      </c>
      <c r="L178" s="448" t="s">
        <v>219</v>
      </c>
      <c r="M178" s="445">
        <v>3</v>
      </c>
      <c r="N178" s="445" t="s">
        <v>220</v>
      </c>
      <c r="O178" s="449" t="s">
        <v>1171</v>
      </c>
      <c r="P178" s="450">
        <v>9.7159999999999993</v>
      </c>
      <c r="Q178" s="451">
        <f t="shared" si="4"/>
        <v>9.7159999999999993</v>
      </c>
      <c r="R178" s="451">
        <f>SUMIF('Wege im Detail'!$A:$A,"2523",'Wege im Detail'!$P:$P)</f>
        <v>13.841000000000001</v>
      </c>
      <c r="S178" s="452" t="s">
        <v>1170</v>
      </c>
      <c r="T178" s="453">
        <v>43252</v>
      </c>
      <c r="U178" s="448"/>
      <c r="W178" s="448"/>
    </row>
    <row r="179" spans="1:253" s="458" customFormat="1" ht="56.25" x14ac:dyDescent="0.2">
      <c r="A179" s="444">
        <v>2523</v>
      </c>
      <c r="B179" s="445" t="s">
        <v>51</v>
      </c>
      <c r="C179" s="445" t="s">
        <v>52</v>
      </c>
      <c r="D179" s="445" t="s">
        <v>91</v>
      </c>
      <c r="E179" s="445"/>
      <c r="F179" s="479"/>
      <c r="G179" s="473" t="s">
        <v>1168</v>
      </c>
      <c r="H179" s="445">
        <v>62</v>
      </c>
      <c r="I179" s="445"/>
      <c r="J179" s="445">
        <v>3</v>
      </c>
      <c r="K179" s="447">
        <v>3</v>
      </c>
      <c r="L179" s="448" t="s">
        <v>219</v>
      </c>
      <c r="M179" s="445">
        <v>3</v>
      </c>
      <c r="N179" s="445" t="s">
        <v>202</v>
      </c>
      <c r="O179" s="449" t="s">
        <v>1172</v>
      </c>
      <c r="P179" s="450">
        <v>2.6840000000000002</v>
      </c>
      <c r="Q179" s="451">
        <f t="shared" si="4"/>
        <v>2.6840000000000002</v>
      </c>
      <c r="R179" s="451">
        <f>SUMIF('Wege im Detail'!$A:$A,"2523",'Wege im Detail'!$P:$P)</f>
        <v>13.841000000000001</v>
      </c>
      <c r="S179" s="452" t="s">
        <v>1170</v>
      </c>
      <c r="T179" s="453">
        <v>43252</v>
      </c>
      <c r="U179" s="448"/>
      <c r="W179" s="448"/>
      <c r="X179" s="455"/>
      <c r="Y179" s="455"/>
      <c r="Z179" s="455"/>
      <c r="AA179" s="455"/>
      <c r="AB179" s="455"/>
      <c r="AC179" s="455"/>
      <c r="AD179" s="455"/>
      <c r="AE179" s="455"/>
      <c r="AF179" s="455"/>
      <c r="AG179" s="455"/>
      <c r="AH179" s="455"/>
      <c r="AI179" s="455"/>
      <c r="AJ179" s="455"/>
      <c r="AK179" s="455"/>
      <c r="AL179" s="455"/>
      <c r="AM179" s="455"/>
      <c r="AN179" s="455"/>
      <c r="AO179" s="455"/>
      <c r="AP179" s="455"/>
      <c r="AQ179" s="455"/>
      <c r="AR179" s="455"/>
      <c r="AS179" s="455"/>
      <c r="AT179" s="455"/>
      <c r="AU179" s="455"/>
      <c r="AV179" s="455"/>
      <c r="AW179" s="455"/>
      <c r="AX179" s="455"/>
      <c r="AY179" s="455"/>
      <c r="AZ179" s="455"/>
      <c r="BA179" s="455"/>
      <c r="BB179" s="455"/>
      <c r="BC179" s="455"/>
      <c r="BD179" s="455"/>
      <c r="BE179" s="455"/>
      <c r="BF179" s="455"/>
      <c r="BG179" s="455"/>
      <c r="BH179" s="455"/>
      <c r="BI179" s="455"/>
      <c r="BJ179" s="455"/>
      <c r="BK179" s="455"/>
      <c r="BL179" s="455"/>
      <c r="BM179" s="455"/>
      <c r="BN179" s="455"/>
      <c r="BO179" s="455"/>
      <c r="BP179" s="455"/>
      <c r="BQ179" s="455"/>
      <c r="BR179" s="455"/>
      <c r="BS179" s="455"/>
      <c r="BT179" s="455"/>
      <c r="BU179" s="455"/>
      <c r="BV179" s="455"/>
      <c r="BW179" s="455"/>
      <c r="BX179" s="455"/>
      <c r="BY179" s="455"/>
      <c r="BZ179" s="455"/>
      <c r="CA179" s="455"/>
      <c r="CB179" s="455"/>
      <c r="CC179" s="455"/>
      <c r="CD179" s="455"/>
      <c r="CE179" s="455"/>
      <c r="CF179" s="455"/>
      <c r="CG179" s="455"/>
      <c r="CH179" s="455"/>
      <c r="CI179" s="455"/>
      <c r="CJ179" s="455"/>
      <c r="CK179" s="455"/>
      <c r="CL179" s="455"/>
      <c r="CM179" s="455"/>
      <c r="CN179" s="455"/>
      <c r="CO179" s="455"/>
      <c r="CP179" s="455"/>
      <c r="CQ179" s="455"/>
      <c r="CR179" s="455"/>
      <c r="CS179" s="455"/>
      <c r="CT179" s="455"/>
      <c r="CU179" s="455"/>
      <c r="CV179" s="455"/>
      <c r="CW179" s="455"/>
      <c r="CX179" s="455"/>
      <c r="CY179" s="455"/>
      <c r="CZ179" s="455"/>
      <c r="DA179" s="455"/>
      <c r="DB179" s="455"/>
      <c r="DC179" s="455"/>
      <c r="DD179" s="455"/>
      <c r="DE179" s="455"/>
      <c r="DF179" s="455"/>
      <c r="DG179" s="455"/>
      <c r="DH179" s="455"/>
      <c r="DI179" s="455"/>
      <c r="DJ179" s="455"/>
      <c r="DK179" s="455"/>
      <c r="DL179" s="455"/>
      <c r="DM179" s="455"/>
      <c r="DN179" s="455"/>
      <c r="DO179" s="455"/>
      <c r="DP179" s="455"/>
      <c r="DQ179" s="455"/>
      <c r="DR179" s="455"/>
      <c r="DS179" s="455"/>
      <c r="DT179" s="455"/>
      <c r="DU179" s="455"/>
      <c r="DV179" s="455"/>
      <c r="DW179" s="455"/>
      <c r="DX179" s="455"/>
      <c r="DY179" s="455"/>
      <c r="DZ179" s="455"/>
      <c r="EA179" s="455"/>
      <c r="EB179" s="455"/>
      <c r="EC179" s="455"/>
      <c r="ED179" s="455"/>
      <c r="EE179" s="455"/>
      <c r="EF179" s="455"/>
      <c r="EG179" s="455"/>
      <c r="EH179" s="455"/>
      <c r="EI179" s="455"/>
      <c r="EJ179" s="455"/>
      <c r="EK179" s="455"/>
      <c r="EL179" s="455"/>
      <c r="EM179" s="455"/>
      <c r="EN179" s="455"/>
      <c r="EO179" s="455"/>
      <c r="EP179" s="455"/>
      <c r="EQ179" s="455"/>
      <c r="ER179" s="455"/>
      <c r="ES179" s="455"/>
      <c r="ET179" s="455"/>
      <c r="EU179" s="455"/>
      <c r="EV179" s="455"/>
      <c r="EW179" s="455"/>
      <c r="EX179" s="455"/>
      <c r="EY179" s="455"/>
      <c r="EZ179" s="455"/>
      <c r="FA179" s="455"/>
      <c r="FB179" s="455"/>
      <c r="FC179" s="455"/>
      <c r="FD179" s="455"/>
      <c r="FE179" s="455"/>
      <c r="FF179" s="455"/>
      <c r="FG179" s="455"/>
      <c r="FH179" s="455"/>
      <c r="FI179" s="455"/>
      <c r="FJ179" s="455"/>
      <c r="FK179" s="455"/>
      <c r="FL179" s="455"/>
      <c r="FM179" s="455"/>
      <c r="FN179" s="455"/>
      <c r="FO179" s="455"/>
      <c r="FP179" s="455"/>
      <c r="FQ179" s="455"/>
      <c r="FR179" s="455"/>
      <c r="FS179" s="455"/>
      <c r="FT179" s="455"/>
      <c r="FU179" s="455"/>
      <c r="FV179" s="455"/>
      <c r="FW179" s="455"/>
      <c r="FX179" s="455"/>
      <c r="FY179" s="455"/>
      <c r="FZ179" s="455"/>
      <c r="GA179" s="455"/>
      <c r="GB179" s="455"/>
      <c r="GC179" s="455"/>
      <c r="GD179" s="455"/>
      <c r="GE179" s="455"/>
      <c r="GF179" s="455"/>
      <c r="GG179" s="455"/>
      <c r="GH179" s="455"/>
      <c r="GI179" s="455"/>
      <c r="GJ179" s="455"/>
      <c r="GK179" s="455"/>
      <c r="GL179" s="455"/>
      <c r="GM179" s="455"/>
      <c r="GN179" s="455"/>
      <c r="GO179" s="455"/>
      <c r="GP179" s="455"/>
      <c r="GQ179" s="455"/>
      <c r="GR179" s="455"/>
      <c r="GS179" s="455"/>
      <c r="GT179" s="455"/>
      <c r="GU179" s="455"/>
      <c r="GV179" s="455"/>
      <c r="GW179" s="455"/>
      <c r="GX179" s="455"/>
      <c r="GY179" s="455"/>
      <c r="GZ179" s="455"/>
      <c r="HA179" s="455"/>
      <c r="HB179" s="455"/>
      <c r="HC179" s="455"/>
      <c r="HD179" s="455"/>
      <c r="HE179" s="455"/>
      <c r="HF179" s="455"/>
      <c r="HG179" s="455"/>
      <c r="HH179" s="455"/>
      <c r="HI179" s="455"/>
      <c r="HJ179" s="455"/>
      <c r="HK179" s="455"/>
      <c r="HL179" s="455"/>
      <c r="HM179" s="455"/>
      <c r="HN179" s="455"/>
      <c r="HO179" s="455"/>
      <c r="HP179" s="455"/>
      <c r="HQ179" s="455"/>
      <c r="HR179" s="455"/>
      <c r="HS179" s="455"/>
      <c r="HT179" s="455"/>
      <c r="HU179" s="455"/>
      <c r="HV179" s="455"/>
      <c r="HW179" s="455"/>
      <c r="HX179" s="455"/>
      <c r="HY179" s="455"/>
      <c r="HZ179" s="455"/>
      <c r="IA179" s="455"/>
      <c r="IB179" s="455"/>
      <c r="IC179" s="455"/>
      <c r="ID179" s="455"/>
      <c r="IE179" s="455"/>
      <c r="IF179" s="455"/>
      <c r="IG179" s="455"/>
      <c r="IH179" s="455"/>
      <c r="II179" s="455"/>
      <c r="IJ179" s="455"/>
      <c r="IK179" s="455"/>
      <c r="IL179" s="455"/>
      <c r="IM179" s="455"/>
      <c r="IN179" s="455"/>
      <c r="IO179" s="455"/>
      <c r="IP179" s="455"/>
      <c r="IQ179" s="455"/>
      <c r="IR179" s="455"/>
      <c r="IS179" s="455"/>
    </row>
    <row r="180" spans="1:253" s="458" customFormat="1" ht="45" x14ac:dyDescent="0.2">
      <c r="A180" s="444">
        <v>2524</v>
      </c>
      <c r="B180" s="445" t="s">
        <v>51</v>
      </c>
      <c r="C180" s="445" t="s">
        <v>52</v>
      </c>
      <c r="D180" s="445" t="s">
        <v>91</v>
      </c>
      <c r="E180" s="445"/>
      <c r="F180" s="479"/>
      <c r="G180" s="446">
        <v>54</v>
      </c>
      <c r="H180" s="445">
        <v>58</v>
      </c>
      <c r="I180" s="445"/>
      <c r="J180" s="445">
        <v>1</v>
      </c>
      <c r="K180" s="447">
        <v>2</v>
      </c>
      <c r="L180" s="448"/>
      <c r="M180" s="445">
        <v>3</v>
      </c>
      <c r="N180" s="445" t="s">
        <v>202</v>
      </c>
      <c r="O180" s="449" t="s">
        <v>1173</v>
      </c>
      <c r="P180" s="450">
        <v>2.222</v>
      </c>
      <c r="Q180" s="451">
        <f t="shared" si="4"/>
        <v>2.222</v>
      </c>
      <c r="R180" s="451">
        <f>SUMIF('Wege im Detail'!$A:$A,"2524",'Wege im Detail'!$P:$P)</f>
        <v>4.649</v>
      </c>
      <c r="S180" s="452" t="s">
        <v>1174</v>
      </c>
      <c r="T180" s="453">
        <v>43221</v>
      </c>
      <c r="U180" s="448"/>
      <c r="W180" s="448"/>
      <c r="X180" s="455"/>
      <c r="Y180" s="455"/>
      <c r="Z180" s="455"/>
      <c r="AA180" s="455"/>
      <c r="AB180" s="455"/>
      <c r="AC180" s="455"/>
      <c r="AD180" s="455"/>
      <c r="AE180" s="455"/>
      <c r="AF180" s="455"/>
      <c r="AG180" s="455"/>
      <c r="AH180" s="455"/>
      <c r="AI180" s="455"/>
      <c r="AJ180" s="455"/>
      <c r="AK180" s="455"/>
      <c r="AL180" s="455"/>
      <c r="AM180" s="455"/>
      <c r="AN180" s="455"/>
      <c r="AO180" s="455"/>
      <c r="AP180" s="455"/>
      <c r="AQ180" s="455"/>
      <c r="AR180" s="455"/>
      <c r="AS180" s="455"/>
      <c r="AT180" s="455"/>
      <c r="AU180" s="455"/>
      <c r="AV180" s="455"/>
      <c r="AW180" s="455"/>
      <c r="AX180" s="455"/>
      <c r="AY180" s="455"/>
      <c r="AZ180" s="455"/>
      <c r="BA180" s="455"/>
      <c r="BB180" s="455"/>
      <c r="BC180" s="455"/>
      <c r="BD180" s="455"/>
      <c r="BE180" s="455"/>
      <c r="BF180" s="455"/>
      <c r="BG180" s="455"/>
      <c r="BH180" s="455"/>
      <c r="BI180" s="455"/>
      <c r="BJ180" s="455"/>
      <c r="BK180" s="455"/>
      <c r="BL180" s="455"/>
      <c r="BM180" s="455"/>
      <c r="BN180" s="455"/>
      <c r="BO180" s="455"/>
      <c r="BP180" s="455"/>
      <c r="BQ180" s="455"/>
      <c r="BR180" s="455"/>
      <c r="BS180" s="455"/>
      <c r="BT180" s="455"/>
      <c r="BU180" s="455"/>
      <c r="BV180" s="455"/>
      <c r="BW180" s="455"/>
      <c r="BX180" s="455"/>
      <c r="BY180" s="455"/>
      <c r="BZ180" s="455"/>
      <c r="CA180" s="455"/>
      <c r="CB180" s="455"/>
      <c r="CC180" s="455"/>
      <c r="CD180" s="455"/>
      <c r="CE180" s="455"/>
      <c r="CF180" s="455"/>
      <c r="CG180" s="455"/>
      <c r="CH180" s="455"/>
      <c r="CI180" s="455"/>
      <c r="CJ180" s="455"/>
      <c r="CK180" s="455"/>
      <c r="CL180" s="455"/>
      <c r="CM180" s="455"/>
      <c r="CN180" s="455"/>
      <c r="CO180" s="455"/>
      <c r="CP180" s="455"/>
      <c r="CQ180" s="455"/>
      <c r="CR180" s="455"/>
      <c r="CS180" s="455"/>
      <c r="CT180" s="455"/>
      <c r="CU180" s="455"/>
      <c r="CV180" s="455"/>
      <c r="CW180" s="455"/>
      <c r="CX180" s="455"/>
      <c r="CY180" s="455"/>
      <c r="CZ180" s="455"/>
      <c r="DA180" s="455"/>
      <c r="DB180" s="455"/>
      <c r="DC180" s="455"/>
      <c r="DD180" s="455"/>
      <c r="DE180" s="455"/>
      <c r="DF180" s="455"/>
      <c r="DG180" s="455"/>
      <c r="DH180" s="455"/>
      <c r="DI180" s="455"/>
      <c r="DJ180" s="455"/>
      <c r="DK180" s="455"/>
      <c r="DL180" s="455"/>
      <c r="DM180" s="455"/>
      <c r="DN180" s="455"/>
      <c r="DO180" s="455"/>
      <c r="DP180" s="455"/>
      <c r="DQ180" s="455"/>
      <c r="DR180" s="455"/>
      <c r="DS180" s="455"/>
      <c r="DT180" s="455"/>
      <c r="DU180" s="455"/>
      <c r="DV180" s="455"/>
      <c r="DW180" s="455"/>
      <c r="DX180" s="455"/>
      <c r="DY180" s="455"/>
      <c r="DZ180" s="455"/>
      <c r="EA180" s="455"/>
      <c r="EB180" s="455"/>
      <c r="EC180" s="455"/>
      <c r="ED180" s="455"/>
      <c r="EE180" s="455"/>
      <c r="EF180" s="455"/>
      <c r="EG180" s="455"/>
      <c r="EH180" s="455"/>
      <c r="EI180" s="455"/>
      <c r="EJ180" s="455"/>
      <c r="EK180" s="455"/>
      <c r="EL180" s="455"/>
      <c r="EM180" s="455"/>
      <c r="EN180" s="455"/>
      <c r="EO180" s="455"/>
      <c r="EP180" s="455"/>
      <c r="EQ180" s="455"/>
      <c r="ER180" s="455"/>
      <c r="ES180" s="455"/>
      <c r="ET180" s="455"/>
      <c r="EU180" s="455"/>
      <c r="EV180" s="455"/>
      <c r="EW180" s="455"/>
      <c r="EX180" s="455"/>
      <c r="EY180" s="455"/>
      <c r="EZ180" s="455"/>
      <c r="FA180" s="455"/>
      <c r="FB180" s="455"/>
      <c r="FC180" s="455"/>
      <c r="FD180" s="455"/>
      <c r="FE180" s="455"/>
      <c r="FF180" s="455"/>
      <c r="FG180" s="455"/>
      <c r="FH180" s="455"/>
      <c r="FI180" s="455"/>
      <c r="FJ180" s="455"/>
      <c r="FK180" s="455"/>
      <c r="FL180" s="455"/>
      <c r="FM180" s="455"/>
      <c r="FN180" s="455"/>
      <c r="FO180" s="455"/>
      <c r="FP180" s="455"/>
      <c r="FQ180" s="455"/>
      <c r="FR180" s="455"/>
      <c r="FS180" s="455"/>
      <c r="FT180" s="455"/>
      <c r="FU180" s="455"/>
      <c r="FV180" s="455"/>
      <c r="FW180" s="455"/>
      <c r="FX180" s="455"/>
      <c r="FY180" s="455"/>
      <c r="FZ180" s="455"/>
      <c r="GA180" s="455"/>
      <c r="GB180" s="455"/>
      <c r="GC180" s="455"/>
      <c r="GD180" s="455"/>
      <c r="GE180" s="455"/>
      <c r="GF180" s="455"/>
      <c r="GG180" s="455"/>
      <c r="GH180" s="455"/>
      <c r="GI180" s="455"/>
      <c r="GJ180" s="455"/>
      <c r="GK180" s="455"/>
      <c r="GL180" s="455"/>
      <c r="GM180" s="455"/>
      <c r="GN180" s="455"/>
      <c r="GO180" s="455"/>
      <c r="GP180" s="455"/>
      <c r="GQ180" s="455"/>
      <c r="GR180" s="455"/>
      <c r="GS180" s="455"/>
      <c r="GT180" s="455"/>
      <c r="GU180" s="455"/>
      <c r="GV180" s="455"/>
      <c r="GW180" s="455"/>
      <c r="GX180" s="455"/>
      <c r="GY180" s="455"/>
      <c r="GZ180" s="455"/>
      <c r="HA180" s="455"/>
      <c r="HB180" s="455"/>
      <c r="HC180" s="455"/>
      <c r="HD180" s="455"/>
      <c r="HE180" s="455"/>
      <c r="HF180" s="455"/>
      <c r="HG180" s="455"/>
      <c r="HH180" s="455"/>
      <c r="HI180" s="455"/>
      <c r="HJ180" s="455"/>
      <c r="HK180" s="455"/>
      <c r="HL180" s="455"/>
      <c r="HM180" s="455"/>
      <c r="HN180" s="455"/>
      <c r="HO180" s="455"/>
      <c r="HP180" s="455"/>
      <c r="HQ180" s="455"/>
      <c r="HR180" s="455"/>
      <c r="HS180" s="455"/>
      <c r="HT180" s="455"/>
      <c r="HU180" s="455"/>
      <c r="HV180" s="455"/>
      <c r="HW180" s="455"/>
      <c r="HX180" s="455"/>
      <c r="HY180" s="455"/>
      <c r="HZ180" s="455"/>
      <c r="IA180" s="455"/>
      <c r="IB180" s="455"/>
      <c r="IC180" s="455"/>
      <c r="ID180" s="455"/>
      <c r="IE180" s="455"/>
      <c r="IF180" s="455"/>
      <c r="IG180" s="455"/>
      <c r="IH180" s="455"/>
      <c r="II180" s="455"/>
      <c r="IJ180" s="455"/>
      <c r="IK180" s="455"/>
      <c r="IL180" s="455"/>
      <c r="IM180" s="455"/>
      <c r="IN180" s="455"/>
      <c r="IO180" s="455"/>
      <c r="IP180" s="455"/>
      <c r="IQ180" s="455"/>
      <c r="IR180" s="455"/>
      <c r="IS180" s="455"/>
    </row>
    <row r="181" spans="1:253" s="458" customFormat="1" ht="45" x14ac:dyDescent="0.2">
      <c r="A181" s="444">
        <v>2524</v>
      </c>
      <c r="B181" s="445" t="s">
        <v>51</v>
      </c>
      <c r="C181" s="445" t="s">
        <v>52</v>
      </c>
      <c r="D181" s="445" t="s">
        <v>91</v>
      </c>
      <c r="E181" s="445"/>
      <c r="F181" s="479"/>
      <c r="G181" s="446">
        <v>54</v>
      </c>
      <c r="H181" s="445">
        <v>58</v>
      </c>
      <c r="I181" s="445"/>
      <c r="J181" s="445">
        <v>2</v>
      </c>
      <c r="K181" s="447">
        <v>2</v>
      </c>
      <c r="L181" s="448"/>
      <c r="M181" s="445">
        <v>3</v>
      </c>
      <c r="N181" s="445" t="s">
        <v>299</v>
      </c>
      <c r="O181" s="449" t="s">
        <v>1175</v>
      </c>
      <c r="P181" s="450">
        <v>2.427</v>
      </c>
      <c r="Q181" s="451">
        <f t="shared" si="4"/>
        <v>2.427</v>
      </c>
      <c r="R181" s="451">
        <f>SUMIF('Wege im Detail'!$A:$A,"2524",'Wege im Detail'!$P:$P)</f>
        <v>4.649</v>
      </c>
      <c r="S181" s="452" t="s">
        <v>1174</v>
      </c>
      <c r="T181" s="453">
        <v>43221</v>
      </c>
      <c r="U181" s="448"/>
      <c r="W181" s="448"/>
    </row>
    <row r="182" spans="1:253" s="458" customFormat="1" ht="45" x14ac:dyDescent="0.2">
      <c r="A182" s="444">
        <v>2526</v>
      </c>
      <c r="B182" s="445" t="s">
        <v>51</v>
      </c>
      <c r="C182" s="445" t="s">
        <v>52</v>
      </c>
      <c r="D182" s="445" t="s">
        <v>91</v>
      </c>
      <c r="E182" s="445"/>
      <c r="F182" s="445"/>
      <c r="G182" s="446">
        <v>104</v>
      </c>
      <c r="H182" s="445">
        <v>132</v>
      </c>
      <c r="I182" s="445"/>
      <c r="J182" s="445">
        <v>1</v>
      </c>
      <c r="K182" s="447">
        <v>2</v>
      </c>
      <c r="L182" s="445"/>
      <c r="M182" s="448">
        <v>5</v>
      </c>
      <c r="N182" s="445" t="s">
        <v>111</v>
      </c>
      <c r="O182" s="464" t="s">
        <v>1176</v>
      </c>
      <c r="P182" s="450">
        <v>1.5580000000000001</v>
      </c>
      <c r="Q182" s="451">
        <f t="shared" si="4"/>
        <v>1.5580000000000001</v>
      </c>
      <c r="R182" s="451">
        <f>SUMIF('Wege im Detail'!$A:$A,"2526",'Wege im Detail'!$P:$P)</f>
        <v>4.4619999999999997</v>
      </c>
      <c r="S182" s="452" t="s">
        <v>223</v>
      </c>
      <c r="T182" s="453">
        <v>43221</v>
      </c>
      <c r="U182" s="448"/>
      <c r="W182" s="448"/>
    </row>
    <row r="183" spans="1:253" s="458" customFormat="1" ht="45" x14ac:dyDescent="0.2">
      <c r="A183" s="444">
        <v>2526</v>
      </c>
      <c r="B183" s="445" t="s">
        <v>51</v>
      </c>
      <c r="C183" s="445" t="s">
        <v>52</v>
      </c>
      <c r="D183" s="445" t="s">
        <v>91</v>
      </c>
      <c r="E183" s="445"/>
      <c r="F183" s="445"/>
      <c r="G183" s="446">
        <v>104</v>
      </c>
      <c r="H183" s="445">
        <v>132</v>
      </c>
      <c r="I183" s="445"/>
      <c r="J183" s="445">
        <v>2</v>
      </c>
      <c r="K183" s="447">
        <v>2</v>
      </c>
      <c r="L183" s="445"/>
      <c r="M183" s="448">
        <v>5</v>
      </c>
      <c r="N183" s="445" t="s">
        <v>1014</v>
      </c>
      <c r="O183" s="464" t="s">
        <v>1177</v>
      </c>
      <c r="P183" s="450">
        <v>2.9039999999999999</v>
      </c>
      <c r="Q183" s="451">
        <f t="shared" si="4"/>
        <v>2.9039999999999999</v>
      </c>
      <c r="R183" s="451">
        <f>SUMIF('Wege im Detail'!$A:$A,"2526",'Wege im Detail'!$P:$P)</f>
        <v>4.4619999999999997</v>
      </c>
      <c r="S183" s="452" t="s">
        <v>223</v>
      </c>
      <c r="T183" s="453">
        <v>43221</v>
      </c>
      <c r="U183" s="448"/>
      <c r="W183" s="448"/>
    </row>
    <row r="184" spans="1:253" s="458" customFormat="1" ht="33.75" x14ac:dyDescent="0.2">
      <c r="A184" s="444">
        <v>2529</v>
      </c>
      <c r="B184" s="445" t="s">
        <v>51</v>
      </c>
      <c r="C184" s="445" t="s">
        <v>52</v>
      </c>
      <c r="D184" s="445"/>
      <c r="E184" s="445"/>
      <c r="F184" s="445"/>
      <c r="G184" s="446">
        <v>21</v>
      </c>
      <c r="H184" s="445">
        <v>3</v>
      </c>
      <c r="I184" s="445"/>
      <c r="J184" s="445">
        <v>1</v>
      </c>
      <c r="K184" s="447">
        <v>15</v>
      </c>
      <c r="L184" s="445" t="s">
        <v>225</v>
      </c>
      <c r="M184" s="445">
        <v>3</v>
      </c>
      <c r="N184" s="445" t="s">
        <v>226</v>
      </c>
      <c r="O184" s="461" t="s">
        <v>1178</v>
      </c>
      <c r="P184" s="450">
        <v>3.2130000000000001</v>
      </c>
      <c r="Q184" s="451">
        <f t="shared" si="4"/>
        <v>3.2130000000000001</v>
      </c>
      <c r="R184" s="451">
        <f>SUMIF('Wege im Detail'!$A:$A,"2529",'Wege im Detail'!$P:$P)</f>
        <v>64.75800000000001</v>
      </c>
      <c r="S184" s="452" t="s">
        <v>1179</v>
      </c>
      <c r="T184" s="453">
        <v>43160</v>
      </c>
      <c r="U184" s="448"/>
      <c r="V184" s="468"/>
      <c r="W184" s="448"/>
    </row>
    <row r="185" spans="1:253" s="458" customFormat="1" ht="56.25" x14ac:dyDescent="0.2">
      <c r="A185" s="444">
        <v>2529</v>
      </c>
      <c r="B185" s="445" t="s">
        <v>51</v>
      </c>
      <c r="C185" s="445" t="s">
        <v>52</v>
      </c>
      <c r="D185" s="445"/>
      <c r="E185" s="445"/>
      <c r="F185" s="445"/>
      <c r="G185" s="446">
        <v>21</v>
      </c>
      <c r="H185" s="445">
        <v>3</v>
      </c>
      <c r="I185" s="445"/>
      <c r="J185" s="445">
        <v>7</v>
      </c>
      <c r="K185" s="447">
        <v>15</v>
      </c>
      <c r="L185" s="445" t="s">
        <v>225</v>
      </c>
      <c r="M185" s="445">
        <v>3</v>
      </c>
      <c r="N185" s="445" t="s">
        <v>187</v>
      </c>
      <c r="O185" s="461" t="s">
        <v>1180</v>
      </c>
      <c r="P185" s="450">
        <v>2.5379999999999998</v>
      </c>
      <c r="Q185" s="451">
        <f t="shared" si="4"/>
        <v>2.5379999999999998</v>
      </c>
      <c r="R185" s="451">
        <f>SUMIF('Wege im Detail'!$A:$A,"2529",'Wege im Detail'!$P:$P)</f>
        <v>64.75800000000001</v>
      </c>
      <c r="S185" s="452" t="s">
        <v>1179</v>
      </c>
      <c r="T185" s="453">
        <v>43160</v>
      </c>
      <c r="U185" s="448"/>
      <c r="V185" s="468"/>
      <c r="W185" s="448"/>
    </row>
    <row r="186" spans="1:253" s="458" customFormat="1" ht="45" x14ac:dyDescent="0.2">
      <c r="A186" s="444">
        <v>2529</v>
      </c>
      <c r="B186" s="445" t="s">
        <v>51</v>
      </c>
      <c r="C186" s="445" t="s">
        <v>52</v>
      </c>
      <c r="D186" s="445"/>
      <c r="E186" s="445"/>
      <c r="F186" s="445"/>
      <c r="G186" s="446">
        <v>21</v>
      </c>
      <c r="H186" s="445">
        <v>3</v>
      </c>
      <c r="I186" s="445"/>
      <c r="J186" s="445">
        <v>8</v>
      </c>
      <c r="K186" s="447">
        <v>15</v>
      </c>
      <c r="L186" s="445" t="s">
        <v>225</v>
      </c>
      <c r="M186" s="445">
        <v>3</v>
      </c>
      <c r="N186" s="445" t="s">
        <v>202</v>
      </c>
      <c r="O186" s="461" t="s">
        <v>1181</v>
      </c>
      <c r="P186" s="450">
        <v>2.9359999999999999</v>
      </c>
      <c r="Q186" s="451">
        <f t="shared" si="4"/>
        <v>2.9359999999999999</v>
      </c>
      <c r="R186" s="451">
        <f>SUMIF('Wege im Detail'!$A:$A,"2529",'Wege im Detail'!$P:$P)</f>
        <v>64.75800000000001</v>
      </c>
      <c r="S186" s="452" t="s">
        <v>1179</v>
      </c>
      <c r="T186" s="453">
        <v>43160</v>
      </c>
      <c r="U186" s="448"/>
      <c r="V186" s="468"/>
      <c r="W186" s="448"/>
      <c r="X186" s="455"/>
      <c r="Y186" s="455"/>
      <c r="Z186" s="455"/>
      <c r="AA186" s="455"/>
      <c r="AB186" s="455"/>
      <c r="AC186" s="455"/>
      <c r="AD186" s="455"/>
      <c r="AE186" s="455"/>
      <c r="AF186" s="455"/>
      <c r="AG186" s="455"/>
      <c r="AH186" s="455"/>
      <c r="AI186" s="455"/>
      <c r="AJ186" s="455"/>
      <c r="AK186" s="455"/>
      <c r="AL186" s="455"/>
      <c r="AM186" s="455"/>
      <c r="AN186" s="455"/>
      <c r="AO186" s="455"/>
      <c r="AP186" s="455"/>
      <c r="AQ186" s="455"/>
      <c r="AR186" s="455"/>
      <c r="AS186" s="455"/>
      <c r="AT186" s="455"/>
      <c r="AU186" s="455"/>
      <c r="AV186" s="455"/>
      <c r="AW186" s="455"/>
      <c r="AX186" s="455"/>
      <c r="AY186" s="455"/>
      <c r="AZ186" s="455"/>
      <c r="BA186" s="455"/>
      <c r="BB186" s="455"/>
      <c r="BC186" s="455"/>
      <c r="BD186" s="455"/>
      <c r="BE186" s="455"/>
      <c r="BF186" s="455"/>
      <c r="BG186" s="455"/>
      <c r="BH186" s="455"/>
      <c r="BI186" s="455"/>
      <c r="BJ186" s="455"/>
      <c r="BK186" s="455"/>
      <c r="BL186" s="455"/>
      <c r="BM186" s="455"/>
      <c r="BN186" s="455"/>
      <c r="BO186" s="455"/>
      <c r="BP186" s="455"/>
      <c r="BQ186" s="455"/>
      <c r="BR186" s="455"/>
      <c r="BS186" s="455"/>
      <c r="BT186" s="455"/>
      <c r="BU186" s="455"/>
      <c r="BV186" s="455"/>
      <c r="BW186" s="455"/>
      <c r="BX186" s="455"/>
      <c r="BY186" s="455"/>
      <c r="BZ186" s="455"/>
      <c r="CA186" s="455"/>
      <c r="CB186" s="455"/>
      <c r="CC186" s="455"/>
      <c r="CD186" s="455"/>
      <c r="CE186" s="455"/>
      <c r="CF186" s="455"/>
      <c r="CG186" s="455"/>
      <c r="CH186" s="455"/>
      <c r="CI186" s="455"/>
      <c r="CJ186" s="455"/>
      <c r="CK186" s="455"/>
      <c r="CL186" s="455"/>
      <c r="CM186" s="455"/>
      <c r="CN186" s="455"/>
      <c r="CO186" s="455"/>
      <c r="CP186" s="455"/>
      <c r="CQ186" s="455"/>
      <c r="CR186" s="455"/>
      <c r="CS186" s="455"/>
      <c r="CT186" s="455"/>
      <c r="CU186" s="455"/>
      <c r="CV186" s="455"/>
      <c r="CW186" s="455"/>
      <c r="CX186" s="455"/>
      <c r="CY186" s="455"/>
      <c r="CZ186" s="455"/>
      <c r="DA186" s="455"/>
      <c r="DB186" s="455"/>
      <c r="DC186" s="455"/>
      <c r="DD186" s="455"/>
      <c r="DE186" s="455"/>
      <c r="DF186" s="455"/>
      <c r="DG186" s="455"/>
      <c r="DH186" s="455"/>
      <c r="DI186" s="455"/>
      <c r="DJ186" s="455"/>
      <c r="DK186" s="455"/>
      <c r="DL186" s="455"/>
      <c r="DM186" s="455"/>
      <c r="DN186" s="455"/>
      <c r="DO186" s="455"/>
      <c r="DP186" s="455"/>
      <c r="DQ186" s="455"/>
      <c r="DR186" s="455"/>
      <c r="DS186" s="455"/>
      <c r="DT186" s="455"/>
      <c r="DU186" s="455"/>
      <c r="DV186" s="455"/>
      <c r="DW186" s="455"/>
      <c r="DX186" s="455"/>
      <c r="DY186" s="455"/>
      <c r="DZ186" s="455"/>
      <c r="EA186" s="455"/>
      <c r="EB186" s="455"/>
      <c r="EC186" s="455"/>
      <c r="ED186" s="455"/>
      <c r="EE186" s="455"/>
      <c r="EF186" s="455"/>
      <c r="EG186" s="455"/>
      <c r="EH186" s="455"/>
      <c r="EI186" s="455"/>
      <c r="EJ186" s="455"/>
      <c r="EK186" s="455"/>
      <c r="EL186" s="455"/>
      <c r="EM186" s="455"/>
      <c r="EN186" s="455"/>
      <c r="EO186" s="455"/>
      <c r="EP186" s="455"/>
      <c r="EQ186" s="455"/>
      <c r="ER186" s="455"/>
      <c r="ES186" s="455"/>
      <c r="ET186" s="455"/>
      <c r="EU186" s="455"/>
      <c r="EV186" s="455"/>
      <c r="EW186" s="455"/>
      <c r="EX186" s="455"/>
      <c r="EY186" s="455"/>
      <c r="EZ186" s="455"/>
      <c r="FA186" s="455"/>
      <c r="FB186" s="455"/>
      <c r="FC186" s="455"/>
      <c r="FD186" s="455"/>
      <c r="FE186" s="455"/>
      <c r="FF186" s="455"/>
      <c r="FG186" s="455"/>
      <c r="FH186" s="455"/>
      <c r="FI186" s="455"/>
      <c r="FJ186" s="455"/>
      <c r="FK186" s="455"/>
      <c r="FL186" s="455"/>
      <c r="FM186" s="455"/>
      <c r="FN186" s="455"/>
      <c r="FO186" s="455"/>
      <c r="FP186" s="455"/>
      <c r="FQ186" s="455"/>
      <c r="FR186" s="455"/>
      <c r="FS186" s="455"/>
      <c r="FT186" s="455"/>
      <c r="FU186" s="455"/>
      <c r="FV186" s="455"/>
      <c r="FW186" s="455"/>
      <c r="FX186" s="455"/>
      <c r="FY186" s="455"/>
      <c r="FZ186" s="455"/>
      <c r="GA186" s="455"/>
      <c r="GB186" s="455"/>
      <c r="GC186" s="455"/>
      <c r="GD186" s="455"/>
      <c r="GE186" s="455"/>
      <c r="GF186" s="455"/>
      <c r="GG186" s="455"/>
      <c r="GH186" s="455"/>
      <c r="GI186" s="455"/>
      <c r="GJ186" s="455"/>
      <c r="GK186" s="455"/>
      <c r="GL186" s="455"/>
      <c r="GM186" s="455"/>
      <c r="GN186" s="455"/>
      <c r="GO186" s="455"/>
      <c r="GP186" s="455"/>
      <c r="GQ186" s="455"/>
      <c r="GR186" s="455"/>
      <c r="GS186" s="455"/>
      <c r="GT186" s="455"/>
      <c r="GU186" s="455"/>
      <c r="GV186" s="455"/>
      <c r="GW186" s="455"/>
      <c r="GX186" s="455"/>
      <c r="GY186" s="455"/>
      <c r="GZ186" s="455"/>
      <c r="HA186" s="455"/>
      <c r="HB186" s="455"/>
      <c r="HC186" s="455"/>
      <c r="HD186" s="455"/>
      <c r="HE186" s="455"/>
      <c r="HF186" s="455"/>
      <c r="HG186" s="455"/>
      <c r="HH186" s="455"/>
      <c r="HI186" s="455"/>
      <c r="HJ186" s="455"/>
      <c r="HK186" s="455"/>
      <c r="HL186" s="455"/>
      <c r="HM186" s="455"/>
      <c r="HN186" s="455"/>
      <c r="HO186" s="455"/>
      <c r="HP186" s="455"/>
      <c r="HQ186" s="455"/>
      <c r="HR186" s="455"/>
      <c r="HS186" s="455"/>
      <c r="HT186" s="455"/>
      <c r="HU186" s="455"/>
      <c r="HV186" s="455"/>
      <c r="HW186" s="455"/>
      <c r="HX186" s="455"/>
      <c r="HY186" s="455"/>
      <c r="HZ186" s="455"/>
      <c r="IA186" s="455"/>
      <c r="IB186" s="455"/>
      <c r="IC186" s="455"/>
      <c r="ID186" s="455"/>
      <c r="IE186" s="455"/>
      <c r="IF186" s="455"/>
      <c r="IG186" s="455"/>
      <c r="IH186" s="455"/>
      <c r="II186" s="455"/>
      <c r="IJ186" s="455"/>
      <c r="IK186" s="455"/>
      <c r="IL186" s="455"/>
      <c r="IM186" s="455"/>
      <c r="IN186" s="455"/>
      <c r="IO186" s="455"/>
      <c r="IP186" s="455"/>
      <c r="IQ186" s="455"/>
      <c r="IR186" s="455"/>
      <c r="IS186" s="455"/>
    </row>
    <row r="187" spans="1:253" s="458" customFormat="1" ht="45" x14ac:dyDescent="0.2">
      <c r="A187" s="444">
        <v>2529</v>
      </c>
      <c r="B187" s="445" t="s">
        <v>51</v>
      </c>
      <c r="C187" s="445" t="s">
        <v>52</v>
      </c>
      <c r="D187" s="445"/>
      <c r="E187" s="445"/>
      <c r="F187" s="445"/>
      <c r="G187" s="446">
        <v>21</v>
      </c>
      <c r="H187" s="445">
        <v>3</v>
      </c>
      <c r="I187" s="445"/>
      <c r="J187" s="445">
        <v>9</v>
      </c>
      <c r="K187" s="447">
        <v>15</v>
      </c>
      <c r="L187" s="445" t="s">
        <v>225</v>
      </c>
      <c r="M187" s="445">
        <v>5</v>
      </c>
      <c r="N187" s="445" t="s">
        <v>248</v>
      </c>
      <c r="O187" s="461" t="s">
        <v>1182</v>
      </c>
      <c r="P187" s="450">
        <v>8.9649999999999999</v>
      </c>
      <c r="Q187" s="451">
        <f t="shared" si="4"/>
        <v>8.9649999999999999</v>
      </c>
      <c r="R187" s="451">
        <f>SUMIF('Wege im Detail'!$A:$A,"2529",'Wege im Detail'!$P:$P)</f>
        <v>64.75800000000001</v>
      </c>
      <c r="S187" s="452" t="s">
        <v>1179</v>
      </c>
      <c r="T187" s="453">
        <v>43160</v>
      </c>
      <c r="U187" s="448"/>
      <c r="V187" s="468"/>
      <c r="W187" s="448"/>
    </row>
    <row r="188" spans="1:253" s="458" customFormat="1" ht="45" x14ac:dyDescent="0.2">
      <c r="A188" s="444">
        <v>2529</v>
      </c>
      <c r="B188" s="445" t="s">
        <v>51</v>
      </c>
      <c r="C188" s="445" t="s">
        <v>52</v>
      </c>
      <c r="D188" s="445"/>
      <c r="E188" s="445"/>
      <c r="F188" s="445"/>
      <c r="G188" s="446">
        <v>21</v>
      </c>
      <c r="H188" s="445">
        <v>3</v>
      </c>
      <c r="I188" s="445"/>
      <c r="J188" s="445">
        <v>10</v>
      </c>
      <c r="K188" s="447">
        <v>15</v>
      </c>
      <c r="L188" s="445" t="s">
        <v>225</v>
      </c>
      <c r="M188" s="445">
        <v>5</v>
      </c>
      <c r="N188" s="445" t="s">
        <v>128</v>
      </c>
      <c r="O188" s="461" t="s">
        <v>1183</v>
      </c>
      <c r="P188" s="450">
        <v>7.5579999999999998</v>
      </c>
      <c r="Q188" s="451">
        <f t="shared" si="4"/>
        <v>7.5579999999999998</v>
      </c>
      <c r="R188" s="451">
        <f>SUMIF('Wege im Detail'!$A:$A,"2529",'Wege im Detail'!$P:$P)</f>
        <v>64.75800000000001</v>
      </c>
      <c r="S188" s="452" t="s">
        <v>1179</v>
      </c>
      <c r="T188" s="453">
        <v>43160</v>
      </c>
      <c r="U188" s="448"/>
      <c r="V188" s="468"/>
      <c r="W188" s="448"/>
    </row>
    <row r="189" spans="1:253" s="458" customFormat="1" ht="56.25" x14ac:dyDescent="0.2">
      <c r="A189" s="444">
        <v>2529</v>
      </c>
      <c r="B189" s="445" t="s">
        <v>51</v>
      </c>
      <c r="C189" s="445" t="s">
        <v>52</v>
      </c>
      <c r="D189" s="445"/>
      <c r="E189" s="445"/>
      <c r="F189" s="445"/>
      <c r="G189" s="446">
        <v>21</v>
      </c>
      <c r="H189" s="445">
        <v>3</v>
      </c>
      <c r="I189" s="445"/>
      <c r="J189" s="445">
        <v>11</v>
      </c>
      <c r="K189" s="447">
        <v>15</v>
      </c>
      <c r="L189" s="445" t="s">
        <v>225</v>
      </c>
      <c r="M189" s="445">
        <v>1</v>
      </c>
      <c r="N189" s="445" t="s">
        <v>1184</v>
      </c>
      <c r="O189" s="461" t="s">
        <v>1185</v>
      </c>
      <c r="P189" s="450">
        <v>7.3659999999999997</v>
      </c>
      <c r="Q189" s="451">
        <f t="shared" si="4"/>
        <v>7.3659999999999997</v>
      </c>
      <c r="R189" s="451">
        <f>SUMIF('Wege im Detail'!$A:$A,"2529",'Wege im Detail'!$P:$P)</f>
        <v>64.75800000000001</v>
      </c>
      <c r="S189" s="452" t="s">
        <v>1179</v>
      </c>
      <c r="T189" s="453">
        <v>43160</v>
      </c>
      <c r="U189" s="448"/>
      <c r="V189" s="480"/>
      <c r="W189" s="448"/>
    </row>
    <row r="190" spans="1:253" s="458" customFormat="1" ht="45" x14ac:dyDescent="0.2">
      <c r="A190" s="444">
        <v>2529</v>
      </c>
      <c r="B190" s="445" t="s">
        <v>51</v>
      </c>
      <c r="C190" s="445" t="s">
        <v>52</v>
      </c>
      <c r="D190" s="445"/>
      <c r="E190" s="445"/>
      <c r="F190" s="445"/>
      <c r="G190" s="446">
        <v>21</v>
      </c>
      <c r="H190" s="445">
        <v>3</v>
      </c>
      <c r="I190" s="445"/>
      <c r="J190" s="445">
        <v>12</v>
      </c>
      <c r="K190" s="447">
        <v>15</v>
      </c>
      <c r="L190" s="445" t="s">
        <v>225</v>
      </c>
      <c r="M190" s="445">
        <v>1</v>
      </c>
      <c r="N190" s="445" t="s">
        <v>126</v>
      </c>
      <c r="O190" s="461" t="s">
        <v>1186</v>
      </c>
      <c r="P190" s="450">
        <v>5.6849999999999996</v>
      </c>
      <c r="Q190" s="451">
        <f t="shared" si="4"/>
        <v>5.6849999999999996</v>
      </c>
      <c r="R190" s="451">
        <f>SUMIF('Wege im Detail'!$A:$A,"2529",'Wege im Detail'!$P:$P)</f>
        <v>64.75800000000001</v>
      </c>
      <c r="S190" s="452" t="s">
        <v>227</v>
      </c>
      <c r="T190" s="453">
        <v>43160</v>
      </c>
      <c r="U190" s="448"/>
      <c r="V190" s="468"/>
      <c r="W190" s="448"/>
    </row>
    <row r="191" spans="1:253" s="458" customFormat="1" ht="45" x14ac:dyDescent="0.2">
      <c r="A191" s="444">
        <v>2529</v>
      </c>
      <c r="B191" s="445" t="s">
        <v>51</v>
      </c>
      <c r="C191" s="445" t="s">
        <v>52</v>
      </c>
      <c r="D191" s="445"/>
      <c r="E191" s="445"/>
      <c r="F191" s="445"/>
      <c r="G191" s="446">
        <v>21</v>
      </c>
      <c r="H191" s="445">
        <v>3</v>
      </c>
      <c r="I191" s="445"/>
      <c r="J191" s="445">
        <v>13</v>
      </c>
      <c r="K191" s="447">
        <v>15</v>
      </c>
      <c r="L191" s="445" t="s">
        <v>225</v>
      </c>
      <c r="M191" s="445">
        <v>1</v>
      </c>
      <c r="N191" s="445" t="s">
        <v>436</v>
      </c>
      <c r="O191" s="461" t="s">
        <v>1187</v>
      </c>
      <c r="P191" s="450">
        <v>2.085</v>
      </c>
      <c r="Q191" s="451">
        <f t="shared" si="4"/>
        <v>2.085</v>
      </c>
      <c r="R191" s="451">
        <f>SUMIF('Wege im Detail'!$A:$A,"2529",'Wege im Detail'!$P:$P)</f>
        <v>64.75800000000001</v>
      </c>
      <c r="S191" s="452" t="s">
        <v>227</v>
      </c>
      <c r="T191" s="453">
        <v>43160</v>
      </c>
      <c r="U191" s="448"/>
      <c r="V191" s="468"/>
      <c r="W191" s="448"/>
    </row>
    <row r="192" spans="1:253" s="458" customFormat="1" ht="33.75" x14ac:dyDescent="0.2">
      <c r="A192" s="444">
        <v>2529</v>
      </c>
      <c r="B192" s="445" t="s">
        <v>51</v>
      </c>
      <c r="C192" s="445" t="s">
        <v>52</v>
      </c>
      <c r="D192" s="445"/>
      <c r="E192" s="445"/>
      <c r="F192" s="445"/>
      <c r="G192" s="446">
        <v>21</v>
      </c>
      <c r="H192" s="445">
        <v>3</v>
      </c>
      <c r="I192" s="445"/>
      <c r="J192" s="445">
        <v>14</v>
      </c>
      <c r="K192" s="447">
        <v>15</v>
      </c>
      <c r="L192" s="445" t="s">
        <v>225</v>
      </c>
      <c r="M192" s="445">
        <v>1</v>
      </c>
      <c r="N192" s="445" t="s">
        <v>425</v>
      </c>
      <c r="O192" s="461" t="s">
        <v>1188</v>
      </c>
      <c r="P192" s="450">
        <v>2.0169999999999999</v>
      </c>
      <c r="Q192" s="451">
        <f t="shared" ref="Q192:Q255" si="5">P192</f>
        <v>2.0169999999999999</v>
      </c>
      <c r="R192" s="451">
        <f>SUMIF('Wege im Detail'!$A:$A,"2529",'Wege im Detail'!$P:$P)</f>
        <v>64.75800000000001</v>
      </c>
      <c r="S192" s="452" t="s">
        <v>227</v>
      </c>
      <c r="T192" s="453">
        <v>43160</v>
      </c>
      <c r="U192" s="448"/>
      <c r="V192" s="468"/>
      <c r="W192" s="448"/>
    </row>
    <row r="193" spans="1:253" s="458" customFormat="1" ht="33.75" x14ac:dyDescent="0.2">
      <c r="A193" s="444">
        <v>2529</v>
      </c>
      <c r="B193" s="445" t="s">
        <v>51</v>
      </c>
      <c r="C193" s="445" t="s">
        <v>52</v>
      </c>
      <c r="D193" s="445"/>
      <c r="E193" s="445"/>
      <c r="F193" s="445"/>
      <c r="G193" s="446">
        <v>21</v>
      </c>
      <c r="H193" s="445">
        <v>3</v>
      </c>
      <c r="I193" s="445"/>
      <c r="J193" s="445">
        <v>15</v>
      </c>
      <c r="K193" s="447">
        <v>15</v>
      </c>
      <c r="L193" s="445" t="s">
        <v>225</v>
      </c>
      <c r="M193" s="445">
        <v>1</v>
      </c>
      <c r="N193" s="445" t="s">
        <v>436</v>
      </c>
      <c r="O193" s="461" t="s">
        <v>1189</v>
      </c>
      <c r="P193" s="450">
        <v>4.367</v>
      </c>
      <c r="Q193" s="451">
        <f t="shared" si="5"/>
        <v>4.367</v>
      </c>
      <c r="R193" s="451">
        <f>SUMIF('Wege im Detail'!$A:$A,"2529",'Wege im Detail'!$P:$P)</f>
        <v>64.75800000000001</v>
      </c>
      <c r="S193" s="452" t="s">
        <v>227</v>
      </c>
      <c r="T193" s="453">
        <v>43160</v>
      </c>
      <c r="U193" s="448"/>
      <c r="V193" s="468"/>
      <c r="W193" s="448"/>
    </row>
    <row r="194" spans="1:253" s="458" customFormat="1" ht="45" x14ac:dyDescent="0.2">
      <c r="A194" s="444">
        <v>2529</v>
      </c>
      <c r="B194" s="445" t="s">
        <v>51</v>
      </c>
      <c r="C194" s="445" t="s">
        <v>52</v>
      </c>
      <c r="D194" s="445"/>
      <c r="E194" s="445"/>
      <c r="F194" s="445"/>
      <c r="G194" s="446">
        <v>21</v>
      </c>
      <c r="H194" s="445">
        <v>3</v>
      </c>
      <c r="I194" s="445"/>
      <c r="J194" s="445">
        <v>2</v>
      </c>
      <c r="K194" s="447">
        <v>15</v>
      </c>
      <c r="L194" s="445" t="s">
        <v>225</v>
      </c>
      <c r="M194" s="445">
        <v>3</v>
      </c>
      <c r="N194" s="445" t="s">
        <v>466</v>
      </c>
      <c r="O194" s="461" t="s">
        <v>1190</v>
      </c>
      <c r="P194" s="450">
        <v>5.8769999999999998</v>
      </c>
      <c r="Q194" s="451">
        <f t="shared" si="5"/>
        <v>5.8769999999999998</v>
      </c>
      <c r="R194" s="451">
        <f>SUMIF('Wege im Detail'!$A:$A,"2529",'Wege im Detail'!$P:$P)</f>
        <v>64.75800000000001</v>
      </c>
      <c r="S194" s="452" t="s">
        <v>227</v>
      </c>
      <c r="T194" s="453">
        <v>43160</v>
      </c>
      <c r="U194" s="448"/>
      <c r="V194" s="468"/>
      <c r="W194" s="448"/>
    </row>
    <row r="195" spans="1:253" s="458" customFormat="1" ht="56.25" x14ac:dyDescent="0.2">
      <c r="A195" s="444">
        <v>2529</v>
      </c>
      <c r="B195" s="445" t="s">
        <v>51</v>
      </c>
      <c r="C195" s="445" t="s">
        <v>52</v>
      </c>
      <c r="D195" s="445"/>
      <c r="E195" s="445"/>
      <c r="F195" s="445"/>
      <c r="G195" s="446">
        <v>21</v>
      </c>
      <c r="H195" s="445">
        <v>3</v>
      </c>
      <c r="I195" s="445"/>
      <c r="J195" s="445">
        <v>3</v>
      </c>
      <c r="K195" s="447">
        <v>15</v>
      </c>
      <c r="L195" s="445" t="s">
        <v>225</v>
      </c>
      <c r="M195" s="445">
        <v>3</v>
      </c>
      <c r="N195" s="445" t="s">
        <v>351</v>
      </c>
      <c r="O195" s="461" t="s">
        <v>1191</v>
      </c>
      <c r="P195" s="450">
        <v>4.9429999999999996</v>
      </c>
      <c r="Q195" s="451">
        <f t="shared" si="5"/>
        <v>4.9429999999999996</v>
      </c>
      <c r="R195" s="451">
        <f>SUMIF('Wege im Detail'!$A:$A,"2529",'Wege im Detail'!$P:$P)</f>
        <v>64.75800000000001</v>
      </c>
      <c r="S195" s="452" t="s">
        <v>227</v>
      </c>
      <c r="T195" s="453">
        <v>43160</v>
      </c>
      <c r="U195" s="448"/>
      <c r="V195" s="468"/>
      <c r="W195" s="448"/>
    </row>
    <row r="196" spans="1:253" s="458" customFormat="1" ht="45" x14ac:dyDescent="0.2">
      <c r="A196" s="444">
        <v>2529</v>
      </c>
      <c r="B196" s="445" t="s">
        <v>51</v>
      </c>
      <c r="C196" s="445" t="s">
        <v>52</v>
      </c>
      <c r="D196" s="445"/>
      <c r="E196" s="445"/>
      <c r="F196" s="445"/>
      <c r="G196" s="446">
        <v>21</v>
      </c>
      <c r="H196" s="445">
        <v>3</v>
      </c>
      <c r="I196" s="445"/>
      <c r="J196" s="445">
        <v>4</v>
      </c>
      <c r="K196" s="447">
        <v>15</v>
      </c>
      <c r="L196" s="445" t="s">
        <v>225</v>
      </c>
      <c r="M196" s="445">
        <v>3</v>
      </c>
      <c r="N196" s="445" t="s">
        <v>303</v>
      </c>
      <c r="O196" s="461" t="s">
        <v>1192</v>
      </c>
      <c r="P196" s="450">
        <v>2.3650000000000002</v>
      </c>
      <c r="Q196" s="451">
        <f t="shared" si="5"/>
        <v>2.3650000000000002</v>
      </c>
      <c r="R196" s="451">
        <f>SUMIF('Wege im Detail'!$A:$A,"2529",'Wege im Detail'!$P:$P)</f>
        <v>64.75800000000001</v>
      </c>
      <c r="S196" s="452" t="s">
        <v>227</v>
      </c>
      <c r="T196" s="453">
        <v>43160</v>
      </c>
      <c r="U196" s="448"/>
      <c r="V196" s="468"/>
      <c r="W196" s="448"/>
    </row>
    <row r="197" spans="1:253" s="458" customFormat="1" ht="33.75" x14ac:dyDescent="0.2">
      <c r="A197" s="444">
        <v>2529</v>
      </c>
      <c r="B197" s="445" t="s">
        <v>51</v>
      </c>
      <c r="C197" s="445" t="s">
        <v>52</v>
      </c>
      <c r="D197" s="445"/>
      <c r="E197" s="445"/>
      <c r="F197" s="445"/>
      <c r="G197" s="446">
        <v>21</v>
      </c>
      <c r="H197" s="445">
        <v>3</v>
      </c>
      <c r="I197" s="445"/>
      <c r="J197" s="445">
        <v>5</v>
      </c>
      <c r="K197" s="447">
        <v>15</v>
      </c>
      <c r="L197" s="445" t="s">
        <v>225</v>
      </c>
      <c r="M197" s="445">
        <v>3</v>
      </c>
      <c r="N197" s="445" t="s">
        <v>206</v>
      </c>
      <c r="O197" s="461" t="s">
        <v>1193</v>
      </c>
      <c r="P197" s="450">
        <v>2.5030000000000001</v>
      </c>
      <c r="Q197" s="451">
        <f t="shared" si="5"/>
        <v>2.5030000000000001</v>
      </c>
      <c r="R197" s="451">
        <f>SUMIF('Wege im Detail'!$A:$A,"2529",'Wege im Detail'!$P:$P)</f>
        <v>64.75800000000001</v>
      </c>
      <c r="S197" s="452" t="s">
        <v>227</v>
      </c>
      <c r="T197" s="453">
        <v>43160</v>
      </c>
      <c r="U197" s="448"/>
      <c r="V197" s="468"/>
      <c r="W197" s="448"/>
    </row>
    <row r="198" spans="1:253" s="458" customFormat="1" ht="49.5" customHeight="1" x14ac:dyDescent="0.2">
      <c r="A198" s="444">
        <v>2529</v>
      </c>
      <c r="B198" s="445" t="s">
        <v>51</v>
      </c>
      <c r="C198" s="445" t="s">
        <v>52</v>
      </c>
      <c r="D198" s="445"/>
      <c r="E198" s="445"/>
      <c r="F198" s="445"/>
      <c r="G198" s="446">
        <v>21</v>
      </c>
      <c r="H198" s="445">
        <v>3</v>
      </c>
      <c r="I198" s="445"/>
      <c r="J198" s="445">
        <v>6</v>
      </c>
      <c r="K198" s="447">
        <v>15</v>
      </c>
      <c r="L198" s="445" t="s">
        <v>225</v>
      </c>
      <c r="M198" s="445">
        <v>3</v>
      </c>
      <c r="N198" s="445" t="s">
        <v>299</v>
      </c>
      <c r="O198" s="461" t="s">
        <v>1194</v>
      </c>
      <c r="P198" s="450">
        <v>2.34</v>
      </c>
      <c r="Q198" s="451">
        <f t="shared" si="5"/>
        <v>2.34</v>
      </c>
      <c r="R198" s="451">
        <f>SUMIF('Wege im Detail'!$A:$A,"2529",'Wege im Detail'!$P:$P)</f>
        <v>64.75800000000001</v>
      </c>
      <c r="S198" s="452" t="s">
        <v>227</v>
      </c>
      <c r="T198" s="453">
        <v>43160</v>
      </c>
      <c r="U198" s="448"/>
      <c r="V198" s="468"/>
      <c r="W198" s="448"/>
    </row>
    <row r="199" spans="1:253" s="458" customFormat="1" ht="49.5" customHeight="1" x14ac:dyDescent="0.2">
      <c r="A199" s="444">
        <v>2530</v>
      </c>
      <c r="B199" s="445" t="s">
        <v>51</v>
      </c>
      <c r="C199" s="445" t="s">
        <v>52</v>
      </c>
      <c r="D199" s="445"/>
      <c r="E199" s="445"/>
      <c r="F199" s="445"/>
      <c r="G199" s="446">
        <v>24</v>
      </c>
      <c r="H199" s="445">
        <v>10</v>
      </c>
      <c r="I199" s="445"/>
      <c r="J199" s="445">
        <v>1</v>
      </c>
      <c r="K199" s="447">
        <v>6</v>
      </c>
      <c r="L199" s="445" t="s">
        <v>229</v>
      </c>
      <c r="M199" s="445">
        <v>5</v>
      </c>
      <c r="N199" s="445" t="s">
        <v>248</v>
      </c>
      <c r="O199" s="449" t="s">
        <v>1195</v>
      </c>
      <c r="P199" s="450">
        <v>7.9809999999999999</v>
      </c>
      <c r="Q199" s="451">
        <f t="shared" si="5"/>
        <v>7.9809999999999999</v>
      </c>
      <c r="R199" s="451">
        <f>SUMIF('Wege im Detail'!$A:$A,"2530",'Wege im Detail'!$P:$P)</f>
        <v>41.998000000000005</v>
      </c>
      <c r="S199" s="452" t="s">
        <v>231</v>
      </c>
      <c r="T199" s="453">
        <v>43160</v>
      </c>
      <c r="U199" s="448"/>
      <c r="V199" s="468"/>
      <c r="W199" s="448"/>
    </row>
    <row r="200" spans="1:253" s="458" customFormat="1" ht="45" x14ac:dyDescent="0.2">
      <c r="A200" s="444">
        <v>2530</v>
      </c>
      <c r="B200" s="445" t="s">
        <v>51</v>
      </c>
      <c r="C200" s="445" t="s">
        <v>52</v>
      </c>
      <c r="D200" s="445"/>
      <c r="E200" s="445"/>
      <c r="F200" s="445"/>
      <c r="G200" s="446">
        <v>24</v>
      </c>
      <c r="H200" s="445">
        <v>10</v>
      </c>
      <c r="I200" s="445"/>
      <c r="J200" s="445">
        <v>2</v>
      </c>
      <c r="K200" s="447">
        <v>6</v>
      </c>
      <c r="L200" s="445" t="s">
        <v>229</v>
      </c>
      <c r="M200" s="445">
        <v>5</v>
      </c>
      <c r="N200" s="445" t="s">
        <v>208</v>
      </c>
      <c r="O200" s="449" t="s">
        <v>1196</v>
      </c>
      <c r="P200" s="450">
        <v>4.2450000000000001</v>
      </c>
      <c r="Q200" s="451">
        <f t="shared" si="5"/>
        <v>4.2450000000000001</v>
      </c>
      <c r="R200" s="451">
        <f>SUMIF('Wege im Detail'!$A:$A,"2530",'Wege im Detail'!$P:$P)</f>
        <v>41.998000000000005</v>
      </c>
      <c r="S200" s="452" t="s">
        <v>231</v>
      </c>
      <c r="T200" s="453">
        <v>43160</v>
      </c>
      <c r="U200" s="448"/>
      <c r="V200" s="468"/>
      <c r="W200" s="448"/>
      <c r="X200" s="455"/>
      <c r="Y200" s="455"/>
      <c r="Z200" s="455"/>
      <c r="AA200" s="455"/>
      <c r="AB200" s="455"/>
      <c r="AC200" s="455"/>
      <c r="AD200" s="455"/>
      <c r="AE200" s="455"/>
      <c r="AF200" s="455"/>
      <c r="AG200" s="455"/>
      <c r="AH200" s="455"/>
      <c r="AI200" s="455"/>
      <c r="AJ200" s="455"/>
      <c r="AK200" s="455"/>
      <c r="AL200" s="455"/>
      <c r="AM200" s="455"/>
      <c r="AN200" s="455"/>
      <c r="AO200" s="455"/>
      <c r="AP200" s="455"/>
      <c r="AQ200" s="455"/>
      <c r="AR200" s="455"/>
      <c r="AS200" s="455"/>
      <c r="AT200" s="455"/>
      <c r="AU200" s="455"/>
      <c r="AV200" s="455"/>
      <c r="AW200" s="455"/>
      <c r="AX200" s="455"/>
      <c r="AY200" s="455"/>
      <c r="AZ200" s="455"/>
      <c r="BA200" s="455"/>
      <c r="BB200" s="455"/>
      <c r="BC200" s="455"/>
      <c r="BD200" s="455"/>
      <c r="BE200" s="455"/>
      <c r="BF200" s="455"/>
      <c r="BG200" s="455"/>
      <c r="BH200" s="455"/>
      <c r="BI200" s="455"/>
      <c r="BJ200" s="455"/>
      <c r="BK200" s="455"/>
      <c r="BL200" s="455"/>
      <c r="BM200" s="455"/>
      <c r="BN200" s="455"/>
      <c r="BO200" s="455"/>
      <c r="BP200" s="455"/>
      <c r="BQ200" s="455"/>
      <c r="BR200" s="455"/>
      <c r="BS200" s="455"/>
      <c r="BT200" s="455"/>
      <c r="BU200" s="455"/>
      <c r="BV200" s="455"/>
      <c r="BW200" s="455"/>
      <c r="BX200" s="455"/>
      <c r="BY200" s="455"/>
      <c r="BZ200" s="455"/>
      <c r="CA200" s="455"/>
      <c r="CB200" s="455"/>
      <c r="CC200" s="455"/>
      <c r="CD200" s="455"/>
      <c r="CE200" s="455"/>
      <c r="CF200" s="455"/>
      <c r="CG200" s="455"/>
      <c r="CH200" s="455"/>
      <c r="CI200" s="455"/>
      <c r="CJ200" s="455"/>
      <c r="CK200" s="455"/>
      <c r="CL200" s="455"/>
      <c r="CM200" s="455"/>
      <c r="CN200" s="455"/>
      <c r="CO200" s="455"/>
      <c r="CP200" s="455"/>
      <c r="CQ200" s="455"/>
      <c r="CR200" s="455"/>
      <c r="CS200" s="455"/>
      <c r="CT200" s="455"/>
      <c r="CU200" s="455"/>
      <c r="CV200" s="455"/>
      <c r="CW200" s="455"/>
      <c r="CX200" s="455"/>
      <c r="CY200" s="455"/>
      <c r="CZ200" s="455"/>
      <c r="DA200" s="455"/>
      <c r="DB200" s="455"/>
      <c r="DC200" s="455"/>
      <c r="DD200" s="455"/>
      <c r="DE200" s="455"/>
      <c r="DF200" s="455"/>
      <c r="DG200" s="455"/>
      <c r="DH200" s="455"/>
      <c r="DI200" s="455"/>
      <c r="DJ200" s="455"/>
      <c r="DK200" s="455"/>
      <c r="DL200" s="455"/>
      <c r="DM200" s="455"/>
      <c r="DN200" s="455"/>
      <c r="DO200" s="455"/>
      <c r="DP200" s="455"/>
      <c r="DQ200" s="455"/>
      <c r="DR200" s="455"/>
      <c r="DS200" s="455"/>
      <c r="DT200" s="455"/>
      <c r="DU200" s="455"/>
      <c r="DV200" s="455"/>
      <c r="DW200" s="455"/>
      <c r="DX200" s="455"/>
      <c r="DY200" s="455"/>
      <c r="DZ200" s="455"/>
      <c r="EA200" s="455"/>
      <c r="EB200" s="455"/>
      <c r="EC200" s="455"/>
      <c r="ED200" s="455"/>
      <c r="EE200" s="455"/>
      <c r="EF200" s="455"/>
      <c r="EG200" s="455"/>
      <c r="EH200" s="455"/>
      <c r="EI200" s="455"/>
      <c r="EJ200" s="455"/>
      <c r="EK200" s="455"/>
      <c r="EL200" s="455"/>
      <c r="EM200" s="455"/>
      <c r="EN200" s="455"/>
      <c r="EO200" s="455"/>
      <c r="EP200" s="455"/>
      <c r="EQ200" s="455"/>
      <c r="ER200" s="455"/>
      <c r="ES200" s="455"/>
      <c r="ET200" s="455"/>
      <c r="EU200" s="455"/>
      <c r="EV200" s="455"/>
      <c r="EW200" s="455"/>
      <c r="EX200" s="455"/>
      <c r="EY200" s="455"/>
      <c r="EZ200" s="455"/>
      <c r="FA200" s="455"/>
      <c r="FB200" s="455"/>
      <c r="FC200" s="455"/>
      <c r="FD200" s="455"/>
      <c r="FE200" s="455"/>
      <c r="FF200" s="455"/>
      <c r="FG200" s="455"/>
      <c r="FH200" s="455"/>
      <c r="FI200" s="455"/>
      <c r="FJ200" s="455"/>
      <c r="FK200" s="455"/>
      <c r="FL200" s="455"/>
      <c r="FM200" s="455"/>
      <c r="FN200" s="455"/>
      <c r="FO200" s="455"/>
      <c r="FP200" s="455"/>
      <c r="FQ200" s="455"/>
      <c r="FR200" s="455"/>
      <c r="FS200" s="455"/>
      <c r="FT200" s="455"/>
      <c r="FU200" s="455"/>
      <c r="FV200" s="455"/>
      <c r="FW200" s="455"/>
      <c r="FX200" s="455"/>
      <c r="FY200" s="455"/>
      <c r="FZ200" s="455"/>
      <c r="GA200" s="455"/>
      <c r="GB200" s="455"/>
      <c r="GC200" s="455"/>
      <c r="GD200" s="455"/>
      <c r="GE200" s="455"/>
      <c r="GF200" s="455"/>
      <c r="GG200" s="455"/>
      <c r="GH200" s="455"/>
      <c r="GI200" s="455"/>
      <c r="GJ200" s="455"/>
      <c r="GK200" s="455"/>
      <c r="GL200" s="455"/>
      <c r="GM200" s="455"/>
      <c r="GN200" s="455"/>
      <c r="GO200" s="455"/>
      <c r="GP200" s="455"/>
      <c r="GQ200" s="455"/>
      <c r="GR200" s="455"/>
      <c r="GS200" s="455"/>
      <c r="GT200" s="455"/>
      <c r="GU200" s="455"/>
      <c r="GV200" s="455"/>
      <c r="GW200" s="455"/>
      <c r="GX200" s="455"/>
      <c r="GY200" s="455"/>
      <c r="GZ200" s="455"/>
      <c r="HA200" s="455"/>
      <c r="HB200" s="455"/>
      <c r="HC200" s="455"/>
      <c r="HD200" s="455"/>
      <c r="HE200" s="455"/>
      <c r="HF200" s="455"/>
      <c r="HG200" s="455"/>
      <c r="HH200" s="455"/>
      <c r="HI200" s="455"/>
      <c r="HJ200" s="455"/>
      <c r="HK200" s="455"/>
      <c r="HL200" s="455"/>
      <c r="HM200" s="455"/>
      <c r="HN200" s="455"/>
      <c r="HO200" s="455"/>
      <c r="HP200" s="455"/>
      <c r="HQ200" s="455"/>
      <c r="HR200" s="455"/>
      <c r="HS200" s="455"/>
      <c r="HT200" s="455"/>
      <c r="HU200" s="455"/>
      <c r="HV200" s="455"/>
      <c r="HW200" s="455"/>
      <c r="HX200" s="455"/>
      <c r="HY200" s="455"/>
      <c r="HZ200" s="455"/>
      <c r="IA200" s="455"/>
      <c r="IB200" s="455"/>
      <c r="IC200" s="455"/>
      <c r="ID200" s="455"/>
      <c r="IE200" s="455"/>
      <c r="IF200" s="455"/>
      <c r="IG200" s="455"/>
      <c r="IH200" s="455"/>
      <c r="II200" s="455"/>
      <c r="IJ200" s="455"/>
      <c r="IK200" s="455"/>
      <c r="IL200" s="455"/>
      <c r="IM200" s="455"/>
      <c r="IN200" s="455"/>
      <c r="IO200" s="455"/>
      <c r="IP200" s="455"/>
      <c r="IQ200" s="455"/>
      <c r="IR200" s="455"/>
      <c r="IS200" s="455"/>
    </row>
    <row r="201" spans="1:253" s="458" customFormat="1" ht="45" x14ac:dyDescent="0.2">
      <c r="A201" s="444">
        <v>2530</v>
      </c>
      <c r="B201" s="445" t="s">
        <v>51</v>
      </c>
      <c r="C201" s="445" t="s">
        <v>52</v>
      </c>
      <c r="D201" s="445"/>
      <c r="E201" s="445"/>
      <c r="F201" s="445"/>
      <c r="G201" s="446">
        <v>24</v>
      </c>
      <c r="H201" s="445">
        <v>10</v>
      </c>
      <c r="I201" s="445"/>
      <c r="J201" s="445">
        <v>3</v>
      </c>
      <c r="K201" s="447">
        <v>6</v>
      </c>
      <c r="L201" s="445" t="s">
        <v>229</v>
      </c>
      <c r="M201" s="445">
        <v>5</v>
      </c>
      <c r="N201" s="445" t="s">
        <v>181</v>
      </c>
      <c r="O201" s="449" t="s">
        <v>1197</v>
      </c>
      <c r="P201" s="450">
        <v>8.8670000000000009</v>
      </c>
      <c r="Q201" s="451">
        <f t="shared" si="5"/>
        <v>8.8670000000000009</v>
      </c>
      <c r="R201" s="451">
        <f>SUMIF('Wege im Detail'!$A:$A,"2530",'Wege im Detail'!$P:$P)</f>
        <v>41.998000000000005</v>
      </c>
      <c r="S201" s="452" t="s">
        <v>231</v>
      </c>
      <c r="T201" s="453">
        <v>43160</v>
      </c>
      <c r="U201" s="448"/>
      <c r="V201" s="468"/>
      <c r="W201" s="448"/>
    </row>
    <row r="202" spans="1:253" s="458" customFormat="1" ht="45" x14ac:dyDescent="0.2">
      <c r="A202" s="444">
        <v>2530</v>
      </c>
      <c r="B202" s="445" t="s">
        <v>51</v>
      </c>
      <c r="C202" s="445" t="s">
        <v>52</v>
      </c>
      <c r="D202" s="445"/>
      <c r="E202" s="445"/>
      <c r="F202" s="445"/>
      <c r="G202" s="446">
        <v>24</v>
      </c>
      <c r="H202" s="445">
        <v>10</v>
      </c>
      <c r="I202" s="445"/>
      <c r="J202" s="445">
        <v>4</v>
      </c>
      <c r="K202" s="447">
        <v>6</v>
      </c>
      <c r="L202" s="445" t="s">
        <v>229</v>
      </c>
      <c r="M202" s="445">
        <v>2</v>
      </c>
      <c r="N202" s="445" t="s">
        <v>67</v>
      </c>
      <c r="O202" s="449" t="s">
        <v>1198</v>
      </c>
      <c r="P202" s="450">
        <v>6.9109999999999996</v>
      </c>
      <c r="Q202" s="451">
        <f t="shared" si="5"/>
        <v>6.9109999999999996</v>
      </c>
      <c r="R202" s="451">
        <f>SUMIF('Wege im Detail'!$A:$A,"2530",'Wege im Detail'!$P:$P)</f>
        <v>41.998000000000005</v>
      </c>
      <c r="S202" s="452" t="s">
        <v>231</v>
      </c>
      <c r="T202" s="453">
        <v>43160</v>
      </c>
      <c r="U202" s="448"/>
      <c r="V202" s="468"/>
      <c r="W202" s="448"/>
      <c r="X202" s="455"/>
      <c r="Y202" s="455"/>
      <c r="Z202" s="455"/>
      <c r="AA202" s="455"/>
      <c r="AB202" s="455"/>
      <c r="AC202" s="455"/>
      <c r="AD202" s="455"/>
      <c r="AE202" s="455"/>
      <c r="AF202" s="455"/>
      <c r="AG202" s="455"/>
      <c r="AH202" s="455"/>
      <c r="AI202" s="455"/>
      <c r="AJ202" s="455"/>
      <c r="AK202" s="455"/>
      <c r="AL202" s="455"/>
      <c r="AM202" s="455"/>
      <c r="AN202" s="455"/>
      <c r="AO202" s="455"/>
      <c r="AP202" s="455"/>
      <c r="AQ202" s="455"/>
      <c r="AR202" s="455"/>
      <c r="AS202" s="455"/>
      <c r="AT202" s="455"/>
      <c r="AU202" s="455"/>
      <c r="AV202" s="455"/>
      <c r="AW202" s="455"/>
      <c r="AX202" s="455"/>
      <c r="AY202" s="455"/>
      <c r="AZ202" s="455"/>
      <c r="BA202" s="455"/>
      <c r="BB202" s="455"/>
      <c r="BC202" s="455"/>
      <c r="BD202" s="455"/>
      <c r="BE202" s="455"/>
      <c r="BF202" s="455"/>
      <c r="BG202" s="455"/>
      <c r="BH202" s="455"/>
      <c r="BI202" s="455"/>
      <c r="BJ202" s="455"/>
      <c r="BK202" s="455"/>
      <c r="BL202" s="455"/>
      <c r="BM202" s="455"/>
      <c r="BN202" s="455"/>
      <c r="BO202" s="455"/>
      <c r="BP202" s="455"/>
      <c r="BQ202" s="455"/>
      <c r="BR202" s="455"/>
      <c r="BS202" s="455"/>
      <c r="BT202" s="455"/>
      <c r="BU202" s="455"/>
      <c r="BV202" s="455"/>
      <c r="BW202" s="455"/>
      <c r="BX202" s="455"/>
      <c r="BY202" s="455"/>
      <c r="BZ202" s="455"/>
      <c r="CA202" s="455"/>
      <c r="CB202" s="455"/>
      <c r="CC202" s="455"/>
      <c r="CD202" s="455"/>
      <c r="CE202" s="455"/>
      <c r="CF202" s="455"/>
      <c r="CG202" s="455"/>
      <c r="CH202" s="455"/>
      <c r="CI202" s="455"/>
      <c r="CJ202" s="455"/>
      <c r="CK202" s="455"/>
      <c r="CL202" s="455"/>
      <c r="CM202" s="455"/>
      <c r="CN202" s="455"/>
      <c r="CO202" s="455"/>
      <c r="CP202" s="455"/>
      <c r="CQ202" s="455"/>
      <c r="CR202" s="455"/>
      <c r="CS202" s="455"/>
      <c r="CT202" s="455"/>
      <c r="CU202" s="455"/>
      <c r="CV202" s="455"/>
      <c r="CW202" s="455"/>
      <c r="CX202" s="455"/>
      <c r="CY202" s="455"/>
      <c r="CZ202" s="455"/>
      <c r="DA202" s="455"/>
      <c r="DB202" s="455"/>
      <c r="DC202" s="455"/>
      <c r="DD202" s="455"/>
      <c r="DE202" s="455"/>
      <c r="DF202" s="455"/>
      <c r="DG202" s="455"/>
      <c r="DH202" s="455"/>
      <c r="DI202" s="455"/>
      <c r="DJ202" s="455"/>
      <c r="DK202" s="455"/>
      <c r="DL202" s="455"/>
      <c r="DM202" s="455"/>
      <c r="DN202" s="455"/>
      <c r="DO202" s="455"/>
      <c r="DP202" s="455"/>
      <c r="DQ202" s="455"/>
      <c r="DR202" s="455"/>
      <c r="DS202" s="455"/>
      <c r="DT202" s="455"/>
      <c r="DU202" s="455"/>
      <c r="DV202" s="455"/>
      <c r="DW202" s="455"/>
      <c r="DX202" s="455"/>
      <c r="DY202" s="455"/>
      <c r="DZ202" s="455"/>
      <c r="EA202" s="455"/>
      <c r="EB202" s="455"/>
      <c r="EC202" s="455"/>
      <c r="ED202" s="455"/>
      <c r="EE202" s="455"/>
      <c r="EF202" s="455"/>
      <c r="EG202" s="455"/>
      <c r="EH202" s="455"/>
      <c r="EI202" s="455"/>
      <c r="EJ202" s="455"/>
      <c r="EK202" s="455"/>
      <c r="EL202" s="455"/>
      <c r="EM202" s="455"/>
      <c r="EN202" s="455"/>
      <c r="EO202" s="455"/>
      <c r="EP202" s="455"/>
      <c r="EQ202" s="455"/>
      <c r="ER202" s="455"/>
      <c r="ES202" s="455"/>
      <c r="ET202" s="455"/>
      <c r="EU202" s="455"/>
      <c r="EV202" s="455"/>
      <c r="EW202" s="455"/>
      <c r="EX202" s="455"/>
      <c r="EY202" s="455"/>
      <c r="EZ202" s="455"/>
      <c r="FA202" s="455"/>
      <c r="FB202" s="455"/>
      <c r="FC202" s="455"/>
      <c r="FD202" s="455"/>
      <c r="FE202" s="455"/>
      <c r="FF202" s="455"/>
      <c r="FG202" s="455"/>
      <c r="FH202" s="455"/>
      <c r="FI202" s="455"/>
      <c r="FJ202" s="455"/>
      <c r="FK202" s="455"/>
      <c r="FL202" s="455"/>
      <c r="FM202" s="455"/>
      <c r="FN202" s="455"/>
      <c r="FO202" s="455"/>
      <c r="FP202" s="455"/>
      <c r="FQ202" s="455"/>
      <c r="FR202" s="455"/>
      <c r="FS202" s="455"/>
      <c r="FT202" s="455"/>
      <c r="FU202" s="455"/>
      <c r="FV202" s="455"/>
      <c r="FW202" s="455"/>
      <c r="FX202" s="455"/>
      <c r="FY202" s="455"/>
      <c r="FZ202" s="455"/>
      <c r="GA202" s="455"/>
      <c r="GB202" s="455"/>
      <c r="GC202" s="455"/>
      <c r="GD202" s="455"/>
      <c r="GE202" s="455"/>
      <c r="GF202" s="455"/>
      <c r="GG202" s="455"/>
      <c r="GH202" s="455"/>
      <c r="GI202" s="455"/>
      <c r="GJ202" s="455"/>
      <c r="GK202" s="455"/>
      <c r="GL202" s="455"/>
      <c r="GM202" s="455"/>
      <c r="GN202" s="455"/>
      <c r="GO202" s="455"/>
      <c r="GP202" s="455"/>
      <c r="GQ202" s="455"/>
      <c r="GR202" s="455"/>
      <c r="GS202" s="455"/>
      <c r="GT202" s="455"/>
      <c r="GU202" s="455"/>
      <c r="GV202" s="455"/>
      <c r="GW202" s="455"/>
      <c r="GX202" s="455"/>
      <c r="GY202" s="455"/>
      <c r="GZ202" s="455"/>
      <c r="HA202" s="455"/>
      <c r="HB202" s="455"/>
      <c r="HC202" s="455"/>
      <c r="HD202" s="455"/>
      <c r="HE202" s="455"/>
      <c r="HF202" s="455"/>
      <c r="HG202" s="455"/>
      <c r="HH202" s="455"/>
      <c r="HI202" s="455"/>
      <c r="HJ202" s="455"/>
      <c r="HK202" s="455"/>
      <c r="HL202" s="455"/>
      <c r="HM202" s="455"/>
      <c r="HN202" s="455"/>
      <c r="HO202" s="455"/>
      <c r="HP202" s="455"/>
      <c r="HQ202" s="455"/>
      <c r="HR202" s="455"/>
      <c r="HS202" s="455"/>
      <c r="HT202" s="455"/>
      <c r="HU202" s="455"/>
      <c r="HV202" s="455"/>
      <c r="HW202" s="455"/>
      <c r="HX202" s="455"/>
      <c r="HY202" s="455"/>
      <c r="HZ202" s="455"/>
      <c r="IA202" s="455"/>
      <c r="IB202" s="455"/>
      <c r="IC202" s="455"/>
      <c r="ID202" s="455"/>
      <c r="IE202" s="455"/>
      <c r="IF202" s="455"/>
      <c r="IG202" s="455"/>
      <c r="IH202" s="455"/>
      <c r="II202" s="455"/>
      <c r="IJ202" s="455"/>
      <c r="IK202" s="455"/>
      <c r="IL202" s="455"/>
      <c r="IM202" s="455"/>
      <c r="IN202" s="455"/>
      <c r="IO202" s="455"/>
      <c r="IP202" s="455"/>
      <c r="IQ202" s="455"/>
      <c r="IR202" s="455"/>
      <c r="IS202" s="455"/>
    </row>
    <row r="203" spans="1:253" s="458" customFormat="1" ht="45" x14ac:dyDescent="0.2">
      <c r="A203" s="444">
        <v>2530</v>
      </c>
      <c r="B203" s="445" t="s">
        <v>51</v>
      </c>
      <c r="C203" s="445" t="s">
        <v>52</v>
      </c>
      <c r="D203" s="445"/>
      <c r="E203" s="445"/>
      <c r="F203" s="445"/>
      <c r="G203" s="446">
        <v>24</v>
      </c>
      <c r="H203" s="445">
        <v>10</v>
      </c>
      <c r="I203" s="445"/>
      <c r="J203" s="445">
        <v>5</v>
      </c>
      <c r="K203" s="447">
        <v>6</v>
      </c>
      <c r="L203" s="445" t="s">
        <v>229</v>
      </c>
      <c r="M203" s="445">
        <v>1</v>
      </c>
      <c r="N203" s="445" t="s">
        <v>425</v>
      </c>
      <c r="O203" s="449" t="s">
        <v>1199</v>
      </c>
      <c r="P203" s="450">
        <v>9.6419999999999995</v>
      </c>
      <c r="Q203" s="451">
        <f t="shared" si="5"/>
        <v>9.6419999999999995</v>
      </c>
      <c r="R203" s="451">
        <f>SUMIF('Wege im Detail'!$A:$A,"2530",'Wege im Detail'!$P:$P)</f>
        <v>41.998000000000005</v>
      </c>
      <c r="S203" s="452" t="s">
        <v>231</v>
      </c>
      <c r="T203" s="453">
        <v>43160</v>
      </c>
      <c r="U203" s="448"/>
      <c r="V203" s="468"/>
      <c r="W203" s="448"/>
      <c r="X203" s="455"/>
      <c r="Y203" s="455"/>
      <c r="Z203" s="455"/>
      <c r="AA203" s="455"/>
      <c r="AB203" s="455"/>
      <c r="AC203" s="455"/>
      <c r="AD203" s="455"/>
      <c r="AE203" s="455"/>
      <c r="AF203" s="455"/>
      <c r="AG203" s="455"/>
      <c r="AH203" s="455"/>
      <c r="AI203" s="455"/>
      <c r="AJ203" s="455"/>
      <c r="AK203" s="455"/>
      <c r="AL203" s="455"/>
      <c r="AM203" s="455"/>
      <c r="AN203" s="455"/>
      <c r="AO203" s="455"/>
      <c r="AP203" s="455"/>
      <c r="AQ203" s="455"/>
      <c r="AR203" s="455"/>
      <c r="AS203" s="455"/>
      <c r="AT203" s="455"/>
      <c r="AU203" s="455"/>
      <c r="AV203" s="455"/>
      <c r="AW203" s="455"/>
      <c r="AX203" s="455"/>
      <c r="AY203" s="455"/>
      <c r="AZ203" s="455"/>
      <c r="BA203" s="455"/>
      <c r="BB203" s="455"/>
      <c r="BC203" s="455"/>
      <c r="BD203" s="455"/>
      <c r="BE203" s="455"/>
      <c r="BF203" s="455"/>
      <c r="BG203" s="455"/>
      <c r="BH203" s="455"/>
      <c r="BI203" s="455"/>
      <c r="BJ203" s="455"/>
      <c r="BK203" s="455"/>
      <c r="BL203" s="455"/>
      <c r="BM203" s="455"/>
      <c r="BN203" s="455"/>
      <c r="BO203" s="455"/>
      <c r="BP203" s="455"/>
      <c r="BQ203" s="455"/>
      <c r="BR203" s="455"/>
      <c r="BS203" s="455"/>
      <c r="BT203" s="455"/>
      <c r="BU203" s="455"/>
      <c r="BV203" s="455"/>
      <c r="BW203" s="455"/>
      <c r="BX203" s="455"/>
      <c r="BY203" s="455"/>
      <c r="BZ203" s="455"/>
      <c r="CA203" s="455"/>
      <c r="CB203" s="455"/>
      <c r="CC203" s="455"/>
      <c r="CD203" s="455"/>
      <c r="CE203" s="455"/>
      <c r="CF203" s="455"/>
      <c r="CG203" s="455"/>
      <c r="CH203" s="455"/>
      <c r="CI203" s="455"/>
      <c r="CJ203" s="455"/>
      <c r="CK203" s="455"/>
      <c r="CL203" s="455"/>
      <c r="CM203" s="455"/>
      <c r="CN203" s="455"/>
      <c r="CO203" s="455"/>
      <c r="CP203" s="455"/>
      <c r="CQ203" s="455"/>
      <c r="CR203" s="455"/>
      <c r="CS203" s="455"/>
      <c r="CT203" s="455"/>
      <c r="CU203" s="455"/>
      <c r="CV203" s="455"/>
      <c r="CW203" s="455"/>
      <c r="CX203" s="455"/>
      <c r="CY203" s="455"/>
      <c r="CZ203" s="455"/>
      <c r="DA203" s="455"/>
      <c r="DB203" s="455"/>
      <c r="DC203" s="455"/>
      <c r="DD203" s="455"/>
      <c r="DE203" s="455"/>
      <c r="DF203" s="455"/>
      <c r="DG203" s="455"/>
      <c r="DH203" s="455"/>
      <c r="DI203" s="455"/>
      <c r="DJ203" s="455"/>
      <c r="DK203" s="455"/>
      <c r="DL203" s="455"/>
      <c r="DM203" s="455"/>
      <c r="DN203" s="455"/>
      <c r="DO203" s="455"/>
      <c r="DP203" s="455"/>
      <c r="DQ203" s="455"/>
      <c r="DR203" s="455"/>
      <c r="DS203" s="455"/>
      <c r="DT203" s="455"/>
      <c r="DU203" s="455"/>
      <c r="DV203" s="455"/>
      <c r="DW203" s="455"/>
      <c r="DX203" s="455"/>
      <c r="DY203" s="455"/>
      <c r="DZ203" s="455"/>
      <c r="EA203" s="455"/>
      <c r="EB203" s="455"/>
      <c r="EC203" s="455"/>
      <c r="ED203" s="455"/>
      <c r="EE203" s="455"/>
      <c r="EF203" s="455"/>
      <c r="EG203" s="455"/>
      <c r="EH203" s="455"/>
      <c r="EI203" s="455"/>
      <c r="EJ203" s="455"/>
      <c r="EK203" s="455"/>
      <c r="EL203" s="455"/>
      <c r="EM203" s="455"/>
      <c r="EN203" s="455"/>
      <c r="EO203" s="455"/>
      <c r="EP203" s="455"/>
      <c r="EQ203" s="455"/>
      <c r="ER203" s="455"/>
      <c r="ES203" s="455"/>
      <c r="ET203" s="455"/>
      <c r="EU203" s="455"/>
      <c r="EV203" s="455"/>
      <c r="EW203" s="455"/>
      <c r="EX203" s="455"/>
      <c r="EY203" s="455"/>
      <c r="EZ203" s="455"/>
      <c r="FA203" s="455"/>
      <c r="FB203" s="455"/>
      <c r="FC203" s="455"/>
      <c r="FD203" s="455"/>
      <c r="FE203" s="455"/>
      <c r="FF203" s="455"/>
      <c r="FG203" s="455"/>
      <c r="FH203" s="455"/>
      <c r="FI203" s="455"/>
      <c r="FJ203" s="455"/>
      <c r="FK203" s="455"/>
      <c r="FL203" s="455"/>
      <c r="FM203" s="455"/>
      <c r="FN203" s="455"/>
      <c r="FO203" s="455"/>
      <c r="FP203" s="455"/>
      <c r="FQ203" s="455"/>
      <c r="FR203" s="455"/>
      <c r="FS203" s="455"/>
      <c r="FT203" s="455"/>
      <c r="FU203" s="455"/>
      <c r="FV203" s="455"/>
      <c r="FW203" s="455"/>
      <c r="FX203" s="455"/>
      <c r="FY203" s="455"/>
      <c r="FZ203" s="455"/>
      <c r="GA203" s="455"/>
      <c r="GB203" s="455"/>
      <c r="GC203" s="455"/>
      <c r="GD203" s="455"/>
      <c r="GE203" s="455"/>
      <c r="GF203" s="455"/>
      <c r="GG203" s="455"/>
      <c r="GH203" s="455"/>
      <c r="GI203" s="455"/>
      <c r="GJ203" s="455"/>
      <c r="GK203" s="455"/>
      <c r="GL203" s="455"/>
      <c r="GM203" s="455"/>
      <c r="GN203" s="455"/>
      <c r="GO203" s="455"/>
      <c r="GP203" s="455"/>
      <c r="GQ203" s="455"/>
      <c r="GR203" s="455"/>
      <c r="GS203" s="455"/>
      <c r="GT203" s="455"/>
      <c r="GU203" s="455"/>
      <c r="GV203" s="455"/>
      <c r="GW203" s="455"/>
      <c r="GX203" s="455"/>
      <c r="GY203" s="455"/>
      <c r="GZ203" s="455"/>
      <c r="HA203" s="455"/>
      <c r="HB203" s="455"/>
      <c r="HC203" s="455"/>
      <c r="HD203" s="455"/>
      <c r="HE203" s="455"/>
      <c r="HF203" s="455"/>
      <c r="HG203" s="455"/>
      <c r="HH203" s="455"/>
      <c r="HI203" s="455"/>
      <c r="HJ203" s="455"/>
      <c r="HK203" s="455"/>
      <c r="HL203" s="455"/>
      <c r="HM203" s="455"/>
      <c r="HN203" s="455"/>
      <c r="HO203" s="455"/>
      <c r="HP203" s="455"/>
      <c r="HQ203" s="455"/>
      <c r="HR203" s="455"/>
      <c r="HS203" s="455"/>
      <c r="HT203" s="455"/>
      <c r="HU203" s="455"/>
      <c r="HV203" s="455"/>
      <c r="HW203" s="455"/>
      <c r="HX203" s="455"/>
      <c r="HY203" s="455"/>
      <c r="HZ203" s="455"/>
      <c r="IA203" s="455"/>
      <c r="IB203" s="455"/>
      <c r="IC203" s="455"/>
      <c r="ID203" s="455"/>
      <c r="IE203" s="455"/>
      <c r="IF203" s="455"/>
      <c r="IG203" s="455"/>
      <c r="IH203" s="455"/>
      <c r="II203" s="455"/>
      <c r="IJ203" s="455"/>
      <c r="IK203" s="455"/>
      <c r="IL203" s="455"/>
      <c r="IM203" s="455"/>
      <c r="IN203" s="455"/>
      <c r="IO203" s="455"/>
      <c r="IP203" s="455"/>
      <c r="IQ203" s="455"/>
      <c r="IR203" s="455"/>
      <c r="IS203" s="455"/>
    </row>
    <row r="204" spans="1:253" s="458" customFormat="1" ht="33.75" x14ac:dyDescent="0.2">
      <c r="A204" s="444">
        <v>2530</v>
      </c>
      <c r="B204" s="445" t="s">
        <v>51</v>
      </c>
      <c r="C204" s="445" t="s">
        <v>52</v>
      </c>
      <c r="D204" s="445"/>
      <c r="E204" s="445"/>
      <c r="F204" s="445"/>
      <c r="G204" s="446">
        <v>24</v>
      </c>
      <c r="H204" s="445">
        <v>10</v>
      </c>
      <c r="I204" s="445"/>
      <c r="J204" s="445">
        <v>6</v>
      </c>
      <c r="K204" s="447">
        <v>6</v>
      </c>
      <c r="L204" s="445" t="s">
        <v>229</v>
      </c>
      <c r="M204" s="445">
        <v>1</v>
      </c>
      <c r="N204" s="445" t="s">
        <v>230</v>
      </c>
      <c r="O204" s="449" t="s">
        <v>1200</v>
      </c>
      <c r="P204" s="450">
        <v>4.3520000000000003</v>
      </c>
      <c r="Q204" s="451">
        <f t="shared" si="5"/>
        <v>4.3520000000000003</v>
      </c>
      <c r="R204" s="451">
        <f>SUMIF('Wege im Detail'!$A:$A,"2530",'Wege im Detail'!$P:$P)</f>
        <v>41.998000000000005</v>
      </c>
      <c r="S204" s="452" t="s">
        <v>231</v>
      </c>
      <c r="T204" s="453">
        <v>43160</v>
      </c>
      <c r="U204" s="448"/>
      <c r="V204" s="468"/>
      <c r="W204" s="448"/>
    </row>
    <row r="205" spans="1:253" s="458" customFormat="1" ht="45" x14ac:dyDescent="0.2">
      <c r="A205" s="444">
        <v>2589</v>
      </c>
      <c r="B205" s="445" t="s">
        <v>51</v>
      </c>
      <c r="C205" s="445" t="s">
        <v>52</v>
      </c>
      <c r="D205" s="445"/>
      <c r="E205" s="445"/>
      <c r="F205" s="445"/>
      <c r="G205" s="446">
        <v>32</v>
      </c>
      <c r="H205" s="445">
        <v>12</v>
      </c>
      <c r="I205" s="445"/>
      <c r="J205" s="445">
        <v>1</v>
      </c>
      <c r="K205" s="447">
        <v>2</v>
      </c>
      <c r="L205" s="445" t="s">
        <v>233</v>
      </c>
      <c r="M205" s="445">
        <v>3</v>
      </c>
      <c r="N205" s="445" t="s">
        <v>187</v>
      </c>
      <c r="O205" s="449" t="s">
        <v>1201</v>
      </c>
      <c r="P205" s="450">
        <v>14.144</v>
      </c>
      <c r="Q205" s="451">
        <f t="shared" si="5"/>
        <v>14.144</v>
      </c>
      <c r="R205" s="451">
        <f>SUMIF('Wege im Detail'!$A:$A,"2589",'Wege im Detail'!$P:$P)</f>
        <v>27.244</v>
      </c>
      <c r="S205" s="452" t="s">
        <v>234</v>
      </c>
      <c r="T205" s="453">
        <v>42795</v>
      </c>
      <c r="U205" s="448"/>
      <c r="V205" s="457"/>
      <c r="W205" s="448"/>
      <c r="X205" s="455"/>
      <c r="Y205" s="455"/>
      <c r="Z205" s="455"/>
      <c r="AA205" s="455"/>
      <c r="AB205" s="455"/>
      <c r="AC205" s="455"/>
      <c r="AD205" s="455"/>
      <c r="AE205" s="455"/>
      <c r="AF205" s="455"/>
      <c r="AG205" s="455"/>
      <c r="AH205" s="455"/>
      <c r="AI205" s="455"/>
      <c r="AJ205" s="455"/>
      <c r="AK205" s="455"/>
      <c r="AL205" s="455"/>
      <c r="AM205" s="455"/>
      <c r="AN205" s="455"/>
      <c r="AO205" s="455"/>
      <c r="AP205" s="455"/>
      <c r="AQ205" s="455"/>
      <c r="AR205" s="455"/>
      <c r="AS205" s="455"/>
      <c r="AT205" s="455"/>
      <c r="AU205" s="455"/>
      <c r="AV205" s="455"/>
      <c r="AW205" s="455"/>
      <c r="AX205" s="455"/>
      <c r="AY205" s="455"/>
      <c r="AZ205" s="455"/>
      <c r="BA205" s="455"/>
      <c r="BB205" s="455"/>
      <c r="BC205" s="455"/>
      <c r="BD205" s="455"/>
      <c r="BE205" s="455"/>
      <c r="BF205" s="455"/>
      <c r="BG205" s="455"/>
      <c r="BH205" s="455"/>
      <c r="BI205" s="455"/>
      <c r="BJ205" s="455"/>
      <c r="BK205" s="455"/>
      <c r="BL205" s="455"/>
      <c r="BM205" s="455"/>
      <c r="BN205" s="455"/>
      <c r="BO205" s="455"/>
      <c r="BP205" s="455"/>
      <c r="BQ205" s="455"/>
      <c r="BR205" s="455"/>
      <c r="BS205" s="455"/>
      <c r="BT205" s="455"/>
      <c r="BU205" s="455"/>
      <c r="BV205" s="455"/>
      <c r="BW205" s="455"/>
      <c r="BX205" s="455"/>
      <c r="BY205" s="455"/>
      <c r="BZ205" s="455"/>
      <c r="CA205" s="455"/>
      <c r="CB205" s="455"/>
      <c r="CC205" s="455"/>
      <c r="CD205" s="455"/>
      <c r="CE205" s="455"/>
      <c r="CF205" s="455"/>
      <c r="CG205" s="455"/>
      <c r="CH205" s="455"/>
      <c r="CI205" s="455"/>
      <c r="CJ205" s="455"/>
      <c r="CK205" s="455"/>
      <c r="CL205" s="455"/>
      <c r="CM205" s="455"/>
      <c r="CN205" s="455"/>
      <c r="CO205" s="455"/>
      <c r="CP205" s="455"/>
      <c r="CQ205" s="455"/>
      <c r="CR205" s="455"/>
      <c r="CS205" s="455"/>
      <c r="CT205" s="455"/>
      <c r="CU205" s="455"/>
      <c r="CV205" s="455"/>
      <c r="CW205" s="455"/>
      <c r="CX205" s="455"/>
      <c r="CY205" s="455"/>
      <c r="CZ205" s="455"/>
      <c r="DA205" s="455"/>
      <c r="DB205" s="455"/>
      <c r="DC205" s="455"/>
      <c r="DD205" s="455"/>
      <c r="DE205" s="455"/>
      <c r="DF205" s="455"/>
      <c r="DG205" s="455"/>
      <c r="DH205" s="455"/>
      <c r="DI205" s="455"/>
      <c r="DJ205" s="455"/>
      <c r="DK205" s="455"/>
      <c r="DL205" s="455"/>
      <c r="DM205" s="455"/>
      <c r="DN205" s="455"/>
      <c r="DO205" s="455"/>
      <c r="DP205" s="455"/>
      <c r="DQ205" s="455"/>
      <c r="DR205" s="455"/>
      <c r="DS205" s="455"/>
      <c r="DT205" s="455"/>
      <c r="DU205" s="455"/>
      <c r="DV205" s="455"/>
      <c r="DW205" s="455"/>
      <c r="DX205" s="455"/>
      <c r="DY205" s="455"/>
      <c r="DZ205" s="455"/>
      <c r="EA205" s="455"/>
      <c r="EB205" s="455"/>
      <c r="EC205" s="455"/>
      <c r="ED205" s="455"/>
      <c r="EE205" s="455"/>
      <c r="EF205" s="455"/>
      <c r="EG205" s="455"/>
      <c r="EH205" s="455"/>
      <c r="EI205" s="455"/>
      <c r="EJ205" s="455"/>
      <c r="EK205" s="455"/>
      <c r="EL205" s="455"/>
      <c r="EM205" s="455"/>
      <c r="EN205" s="455"/>
      <c r="EO205" s="455"/>
      <c r="EP205" s="455"/>
      <c r="EQ205" s="455"/>
      <c r="ER205" s="455"/>
      <c r="ES205" s="455"/>
      <c r="ET205" s="455"/>
      <c r="EU205" s="455"/>
      <c r="EV205" s="455"/>
      <c r="EW205" s="455"/>
      <c r="EX205" s="455"/>
      <c r="EY205" s="455"/>
      <c r="EZ205" s="455"/>
      <c r="FA205" s="455"/>
      <c r="FB205" s="455"/>
      <c r="FC205" s="455"/>
      <c r="FD205" s="455"/>
      <c r="FE205" s="455"/>
      <c r="FF205" s="455"/>
      <c r="FG205" s="455"/>
      <c r="FH205" s="455"/>
      <c r="FI205" s="455"/>
      <c r="FJ205" s="455"/>
      <c r="FK205" s="455"/>
      <c r="FL205" s="455"/>
      <c r="FM205" s="455"/>
      <c r="FN205" s="455"/>
      <c r="FO205" s="455"/>
      <c r="FP205" s="455"/>
      <c r="FQ205" s="455"/>
      <c r="FR205" s="455"/>
      <c r="FS205" s="455"/>
      <c r="FT205" s="455"/>
      <c r="FU205" s="455"/>
      <c r="FV205" s="455"/>
      <c r="FW205" s="455"/>
      <c r="FX205" s="455"/>
      <c r="FY205" s="455"/>
      <c r="FZ205" s="455"/>
      <c r="GA205" s="455"/>
      <c r="GB205" s="455"/>
      <c r="GC205" s="455"/>
      <c r="GD205" s="455"/>
      <c r="GE205" s="455"/>
      <c r="GF205" s="455"/>
      <c r="GG205" s="455"/>
      <c r="GH205" s="455"/>
      <c r="GI205" s="455"/>
      <c r="GJ205" s="455"/>
      <c r="GK205" s="455"/>
      <c r="GL205" s="455"/>
      <c r="GM205" s="455"/>
      <c r="GN205" s="455"/>
      <c r="GO205" s="455"/>
      <c r="GP205" s="455"/>
      <c r="GQ205" s="455"/>
      <c r="GR205" s="455"/>
      <c r="GS205" s="455"/>
      <c r="GT205" s="455"/>
      <c r="GU205" s="455"/>
      <c r="GV205" s="455"/>
      <c r="GW205" s="455"/>
      <c r="GX205" s="455"/>
      <c r="GY205" s="455"/>
      <c r="GZ205" s="455"/>
      <c r="HA205" s="455"/>
      <c r="HB205" s="455"/>
      <c r="HC205" s="455"/>
      <c r="HD205" s="455"/>
      <c r="HE205" s="455"/>
      <c r="HF205" s="455"/>
      <c r="HG205" s="455"/>
      <c r="HH205" s="455"/>
      <c r="HI205" s="455"/>
      <c r="HJ205" s="455"/>
      <c r="HK205" s="455"/>
      <c r="HL205" s="455"/>
      <c r="HM205" s="455"/>
      <c r="HN205" s="455"/>
      <c r="HO205" s="455"/>
      <c r="HP205" s="455"/>
      <c r="HQ205" s="455"/>
      <c r="HR205" s="455"/>
      <c r="HS205" s="455"/>
      <c r="HT205" s="455"/>
      <c r="HU205" s="455"/>
      <c r="HV205" s="455"/>
      <c r="HW205" s="455"/>
      <c r="HX205" s="455"/>
      <c r="HY205" s="455"/>
      <c r="HZ205" s="455"/>
      <c r="IA205" s="455"/>
      <c r="IB205" s="455"/>
      <c r="IC205" s="455"/>
      <c r="ID205" s="455"/>
      <c r="IE205" s="455"/>
      <c r="IF205" s="455"/>
      <c r="IG205" s="455"/>
      <c r="IH205" s="455"/>
      <c r="II205" s="455"/>
      <c r="IJ205" s="455"/>
      <c r="IK205" s="455"/>
      <c r="IL205" s="455"/>
      <c r="IM205" s="455"/>
      <c r="IN205" s="455"/>
      <c r="IO205" s="455"/>
      <c r="IP205" s="455"/>
      <c r="IQ205" s="455"/>
      <c r="IR205" s="455"/>
      <c r="IS205" s="455"/>
    </row>
    <row r="206" spans="1:253" s="455" customFormat="1" ht="56.25" x14ac:dyDescent="0.2">
      <c r="A206" s="444">
        <v>2589</v>
      </c>
      <c r="B206" s="445" t="s">
        <v>51</v>
      </c>
      <c r="C206" s="445" t="s">
        <v>52</v>
      </c>
      <c r="D206" s="445"/>
      <c r="E206" s="445"/>
      <c r="F206" s="445"/>
      <c r="G206" s="446">
        <v>32</v>
      </c>
      <c r="H206" s="445">
        <v>12</v>
      </c>
      <c r="I206" s="445"/>
      <c r="J206" s="445">
        <v>2</v>
      </c>
      <c r="K206" s="447">
        <v>2</v>
      </c>
      <c r="L206" s="445" t="s">
        <v>233</v>
      </c>
      <c r="M206" s="445">
        <v>3</v>
      </c>
      <c r="N206" s="445" t="s">
        <v>93</v>
      </c>
      <c r="O206" s="449" t="s">
        <v>1202</v>
      </c>
      <c r="P206" s="450">
        <v>13.1</v>
      </c>
      <c r="Q206" s="451">
        <f t="shared" si="5"/>
        <v>13.1</v>
      </c>
      <c r="R206" s="451">
        <f>SUMIF('Wege im Detail'!$A:$A,"2589",'Wege im Detail'!$P:$P)</f>
        <v>27.244</v>
      </c>
      <c r="S206" s="452" t="s">
        <v>234</v>
      </c>
      <c r="T206" s="453">
        <v>44501</v>
      </c>
      <c r="U206" s="477" t="s">
        <v>1203</v>
      </c>
      <c r="V206" s="462"/>
      <c r="W206" s="448"/>
      <c r="X206" s="458"/>
      <c r="Y206" s="458"/>
      <c r="Z206" s="458"/>
      <c r="AA206" s="458"/>
      <c r="AB206" s="458"/>
      <c r="AC206" s="458"/>
      <c r="AD206" s="458"/>
      <c r="AE206" s="458"/>
      <c r="AF206" s="458"/>
      <c r="AG206" s="458"/>
      <c r="AH206" s="458"/>
      <c r="AI206" s="458"/>
      <c r="AJ206" s="458"/>
      <c r="AK206" s="458"/>
      <c r="AL206" s="458"/>
      <c r="AM206" s="458"/>
      <c r="AN206" s="458"/>
      <c r="AO206" s="458"/>
      <c r="AP206" s="458"/>
      <c r="AQ206" s="458"/>
      <c r="AR206" s="458"/>
      <c r="AS206" s="458"/>
      <c r="AT206" s="458"/>
      <c r="AU206" s="458"/>
      <c r="AV206" s="458"/>
      <c r="AW206" s="458"/>
      <c r="AX206" s="458"/>
      <c r="AY206" s="458"/>
      <c r="AZ206" s="458"/>
      <c r="BA206" s="458"/>
      <c r="BB206" s="458"/>
      <c r="BC206" s="458"/>
      <c r="BD206" s="458"/>
      <c r="BE206" s="458"/>
      <c r="BF206" s="458"/>
      <c r="BG206" s="458"/>
      <c r="BH206" s="458"/>
      <c r="BI206" s="458"/>
      <c r="BJ206" s="458"/>
      <c r="BK206" s="458"/>
      <c r="BL206" s="458"/>
      <c r="BM206" s="458"/>
      <c r="BN206" s="458"/>
      <c r="BO206" s="458"/>
      <c r="BP206" s="458"/>
      <c r="BQ206" s="458"/>
      <c r="BR206" s="458"/>
      <c r="BS206" s="458"/>
      <c r="BT206" s="458"/>
      <c r="BU206" s="458"/>
      <c r="BV206" s="458"/>
      <c r="BW206" s="458"/>
      <c r="BX206" s="458"/>
      <c r="BY206" s="458"/>
      <c r="BZ206" s="458"/>
      <c r="CA206" s="458"/>
      <c r="CB206" s="458"/>
      <c r="CC206" s="458"/>
      <c r="CD206" s="458"/>
      <c r="CE206" s="458"/>
      <c r="CF206" s="458"/>
      <c r="CG206" s="458"/>
      <c r="CH206" s="458"/>
      <c r="CI206" s="458"/>
      <c r="CJ206" s="458"/>
      <c r="CK206" s="458"/>
      <c r="CL206" s="458"/>
      <c r="CM206" s="458"/>
      <c r="CN206" s="458"/>
      <c r="CO206" s="458"/>
      <c r="CP206" s="458"/>
      <c r="CQ206" s="458"/>
      <c r="CR206" s="458"/>
      <c r="CS206" s="458"/>
      <c r="CT206" s="458"/>
      <c r="CU206" s="458"/>
      <c r="CV206" s="458"/>
      <c r="CW206" s="458"/>
      <c r="CX206" s="458"/>
      <c r="CY206" s="458"/>
      <c r="CZ206" s="458"/>
      <c r="DA206" s="458"/>
      <c r="DB206" s="458"/>
      <c r="DC206" s="458"/>
      <c r="DD206" s="458"/>
      <c r="DE206" s="458"/>
      <c r="DF206" s="458"/>
      <c r="DG206" s="458"/>
      <c r="DH206" s="458"/>
      <c r="DI206" s="458"/>
      <c r="DJ206" s="458"/>
      <c r="DK206" s="458"/>
      <c r="DL206" s="458"/>
      <c r="DM206" s="458"/>
      <c r="DN206" s="458"/>
      <c r="DO206" s="458"/>
      <c r="DP206" s="458"/>
      <c r="DQ206" s="458"/>
      <c r="DR206" s="458"/>
      <c r="DS206" s="458"/>
      <c r="DT206" s="458"/>
      <c r="DU206" s="458"/>
      <c r="DV206" s="458"/>
      <c r="DW206" s="458"/>
      <c r="DX206" s="458"/>
      <c r="DY206" s="458"/>
      <c r="DZ206" s="458"/>
      <c r="EA206" s="458"/>
      <c r="EB206" s="458"/>
      <c r="EC206" s="458"/>
      <c r="ED206" s="458"/>
      <c r="EE206" s="458"/>
      <c r="EF206" s="458"/>
      <c r="EG206" s="458"/>
      <c r="EH206" s="458"/>
      <c r="EI206" s="458"/>
      <c r="EJ206" s="458"/>
      <c r="EK206" s="458"/>
      <c r="EL206" s="458"/>
      <c r="EM206" s="458"/>
      <c r="EN206" s="458"/>
      <c r="EO206" s="458"/>
      <c r="EP206" s="458"/>
      <c r="EQ206" s="458"/>
      <c r="ER206" s="458"/>
      <c r="ES206" s="458"/>
      <c r="ET206" s="458"/>
      <c r="EU206" s="458"/>
      <c r="EV206" s="458"/>
      <c r="EW206" s="458"/>
      <c r="EX206" s="458"/>
      <c r="EY206" s="458"/>
      <c r="EZ206" s="458"/>
      <c r="FA206" s="458"/>
      <c r="FB206" s="458"/>
      <c r="FC206" s="458"/>
      <c r="FD206" s="458"/>
      <c r="FE206" s="458"/>
      <c r="FF206" s="458"/>
      <c r="FG206" s="458"/>
      <c r="FH206" s="458"/>
      <c r="FI206" s="458"/>
      <c r="FJ206" s="458"/>
      <c r="FK206" s="458"/>
      <c r="FL206" s="458"/>
      <c r="FM206" s="458"/>
      <c r="FN206" s="458"/>
      <c r="FO206" s="458"/>
      <c r="FP206" s="458"/>
      <c r="FQ206" s="458"/>
      <c r="FR206" s="458"/>
      <c r="FS206" s="458"/>
      <c r="FT206" s="458"/>
      <c r="FU206" s="458"/>
      <c r="FV206" s="458"/>
      <c r="FW206" s="458"/>
      <c r="FX206" s="458"/>
      <c r="FY206" s="458"/>
      <c r="FZ206" s="458"/>
      <c r="GA206" s="458"/>
      <c r="GB206" s="458"/>
      <c r="GC206" s="458"/>
      <c r="GD206" s="458"/>
      <c r="GE206" s="458"/>
      <c r="GF206" s="458"/>
      <c r="GG206" s="458"/>
      <c r="GH206" s="458"/>
      <c r="GI206" s="458"/>
      <c r="GJ206" s="458"/>
      <c r="GK206" s="458"/>
      <c r="GL206" s="458"/>
      <c r="GM206" s="458"/>
      <c r="GN206" s="458"/>
      <c r="GO206" s="458"/>
      <c r="GP206" s="458"/>
      <c r="GQ206" s="458"/>
      <c r="GR206" s="458"/>
      <c r="GS206" s="458"/>
      <c r="GT206" s="458"/>
      <c r="GU206" s="458"/>
      <c r="GV206" s="458"/>
      <c r="GW206" s="458"/>
      <c r="GX206" s="458"/>
      <c r="GY206" s="458"/>
      <c r="GZ206" s="458"/>
      <c r="HA206" s="458"/>
      <c r="HB206" s="458"/>
      <c r="HC206" s="458"/>
      <c r="HD206" s="458"/>
      <c r="HE206" s="458"/>
      <c r="HF206" s="458"/>
      <c r="HG206" s="458"/>
      <c r="HH206" s="458"/>
      <c r="HI206" s="458"/>
      <c r="HJ206" s="458"/>
      <c r="HK206" s="458"/>
      <c r="HL206" s="458"/>
      <c r="HM206" s="458"/>
      <c r="HN206" s="458"/>
      <c r="HO206" s="458"/>
      <c r="HP206" s="458"/>
      <c r="HQ206" s="458"/>
      <c r="HR206" s="458"/>
      <c r="HS206" s="458"/>
      <c r="HT206" s="458"/>
      <c r="HU206" s="458"/>
      <c r="HV206" s="458"/>
      <c r="HW206" s="458"/>
      <c r="HX206" s="458"/>
      <c r="HY206" s="458"/>
      <c r="HZ206" s="458"/>
      <c r="IA206" s="458"/>
      <c r="IB206" s="458"/>
      <c r="IC206" s="458"/>
      <c r="ID206" s="458"/>
      <c r="IE206" s="458"/>
      <c r="IF206" s="458"/>
      <c r="IG206" s="458"/>
      <c r="IH206" s="458"/>
      <c r="II206" s="458"/>
      <c r="IJ206" s="458"/>
      <c r="IK206" s="458"/>
      <c r="IL206" s="458"/>
      <c r="IM206" s="458"/>
      <c r="IN206" s="458"/>
      <c r="IO206" s="458"/>
      <c r="IP206" s="458"/>
      <c r="IQ206" s="458"/>
      <c r="IR206" s="458"/>
      <c r="IS206" s="458"/>
    </row>
    <row r="207" spans="1:253" s="455" customFormat="1" ht="45" x14ac:dyDescent="0.2">
      <c r="A207" s="444">
        <v>2634</v>
      </c>
      <c r="B207" s="445" t="s">
        <v>84</v>
      </c>
      <c r="C207" s="445" t="s">
        <v>85</v>
      </c>
      <c r="D207" s="445"/>
      <c r="E207" s="445"/>
      <c r="F207" s="445"/>
      <c r="G207" s="446">
        <v>261</v>
      </c>
      <c r="H207" s="445" t="s">
        <v>235</v>
      </c>
      <c r="I207" s="445"/>
      <c r="J207" s="445"/>
      <c r="K207" s="447"/>
      <c r="L207" s="445" t="s">
        <v>142</v>
      </c>
      <c r="M207" s="445">
        <v>5</v>
      </c>
      <c r="N207" s="445" t="s">
        <v>128</v>
      </c>
      <c r="O207" s="449" t="s">
        <v>1204</v>
      </c>
      <c r="P207" s="450">
        <v>6.5940000000000003</v>
      </c>
      <c r="Q207" s="451">
        <f t="shared" si="5"/>
        <v>6.5940000000000003</v>
      </c>
      <c r="R207" s="451">
        <f>SUMIF('Wege im Detail'!$A:$A,"2634",'Wege im Detail'!$P:$P)</f>
        <v>6.5940000000000003</v>
      </c>
      <c r="S207" s="452" t="s">
        <v>236</v>
      </c>
      <c r="T207" s="453">
        <v>42917</v>
      </c>
      <c r="U207" s="448"/>
      <c r="V207" s="455" t="s">
        <v>1205</v>
      </c>
      <c r="W207" s="448"/>
    </row>
    <row r="208" spans="1:253" s="455" customFormat="1" ht="56.25" x14ac:dyDescent="0.2">
      <c r="A208" s="444">
        <v>2636</v>
      </c>
      <c r="B208" s="445" t="s">
        <v>84</v>
      </c>
      <c r="C208" s="445" t="s">
        <v>85</v>
      </c>
      <c r="D208" s="445"/>
      <c r="E208" s="445"/>
      <c r="F208" s="445"/>
      <c r="G208" s="446">
        <v>264</v>
      </c>
      <c r="H208" s="445" t="s">
        <v>238</v>
      </c>
      <c r="I208" s="445"/>
      <c r="J208" s="445"/>
      <c r="K208" s="447"/>
      <c r="L208" s="445" t="s">
        <v>138</v>
      </c>
      <c r="M208" s="445">
        <v>5</v>
      </c>
      <c r="N208" s="445" t="s">
        <v>128</v>
      </c>
      <c r="O208" s="449" t="s">
        <v>1206</v>
      </c>
      <c r="P208" s="450">
        <v>9.3539999999999992</v>
      </c>
      <c r="Q208" s="451">
        <f t="shared" si="5"/>
        <v>9.3539999999999992</v>
      </c>
      <c r="R208" s="451">
        <f>SUMIF('Wege im Detail'!$A:$A,"2636",'Wege im Detail'!$P:$P)</f>
        <v>9.3539999999999992</v>
      </c>
      <c r="S208" s="452" t="s">
        <v>239</v>
      </c>
      <c r="T208" s="453">
        <v>42917</v>
      </c>
      <c r="U208" s="448"/>
      <c r="V208" s="458" t="s">
        <v>1205</v>
      </c>
      <c r="W208" s="448"/>
    </row>
    <row r="209" spans="1:253" s="455" customFormat="1" ht="45" x14ac:dyDescent="0.2">
      <c r="A209" s="444">
        <v>2646</v>
      </c>
      <c r="B209" s="445" t="s">
        <v>84</v>
      </c>
      <c r="C209" s="445" t="s">
        <v>85</v>
      </c>
      <c r="D209" s="445"/>
      <c r="E209" s="445"/>
      <c r="F209" s="445"/>
      <c r="G209" s="446">
        <v>211</v>
      </c>
      <c r="H209" s="445" t="s">
        <v>241</v>
      </c>
      <c r="I209" s="445"/>
      <c r="J209" s="445"/>
      <c r="K209" s="447"/>
      <c r="L209" s="445" t="s">
        <v>142</v>
      </c>
      <c r="M209" s="445">
        <v>3</v>
      </c>
      <c r="N209" s="445" t="s">
        <v>202</v>
      </c>
      <c r="O209" s="449" t="s">
        <v>1207</v>
      </c>
      <c r="P209" s="450">
        <v>4.3959999999999999</v>
      </c>
      <c r="Q209" s="451">
        <f t="shared" si="5"/>
        <v>4.3959999999999999</v>
      </c>
      <c r="R209" s="451">
        <f>SUMIF('Wege im Detail'!$A:$A,"2646",'Wege im Detail'!$P:$P)</f>
        <v>4.3959999999999999</v>
      </c>
      <c r="S209" s="452" t="s">
        <v>242</v>
      </c>
      <c r="T209" s="453">
        <v>42917</v>
      </c>
      <c r="U209" s="448"/>
      <c r="V209" s="476"/>
      <c r="W209" s="448"/>
    </row>
    <row r="210" spans="1:253" s="455" customFormat="1" ht="67.5" x14ac:dyDescent="0.2">
      <c r="A210" s="444">
        <v>2648</v>
      </c>
      <c r="B210" s="445" t="s">
        <v>84</v>
      </c>
      <c r="C210" s="445" t="s">
        <v>85</v>
      </c>
      <c r="D210" s="445"/>
      <c r="E210" s="445"/>
      <c r="F210" s="445"/>
      <c r="G210" s="446">
        <v>212</v>
      </c>
      <c r="H210" s="445" t="s">
        <v>244</v>
      </c>
      <c r="I210" s="445"/>
      <c r="J210" s="445"/>
      <c r="K210" s="447"/>
      <c r="L210" s="445" t="s">
        <v>147</v>
      </c>
      <c r="M210" s="445">
        <v>3</v>
      </c>
      <c r="N210" s="445" t="s">
        <v>202</v>
      </c>
      <c r="O210" s="449" t="s">
        <v>1208</v>
      </c>
      <c r="P210" s="450">
        <v>10.688000000000001</v>
      </c>
      <c r="Q210" s="451">
        <f t="shared" si="5"/>
        <v>10.688000000000001</v>
      </c>
      <c r="R210" s="451">
        <f>SUMIF('Wege im Detail'!$A:$A,"2648",'Wege im Detail'!$P:$P)</f>
        <v>10.688000000000001</v>
      </c>
      <c r="S210" s="452" t="s">
        <v>245</v>
      </c>
      <c r="T210" s="453">
        <v>42917</v>
      </c>
      <c r="U210" s="448"/>
      <c r="V210" s="476"/>
      <c r="W210" s="448"/>
      <c r="X210" s="458"/>
      <c r="Y210" s="458"/>
      <c r="Z210" s="458"/>
      <c r="AA210" s="458"/>
      <c r="AB210" s="458"/>
      <c r="AC210" s="458"/>
      <c r="AD210" s="458"/>
      <c r="AE210" s="458"/>
      <c r="AF210" s="458"/>
      <c r="AG210" s="458"/>
      <c r="AH210" s="458"/>
      <c r="AI210" s="458"/>
      <c r="AJ210" s="458"/>
      <c r="AK210" s="458"/>
      <c r="AL210" s="458"/>
      <c r="AM210" s="458"/>
      <c r="AN210" s="458"/>
      <c r="AO210" s="458"/>
      <c r="AP210" s="458"/>
      <c r="AQ210" s="458"/>
      <c r="AR210" s="458"/>
      <c r="AS210" s="458"/>
      <c r="AT210" s="458"/>
      <c r="AU210" s="458"/>
      <c r="AV210" s="458"/>
      <c r="AW210" s="458"/>
      <c r="AX210" s="458"/>
      <c r="AY210" s="458"/>
      <c r="AZ210" s="458"/>
      <c r="BA210" s="458"/>
      <c r="BB210" s="458"/>
      <c r="BC210" s="458"/>
      <c r="BD210" s="458"/>
      <c r="BE210" s="458"/>
      <c r="BF210" s="458"/>
      <c r="BG210" s="458"/>
      <c r="BH210" s="458"/>
      <c r="BI210" s="458"/>
      <c r="BJ210" s="458"/>
      <c r="BK210" s="458"/>
      <c r="BL210" s="458"/>
      <c r="BM210" s="458"/>
      <c r="BN210" s="458"/>
      <c r="BO210" s="458"/>
      <c r="BP210" s="458"/>
      <c r="BQ210" s="458"/>
      <c r="BR210" s="458"/>
      <c r="BS210" s="458"/>
      <c r="BT210" s="458"/>
      <c r="BU210" s="458"/>
      <c r="BV210" s="458"/>
      <c r="BW210" s="458"/>
      <c r="BX210" s="458"/>
      <c r="BY210" s="458"/>
      <c r="BZ210" s="458"/>
      <c r="CA210" s="458"/>
      <c r="CB210" s="458"/>
      <c r="CC210" s="458"/>
      <c r="CD210" s="458"/>
      <c r="CE210" s="458"/>
      <c r="CF210" s="458"/>
      <c r="CG210" s="458"/>
      <c r="CH210" s="458"/>
      <c r="CI210" s="458"/>
      <c r="CJ210" s="458"/>
      <c r="CK210" s="458"/>
      <c r="CL210" s="458"/>
      <c r="CM210" s="458"/>
      <c r="CN210" s="458"/>
      <c r="CO210" s="458"/>
      <c r="CP210" s="458"/>
      <c r="CQ210" s="458"/>
      <c r="CR210" s="458"/>
      <c r="CS210" s="458"/>
      <c r="CT210" s="458"/>
      <c r="CU210" s="458"/>
      <c r="CV210" s="458"/>
      <c r="CW210" s="458"/>
      <c r="CX210" s="458"/>
      <c r="CY210" s="458"/>
      <c r="CZ210" s="458"/>
      <c r="DA210" s="458"/>
      <c r="DB210" s="458"/>
      <c r="DC210" s="458"/>
      <c r="DD210" s="458"/>
      <c r="DE210" s="458"/>
      <c r="DF210" s="458"/>
      <c r="DG210" s="458"/>
      <c r="DH210" s="458"/>
      <c r="DI210" s="458"/>
      <c r="DJ210" s="458"/>
      <c r="DK210" s="458"/>
      <c r="DL210" s="458"/>
      <c r="DM210" s="458"/>
      <c r="DN210" s="458"/>
      <c r="DO210" s="458"/>
      <c r="DP210" s="458"/>
      <c r="DQ210" s="458"/>
      <c r="DR210" s="458"/>
      <c r="DS210" s="458"/>
      <c r="DT210" s="458"/>
      <c r="DU210" s="458"/>
      <c r="DV210" s="458"/>
      <c r="DW210" s="458"/>
      <c r="DX210" s="458"/>
      <c r="DY210" s="458"/>
      <c r="DZ210" s="458"/>
      <c r="EA210" s="458"/>
      <c r="EB210" s="458"/>
      <c r="EC210" s="458"/>
      <c r="ED210" s="458"/>
      <c r="EE210" s="458"/>
      <c r="EF210" s="458"/>
      <c r="EG210" s="458"/>
      <c r="EH210" s="458"/>
      <c r="EI210" s="458"/>
      <c r="EJ210" s="458"/>
      <c r="EK210" s="458"/>
      <c r="EL210" s="458"/>
      <c r="EM210" s="458"/>
      <c r="EN210" s="458"/>
      <c r="EO210" s="458"/>
      <c r="EP210" s="458"/>
      <c r="EQ210" s="458"/>
      <c r="ER210" s="458"/>
      <c r="ES210" s="458"/>
      <c r="ET210" s="458"/>
      <c r="EU210" s="458"/>
      <c r="EV210" s="458"/>
      <c r="EW210" s="458"/>
      <c r="EX210" s="458"/>
      <c r="EY210" s="458"/>
      <c r="EZ210" s="458"/>
      <c r="FA210" s="458"/>
      <c r="FB210" s="458"/>
      <c r="FC210" s="458"/>
      <c r="FD210" s="458"/>
      <c r="FE210" s="458"/>
      <c r="FF210" s="458"/>
      <c r="FG210" s="458"/>
      <c r="FH210" s="458"/>
      <c r="FI210" s="458"/>
      <c r="FJ210" s="458"/>
      <c r="FK210" s="458"/>
      <c r="FL210" s="458"/>
      <c r="FM210" s="458"/>
      <c r="FN210" s="458"/>
      <c r="FO210" s="458"/>
      <c r="FP210" s="458"/>
      <c r="FQ210" s="458"/>
      <c r="FR210" s="458"/>
      <c r="FS210" s="458"/>
      <c r="FT210" s="458"/>
      <c r="FU210" s="458"/>
      <c r="FV210" s="458"/>
      <c r="FW210" s="458"/>
      <c r="FX210" s="458"/>
      <c r="FY210" s="458"/>
      <c r="FZ210" s="458"/>
      <c r="GA210" s="458"/>
      <c r="GB210" s="458"/>
      <c r="GC210" s="458"/>
      <c r="GD210" s="458"/>
      <c r="GE210" s="458"/>
      <c r="GF210" s="458"/>
      <c r="GG210" s="458"/>
      <c r="GH210" s="458"/>
      <c r="GI210" s="458"/>
      <c r="GJ210" s="458"/>
      <c r="GK210" s="458"/>
      <c r="GL210" s="458"/>
      <c r="GM210" s="458"/>
      <c r="GN210" s="458"/>
      <c r="GO210" s="458"/>
      <c r="GP210" s="458"/>
      <c r="GQ210" s="458"/>
      <c r="GR210" s="458"/>
      <c r="GS210" s="458"/>
      <c r="GT210" s="458"/>
      <c r="GU210" s="458"/>
      <c r="GV210" s="458"/>
      <c r="GW210" s="458"/>
      <c r="GX210" s="458"/>
      <c r="GY210" s="458"/>
      <c r="GZ210" s="458"/>
      <c r="HA210" s="458"/>
      <c r="HB210" s="458"/>
      <c r="HC210" s="458"/>
      <c r="HD210" s="458"/>
      <c r="HE210" s="458"/>
      <c r="HF210" s="458"/>
      <c r="HG210" s="458"/>
      <c r="HH210" s="458"/>
      <c r="HI210" s="458"/>
      <c r="HJ210" s="458"/>
      <c r="HK210" s="458"/>
      <c r="HL210" s="458"/>
      <c r="HM210" s="458"/>
      <c r="HN210" s="458"/>
      <c r="HO210" s="458"/>
      <c r="HP210" s="458"/>
      <c r="HQ210" s="458"/>
      <c r="HR210" s="458"/>
      <c r="HS210" s="458"/>
      <c r="HT210" s="458"/>
      <c r="HU210" s="458"/>
      <c r="HV210" s="458"/>
      <c r="HW210" s="458"/>
      <c r="HX210" s="458"/>
      <c r="HY210" s="458"/>
      <c r="HZ210" s="458"/>
      <c r="IA210" s="458"/>
      <c r="IB210" s="458"/>
      <c r="IC210" s="458"/>
      <c r="ID210" s="458"/>
      <c r="IE210" s="458"/>
      <c r="IF210" s="458"/>
      <c r="IG210" s="458"/>
      <c r="IH210" s="458"/>
      <c r="II210" s="458"/>
      <c r="IJ210" s="458"/>
      <c r="IK210" s="458"/>
      <c r="IL210" s="458"/>
      <c r="IM210" s="458"/>
      <c r="IN210" s="458"/>
      <c r="IO210" s="458"/>
      <c r="IP210" s="458"/>
      <c r="IQ210" s="458"/>
      <c r="IR210" s="458"/>
      <c r="IS210" s="458"/>
    </row>
    <row r="211" spans="1:253" s="455" customFormat="1" ht="56.25" x14ac:dyDescent="0.2">
      <c r="A211" s="444">
        <v>2687</v>
      </c>
      <c r="B211" s="445" t="s">
        <v>84</v>
      </c>
      <c r="C211" s="445" t="s">
        <v>85</v>
      </c>
      <c r="D211" s="445"/>
      <c r="E211" s="445"/>
      <c r="F211" s="445"/>
      <c r="G211" s="446">
        <v>221</v>
      </c>
      <c r="H211" s="445" t="s">
        <v>247</v>
      </c>
      <c r="I211" s="445"/>
      <c r="J211" s="445"/>
      <c r="K211" s="447"/>
      <c r="L211" s="445" t="s">
        <v>142</v>
      </c>
      <c r="M211" s="445">
        <v>5</v>
      </c>
      <c r="N211" s="445" t="s">
        <v>248</v>
      </c>
      <c r="O211" s="449" t="s">
        <v>1209</v>
      </c>
      <c r="P211" s="450">
        <v>9.843</v>
      </c>
      <c r="Q211" s="451">
        <f t="shared" si="5"/>
        <v>9.843</v>
      </c>
      <c r="R211" s="451">
        <f>SUMIF('Wege im Detail'!$A:$A,"2687",'Wege im Detail'!$P:$P)</f>
        <v>9.843</v>
      </c>
      <c r="S211" s="452" t="s">
        <v>249</v>
      </c>
      <c r="T211" s="453">
        <v>42917</v>
      </c>
      <c r="U211" s="448"/>
      <c r="V211" s="476"/>
      <c r="W211" s="448"/>
    </row>
    <row r="212" spans="1:253" s="458" customFormat="1" ht="45" x14ac:dyDescent="0.2">
      <c r="A212" s="444">
        <v>2688</v>
      </c>
      <c r="B212" s="445" t="s">
        <v>84</v>
      </c>
      <c r="C212" s="445" t="s">
        <v>85</v>
      </c>
      <c r="D212" s="445"/>
      <c r="E212" s="445"/>
      <c r="F212" s="445"/>
      <c r="G212" s="446">
        <v>222</v>
      </c>
      <c r="H212" s="445" t="s">
        <v>251</v>
      </c>
      <c r="I212" s="445"/>
      <c r="J212" s="445"/>
      <c r="K212" s="447"/>
      <c r="L212" s="445" t="s">
        <v>147</v>
      </c>
      <c r="M212" s="445">
        <v>5</v>
      </c>
      <c r="N212" s="445" t="s">
        <v>248</v>
      </c>
      <c r="O212" s="449" t="s">
        <v>1210</v>
      </c>
      <c r="P212" s="450">
        <v>7.298</v>
      </c>
      <c r="Q212" s="451">
        <f t="shared" si="5"/>
        <v>7.298</v>
      </c>
      <c r="R212" s="451">
        <f>SUMIF('Wege im Detail'!$A:$A,"2688",'Wege im Detail'!$P:$P)</f>
        <v>7.298</v>
      </c>
      <c r="S212" s="452" t="s">
        <v>252</v>
      </c>
      <c r="T212" s="453">
        <v>42917</v>
      </c>
      <c r="U212" s="448"/>
      <c r="V212" s="476"/>
      <c r="W212" s="448"/>
      <c r="X212" s="455"/>
      <c r="Y212" s="455"/>
      <c r="Z212" s="455"/>
      <c r="AA212" s="455"/>
      <c r="AB212" s="455"/>
      <c r="AC212" s="455"/>
      <c r="AD212" s="455"/>
      <c r="AE212" s="455"/>
      <c r="AF212" s="455"/>
      <c r="AG212" s="455"/>
      <c r="AH212" s="455"/>
      <c r="AI212" s="455"/>
      <c r="AJ212" s="455"/>
      <c r="AK212" s="455"/>
      <c r="AL212" s="455"/>
      <c r="AM212" s="455"/>
      <c r="AN212" s="455"/>
      <c r="AO212" s="455"/>
      <c r="AP212" s="455"/>
      <c r="AQ212" s="455"/>
      <c r="AR212" s="455"/>
      <c r="AS212" s="455"/>
      <c r="AT212" s="455"/>
      <c r="AU212" s="455"/>
      <c r="AV212" s="455"/>
      <c r="AW212" s="455"/>
      <c r="AX212" s="455"/>
      <c r="AY212" s="455"/>
      <c r="AZ212" s="455"/>
      <c r="BA212" s="455"/>
      <c r="BB212" s="455"/>
      <c r="BC212" s="455"/>
      <c r="BD212" s="455"/>
      <c r="BE212" s="455"/>
      <c r="BF212" s="455"/>
      <c r="BG212" s="455"/>
      <c r="BH212" s="455"/>
      <c r="BI212" s="455"/>
      <c r="BJ212" s="455"/>
      <c r="BK212" s="455"/>
      <c r="BL212" s="455"/>
      <c r="BM212" s="455"/>
      <c r="BN212" s="455"/>
      <c r="BO212" s="455"/>
      <c r="BP212" s="455"/>
      <c r="BQ212" s="455"/>
      <c r="BR212" s="455"/>
      <c r="BS212" s="455"/>
      <c r="BT212" s="455"/>
      <c r="BU212" s="455"/>
      <c r="BV212" s="455"/>
      <c r="BW212" s="455"/>
      <c r="BX212" s="455"/>
      <c r="BY212" s="455"/>
      <c r="BZ212" s="455"/>
      <c r="CA212" s="455"/>
      <c r="CB212" s="455"/>
      <c r="CC212" s="455"/>
      <c r="CD212" s="455"/>
      <c r="CE212" s="455"/>
      <c r="CF212" s="455"/>
      <c r="CG212" s="455"/>
      <c r="CH212" s="455"/>
      <c r="CI212" s="455"/>
      <c r="CJ212" s="455"/>
      <c r="CK212" s="455"/>
      <c r="CL212" s="455"/>
      <c r="CM212" s="455"/>
      <c r="CN212" s="455"/>
      <c r="CO212" s="455"/>
      <c r="CP212" s="455"/>
      <c r="CQ212" s="455"/>
      <c r="CR212" s="455"/>
      <c r="CS212" s="455"/>
      <c r="CT212" s="455"/>
      <c r="CU212" s="455"/>
      <c r="CV212" s="455"/>
      <c r="CW212" s="455"/>
      <c r="CX212" s="455"/>
      <c r="CY212" s="455"/>
      <c r="CZ212" s="455"/>
      <c r="DA212" s="455"/>
      <c r="DB212" s="455"/>
      <c r="DC212" s="455"/>
      <c r="DD212" s="455"/>
      <c r="DE212" s="455"/>
      <c r="DF212" s="455"/>
      <c r="DG212" s="455"/>
      <c r="DH212" s="455"/>
      <c r="DI212" s="455"/>
      <c r="DJ212" s="455"/>
      <c r="DK212" s="455"/>
      <c r="DL212" s="455"/>
      <c r="DM212" s="455"/>
      <c r="DN212" s="455"/>
      <c r="DO212" s="455"/>
      <c r="DP212" s="455"/>
      <c r="DQ212" s="455"/>
      <c r="DR212" s="455"/>
      <c r="DS212" s="455"/>
      <c r="DT212" s="455"/>
      <c r="DU212" s="455"/>
      <c r="DV212" s="455"/>
      <c r="DW212" s="455"/>
      <c r="DX212" s="455"/>
      <c r="DY212" s="455"/>
      <c r="DZ212" s="455"/>
      <c r="EA212" s="455"/>
      <c r="EB212" s="455"/>
      <c r="EC212" s="455"/>
      <c r="ED212" s="455"/>
      <c r="EE212" s="455"/>
      <c r="EF212" s="455"/>
      <c r="EG212" s="455"/>
      <c r="EH212" s="455"/>
      <c r="EI212" s="455"/>
      <c r="EJ212" s="455"/>
      <c r="EK212" s="455"/>
      <c r="EL212" s="455"/>
      <c r="EM212" s="455"/>
      <c r="EN212" s="455"/>
      <c r="EO212" s="455"/>
      <c r="EP212" s="455"/>
      <c r="EQ212" s="455"/>
      <c r="ER212" s="455"/>
      <c r="ES212" s="455"/>
      <c r="ET212" s="455"/>
      <c r="EU212" s="455"/>
      <c r="EV212" s="455"/>
      <c r="EW212" s="455"/>
      <c r="EX212" s="455"/>
      <c r="EY212" s="455"/>
      <c r="EZ212" s="455"/>
      <c r="FA212" s="455"/>
      <c r="FB212" s="455"/>
      <c r="FC212" s="455"/>
      <c r="FD212" s="455"/>
      <c r="FE212" s="455"/>
      <c r="FF212" s="455"/>
      <c r="FG212" s="455"/>
      <c r="FH212" s="455"/>
      <c r="FI212" s="455"/>
      <c r="FJ212" s="455"/>
      <c r="FK212" s="455"/>
      <c r="FL212" s="455"/>
      <c r="FM212" s="455"/>
      <c r="FN212" s="455"/>
      <c r="FO212" s="455"/>
      <c r="FP212" s="455"/>
      <c r="FQ212" s="455"/>
      <c r="FR212" s="455"/>
      <c r="FS212" s="455"/>
      <c r="FT212" s="455"/>
      <c r="FU212" s="455"/>
      <c r="FV212" s="455"/>
      <c r="FW212" s="455"/>
      <c r="FX212" s="455"/>
      <c r="FY212" s="455"/>
      <c r="FZ212" s="455"/>
      <c r="GA212" s="455"/>
      <c r="GB212" s="455"/>
      <c r="GC212" s="455"/>
      <c r="GD212" s="455"/>
      <c r="GE212" s="455"/>
      <c r="GF212" s="455"/>
      <c r="GG212" s="455"/>
      <c r="GH212" s="455"/>
      <c r="GI212" s="455"/>
      <c r="GJ212" s="455"/>
      <c r="GK212" s="455"/>
      <c r="GL212" s="455"/>
      <c r="GM212" s="455"/>
      <c r="GN212" s="455"/>
      <c r="GO212" s="455"/>
      <c r="GP212" s="455"/>
      <c r="GQ212" s="455"/>
      <c r="GR212" s="455"/>
      <c r="GS212" s="455"/>
      <c r="GT212" s="455"/>
      <c r="GU212" s="455"/>
      <c r="GV212" s="455"/>
      <c r="GW212" s="455"/>
      <c r="GX212" s="455"/>
      <c r="GY212" s="455"/>
      <c r="GZ212" s="455"/>
      <c r="HA212" s="455"/>
      <c r="HB212" s="455"/>
      <c r="HC212" s="455"/>
      <c r="HD212" s="455"/>
      <c r="HE212" s="455"/>
      <c r="HF212" s="455"/>
      <c r="HG212" s="455"/>
      <c r="HH212" s="455"/>
      <c r="HI212" s="455"/>
      <c r="HJ212" s="455"/>
      <c r="HK212" s="455"/>
      <c r="HL212" s="455"/>
      <c r="HM212" s="455"/>
      <c r="HN212" s="455"/>
      <c r="HO212" s="455"/>
      <c r="HP212" s="455"/>
      <c r="HQ212" s="455"/>
      <c r="HR212" s="455"/>
      <c r="HS212" s="455"/>
      <c r="HT212" s="455"/>
      <c r="HU212" s="455"/>
      <c r="HV212" s="455"/>
      <c r="HW212" s="455"/>
      <c r="HX212" s="455"/>
      <c r="HY212" s="455"/>
      <c r="HZ212" s="455"/>
      <c r="IA212" s="455"/>
      <c r="IB212" s="455"/>
      <c r="IC212" s="455"/>
      <c r="ID212" s="455"/>
      <c r="IE212" s="455"/>
      <c r="IF212" s="455"/>
      <c r="IG212" s="455"/>
      <c r="IH212" s="455"/>
      <c r="II212" s="455"/>
      <c r="IJ212" s="455"/>
      <c r="IK212" s="455"/>
      <c r="IL212" s="455"/>
      <c r="IM212" s="455"/>
      <c r="IN212" s="455"/>
      <c r="IO212" s="455"/>
      <c r="IP212" s="455"/>
      <c r="IQ212" s="455"/>
      <c r="IR212" s="455"/>
      <c r="IS212" s="455"/>
    </row>
    <row r="213" spans="1:253" s="458" customFormat="1" ht="56.25" x14ac:dyDescent="0.2">
      <c r="A213" s="444">
        <v>2689</v>
      </c>
      <c r="B213" s="445" t="s">
        <v>84</v>
      </c>
      <c r="C213" s="445" t="s">
        <v>85</v>
      </c>
      <c r="D213" s="445"/>
      <c r="E213" s="445"/>
      <c r="F213" s="445"/>
      <c r="G213" s="446">
        <v>223</v>
      </c>
      <c r="H213" s="445" t="s">
        <v>254</v>
      </c>
      <c r="I213" s="445"/>
      <c r="J213" s="445"/>
      <c r="K213" s="447"/>
      <c r="L213" s="445" t="s">
        <v>133</v>
      </c>
      <c r="M213" s="445">
        <v>5</v>
      </c>
      <c r="N213" s="445" t="s">
        <v>248</v>
      </c>
      <c r="O213" s="449" t="s">
        <v>1211</v>
      </c>
      <c r="P213" s="450">
        <v>6.06</v>
      </c>
      <c r="Q213" s="451">
        <f t="shared" si="5"/>
        <v>6.06</v>
      </c>
      <c r="R213" s="451">
        <f>SUMIF('Wege im Detail'!$A:$A,"2689",'Wege im Detail'!$P:$P)</f>
        <v>6.06</v>
      </c>
      <c r="S213" s="452" t="s">
        <v>255</v>
      </c>
      <c r="T213" s="453">
        <v>44317</v>
      </c>
      <c r="U213" s="448"/>
      <c r="V213" s="539" t="s">
        <v>1212</v>
      </c>
      <c r="W213" s="448"/>
      <c r="X213" s="455"/>
      <c r="Y213" s="455"/>
      <c r="Z213" s="455"/>
      <c r="AA213" s="455"/>
      <c r="AB213" s="455"/>
      <c r="AC213" s="455"/>
      <c r="AD213" s="455"/>
      <c r="AE213" s="455"/>
      <c r="AF213" s="455"/>
      <c r="AG213" s="455"/>
      <c r="AH213" s="455"/>
      <c r="AI213" s="455"/>
      <c r="AJ213" s="455"/>
      <c r="AK213" s="455"/>
      <c r="AL213" s="455"/>
      <c r="AM213" s="455"/>
      <c r="AN213" s="455"/>
      <c r="AO213" s="455"/>
      <c r="AP213" s="455"/>
      <c r="AQ213" s="455"/>
      <c r="AR213" s="455"/>
      <c r="AS213" s="455"/>
      <c r="AT213" s="455"/>
      <c r="AU213" s="455"/>
      <c r="AV213" s="455"/>
      <c r="AW213" s="455"/>
      <c r="AX213" s="455"/>
      <c r="AY213" s="455"/>
      <c r="AZ213" s="455"/>
      <c r="BA213" s="455"/>
      <c r="BB213" s="455"/>
      <c r="BC213" s="455"/>
      <c r="BD213" s="455"/>
      <c r="BE213" s="455"/>
      <c r="BF213" s="455"/>
      <c r="BG213" s="455"/>
      <c r="BH213" s="455"/>
      <c r="BI213" s="455"/>
      <c r="BJ213" s="455"/>
      <c r="BK213" s="455"/>
      <c r="BL213" s="455"/>
      <c r="BM213" s="455"/>
      <c r="BN213" s="455"/>
      <c r="BO213" s="455"/>
      <c r="BP213" s="455"/>
      <c r="BQ213" s="455"/>
      <c r="BR213" s="455"/>
      <c r="BS213" s="455"/>
      <c r="BT213" s="455"/>
      <c r="BU213" s="455"/>
      <c r="BV213" s="455"/>
      <c r="BW213" s="455"/>
      <c r="BX213" s="455"/>
      <c r="BY213" s="455"/>
      <c r="BZ213" s="455"/>
      <c r="CA213" s="455"/>
      <c r="CB213" s="455"/>
      <c r="CC213" s="455"/>
      <c r="CD213" s="455"/>
      <c r="CE213" s="455"/>
      <c r="CF213" s="455"/>
      <c r="CG213" s="455"/>
      <c r="CH213" s="455"/>
      <c r="CI213" s="455"/>
      <c r="CJ213" s="455"/>
      <c r="CK213" s="455"/>
      <c r="CL213" s="455"/>
      <c r="CM213" s="455"/>
      <c r="CN213" s="455"/>
      <c r="CO213" s="455"/>
      <c r="CP213" s="455"/>
      <c r="CQ213" s="455"/>
      <c r="CR213" s="455"/>
      <c r="CS213" s="455"/>
      <c r="CT213" s="455"/>
      <c r="CU213" s="455"/>
      <c r="CV213" s="455"/>
      <c r="CW213" s="455"/>
      <c r="CX213" s="455"/>
      <c r="CY213" s="455"/>
      <c r="CZ213" s="455"/>
      <c r="DA213" s="455"/>
      <c r="DB213" s="455"/>
      <c r="DC213" s="455"/>
      <c r="DD213" s="455"/>
      <c r="DE213" s="455"/>
      <c r="DF213" s="455"/>
      <c r="DG213" s="455"/>
      <c r="DH213" s="455"/>
      <c r="DI213" s="455"/>
      <c r="DJ213" s="455"/>
      <c r="DK213" s="455"/>
      <c r="DL213" s="455"/>
      <c r="DM213" s="455"/>
      <c r="DN213" s="455"/>
      <c r="DO213" s="455"/>
      <c r="DP213" s="455"/>
      <c r="DQ213" s="455"/>
      <c r="DR213" s="455"/>
      <c r="DS213" s="455"/>
      <c r="DT213" s="455"/>
      <c r="DU213" s="455"/>
      <c r="DV213" s="455"/>
      <c r="DW213" s="455"/>
      <c r="DX213" s="455"/>
      <c r="DY213" s="455"/>
      <c r="DZ213" s="455"/>
      <c r="EA213" s="455"/>
      <c r="EB213" s="455"/>
      <c r="EC213" s="455"/>
      <c r="ED213" s="455"/>
      <c r="EE213" s="455"/>
      <c r="EF213" s="455"/>
      <c r="EG213" s="455"/>
      <c r="EH213" s="455"/>
      <c r="EI213" s="455"/>
      <c r="EJ213" s="455"/>
      <c r="EK213" s="455"/>
      <c r="EL213" s="455"/>
      <c r="EM213" s="455"/>
      <c r="EN213" s="455"/>
      <c r="EO213" s="455"/>
      <c r="EP213" s="455"/>
      <c r="EQ213" s="455"/>
      <c r="ER213" s="455"/>
      <c r="ES213" s="455"/>
      <c r="ET213" s="455"/>
      <c r="EU213" s="455"/>
      <c r="EV213" s="455"/>
      <c r="EW213" s="455"/>
      <c r="EX213" s="455"/>
      <c r="EY213" s="455"/>
      <c r="EZ213" s="455"/>
      <c r="FA213" s="455"/>
      <c r="FB213" s="455"/>
      <c r="FC213" s="455"/>
      <c r="FD213" s="455"/>
      <c r="FE213" s="455"/>
      <c r="FF213" s="455"/>
      <c r="FG213" s="455"/>
      <c r="FH213" s="455"/>
      <c r="FI213" s="455"/>
      <c r="FJ213" s="455"/>
      <c r="FK213" s="455"/>
      <c r="FL213" s="455"/>
      <c r="FM213" s="455"/>
      <c r="FN213" s="455"/>
      <c r="FO213" s="455"/>
      <c r="FP213" s="455"/>
      <c r="FQ213" s="455"/>
      <c r="FR213" s="455"/>
      <c r="FS213" s="455"/>
      <c r="FT213" s="455"/>
      <c r="FU213" s="455"/>
      <c r="FV213" s="455"/>
      <c r="FW213" s="455"/>
      <c r="FX213" s="455"/>
      <c r="FY213" s="455"/>
      <c r="FZ213" s="455"/>
      <c r="GA213" s="455"/>
      <c r="GB213" s="455"/>
      <c r="GC213" s="455"/>
      <c r="GD213" s="455"/>
      <c r="GE213" s="455"/>
      <c r="GF213" s="455"/>
      <c r="GG213" s="455"/>
      <c r="GH213" s="455"/>
      <c r="GI213" s="455"/>
      <c r="GJ213" s="455"/>
      <c r="GK213" s="455"/>
      <c r="GL213" s="455"/>
      <c r="GM213" s="455"/>
      <c r="GN213" s="455"/>
      <c r="GO213" s="455"/>
      <c r="GP213" s="455"/>
      <c r="GQ213" s="455"/>
      <c r="GR213" s="455"/>
      <c r="GS213" s="455"/>
      <c r="GT213" s="455"/>
      <c r="GU213" s="455"/>
      <c r="GV213" s="455"/>
      <c r="GW213" s="455"/>
      <c r="GX213" s="455"/>
      <c r="GY213" s="455"/>
      <c r="GZ213" s="455"/>
      <c r="HA213" s="455"/>
      <c r="HB213" s="455"/>
      <c r="HC213" s="455"/>
      <c r="HD213" s="455"/>
      <c r="HE213" s="455"/>
      <c r="HF213" s="455"/>
      <c r="HG213" s="455"/>
      <c r="HH213" s="455"/>
      <c r="HI213" s="455"/>
      <c r="HJ213" s="455"/>
      <c r="HK213" s="455"/>
      <c r="HL213" s="455"/>
      <c r="HM213" s="455"/>
      <c r="HN213" s="455"/>
      <c r="HO213" s="455"/>
      <c r="HP213" s="455"/>
      <c r="HQ213" s="455"/>
      <c r="HR213" s="455"/>
      <c r="HS213" s="455"/>
      <c r="HT213" s="455"/>
      <c r="HU213" s="455"/>
      <c r="HV213" s="455"/>
      <c r="HW213" s="455"/>
      <c r="HX213" s="455"/>
      <c r="HY213" s="455"/>
      <c r="HZ213" s="455"/>
      <c r="IA213" s="455"/>
      <c r="IB213" s="455"/>
      <c r="IC213" s="455"/>
      <c r="ID213" s="455"/>
      <c r="IE213" s="455"/>
      <c r="IF213" s="455"/>
      <c r="IG213" s="455"/>
      <c r="IH213" s="455"/>
      <c r="II213" s="455"/>
      <c r="IJ213" s="455"/>
      <c r="IK213" s="455"/>
      <c r="IL213" s="455"/>
      <c r="IM213" s="455"/>
      <c r="IN213" s="455"/>
      <c r="IO213" s="455"/>
      <c r="IP213" s="455"/>
      <c r="IQ213" s="455"/>
      <c r="IR213" s="455"/>
      <c r="IS213" s="455"/>
    </row>
    <row r="214" spans="1:253" s="458" customFormat="1" ht="45" x14ac:dyDescent="0.2">
      <c r="A214" s="444">
        <v>2690</v>
      </c>
      <c r="B214" s="445" t="s">
        <v>84</v>
      </c>
      <c r="C214" s="445" t="s">
        <v>85</v>
      </c>
      <c r="D214" s="445"/>
      <c r="E214" s="445"/>
      <c r="F214" s="445"/>
      <c r="G214" s="446">
        <v>224</v>
      </c>
      <c r="H214" s="445" t="s">
        <v>257</v>
      </c>
      <c r="I214" s="445"/>
      <c r="J214" s="445"/>
      <c r="K214" s="447"/>
      <c r="L214" s="445" t="s">
        <v>138</v>
      </c>
      <c r="M214" s="445">
        <v>5</v>
      </c>
      <c r="N214" s="445" t="s">
        <v>248</v>
      </c>
      <c r="O214" s="449" t="s">
        <v>1213</v>
      </c>
      <c r="P214" s="450">
        <v>4.0229999999999997</v>
      </c>
      <c r="Q214" s="451">
        <f t="shared" si="5"/>
        <v>4.0229999999999997</v>
      </c>
      <c r="R214" s="451">
        <f>SUMIF('Wege im Detail'!$A:$A,"2690",'Wege im Detail'!$P:$P)</f>
        <v>4.0229999999999997</v>
      </c>
      <c r="S214" s="452" t="s">
        <v>258</v>
      </c>
      <c r="T214" s="453">
        <v>42917</v>
      </c>
      <c r="U214" s="448"/>
      <c r="V214" s="539"/>
      <c r="W214" s="448"/>
      <c r="X214" s="455"/>
      <c r="Y214" s="455"/>
      <c r="Z214" s="455"/>
      <c r="AA214" s="455"/>
      <c r="AB214" s="455"/>
      <c r="AC214" s="455"/>
      <c r="AD214" s="455"/>
      <c r="AE214" s="455"/>
      <c r="AF214" s="455"/>
      <c r="AG214" s="455"/>
      <c r="AH214" s="455"/>
      <c r="AI214" s="455"/>
      <c r="AJ214" s="455"/>
      <c r="AK214" s="455"/>
      <c r="AL214" s="455"/>
      <c r="AM214" s="455"/>
      <c r="AN214" s="455"/>
      <c r="AO214" s="455"/>
      <c r="AP214" s="455"/>
      <c r="AQ214" s="455"/>
      <c r="AR214" s="455"/>
      <c r="AS214" s="455"/>
      <c r="AT214" s="455"/>
      <c r="AU214" s="455"/>
      <c r="AV214" s="455"/>
      <c r="AW214" s="455"/>
      <c r="AX214" s="455"/>
      <c r="AY214" s="455"/>
      <c r="AZ214" s="455"/>
      <c r="BA214" s="455"/>
      <c r="BB214" s="455"/>
      <c r="BC214" s="455"/>
      <c r="BD214" s="455"/>
      <c r="BE214" s="455"/>
      <c r="BF214" s="455"/>
      <c r="BG214" s="455"/>
      <c r="BH214" s="455"/>
      <c r="BI214" s="455"/>
      <c r="BJ214" s="455"/>
      <c r="BK214" s="455"/>
      <c r="BL214" s="455"/>
      <c r="BM214" s="455"/>
      <c r="BN214" s="455"/>
      <c r="BO214" s="455"/>
      <c r="BP214" s="455"/>
      <c r="BQ214" s="455"/>
      <c r="BR214" s="455"/>
      <c r="BS214" s="455"/>
      <c r="BT214" s="455"/>
      <c r="BU214" s="455"/>
      <c r="BV214" s="455"/>
      <c r="BW214" s="455"/>
      <c r="BX214" s="455"/>
      <c r="BY214" s="455"/>
      <c r="BZ214" s="455"/>
      <c r="CA214" s="455"/>
      <c r="CB214" s="455"/>
      <c r="CC214" s="455"/>
      <c r="CD214" s="455"/>
      <c r="CE214" s="455"/>
      <c r="CF214" s="455"/>
      <c r="CG214" s="455"/>
      <c r="CH214" s="455"/>
      <c r="CI214" s="455"/>
      <c r="CJ214" s="455"/>
      <c r="CK214" s="455"/>
      <c r="CL214" s="455"/>
      <c r="CM214" s="455"/>
      <c r="CN214" s="455"/>
      <c r="CO214" s="455"/>
      <c r="CP214" s="455"/>
      <c r="CQ214" s="455"/>
      <c r="CR214" s="455"/>
      <c r="CS214" s="455"/>
      <c r="CT214" s="455"/>
      <c r="CU214" s="455"/>
      <c r="CV214" s="455"/>
      <c r="CW214" s="455"/>
      <c r="CX214" s="455"/>
      <c r="CY214" s="455"/>
      <c r="CZ214" s="455"/>
      <c r="DA214" s="455"/>
      <c r="DB214" s="455"/>
      <c r="DC214" s="455"/>
      <c r="DD214" s="455"/>
      <c r="DE214" s="455"/>
      <c r="DF214" s="455"/>
      <c r="DG214" s="455"/>
      <c r="DH214" s="455"/>
      <c r="DI214" s="455"/>
      <c r="DJ214" s="455"/>
      <c r="DK214" s="455"/>
      <c r="DL214" s="455"/>
      <c r="DM214" s="455"/>
      <c r="DN214" s="455"/>
      <c r="DO214" s="455"/>
      <c r="DP214" s="455"/>
      <c r="DQ214" s="455"/>
      <c r="DR214" s="455"/>
      <c r="DS214" s="455"/>
      <c r="DT214" s="455"/>
      <c r="DU214" s="455"/>
      <c r="DV214" s="455"/>
      <c r="DW214" s="455"/>
      <c r="DX214" s="455"/>
      <c r="DY214" s="455"/>
      <c r="DZ214" s="455"/>
      <c r="EA214" s="455"/>
      <c r="EB214" s="455"/>
      <c r="EC214" s="455"/>
      <c r="ED214" s="455"/>
      <c r="EE214" s="455"/>
      <c r="EF214" s="455"/>
      <c r="EG214" s="455"/>
      <c r="EH214" s="455"/>
      <c r="EI214" s="455"/>
      <c r="EJ214" s="455"/>
      <c r="EK214" s="455"/>
      <c r="EL214" s="455"/>
      <c r="EM214" s="455"/>
      <c r="EN214" s="455"/>
      <c r="EO214" s="455"/>
      <c r="EP214" s="455"/>
      <c r="EQ214" s="455"/>
      <c r="ER214" s="455"/>
      <c r="ES214" s="455"/>
      <c r="ET214" s="455"/>
      <c r="EU214" s="455"/>
      <c r="EV214" s="455"/>
      <c r="EW214" s="455"/>
      <c r="EX214" s="455"/>
      <c r="EY214" s="455"/>
      <c r="EZ214" s="455"/>
      <c r="FA214" s="455"/>
      <c r="FB214" s="455"/>
      <c r="FC214" s="455"/>
      <c r="FD214" s="455"/>
      <c r="FE214" s="455"/>
      <c r="FF214" s="455"/>
      <c r="FG214" s="455"/>
      <c r="FH214" s="455"/>
      <c r="FI214" s="455"/>
      <c r="FJ214" s="455"/>
      <c r="FK214" s="455"/>
      <c r="FL214" s="455"/>
      <c r="FM214" s="455"/>
      <c r="FN214" s="455"/>
      <c r="FO214" s="455"/>
      <c r="FP214" s="455"/>
      <c r="FQ214" s="455"/>
      <c r="FR214" s="455"/>
      <c r="FS214" s="455"/>
      <c r="FT214" s="455"/>
      <c r="FU214" s="455"/>
      <c r="FV214" s="455"/>
      <c r="FW214" s="455"/>
      <c r="FX214" s="455"/>
      <c r="FY214" s="455"/>
      <c r="FZ214" s="455"/>
      <c r="GA214" s="455"/>
      <c r="GB214" s="455"/>
      <c r="GC214" s="455"/>
      <c r="GD214" s="455"/>
      <c r="GE214" s="455"/>
      <c r="GF214" s="455"/>
      <c r="GG214" s="455"/>
      <c r="GH214" s="455"/>
      <c r="GI214" s="455"/>
      <c r="GJ214" s="455"/>
      <c r="GK214" s="455"/>
      <c r="GL214" s="455"/>
      <c r="GM214" s="455"/>
      <c r="GN214" s="455"/>
      <c r="GO214" s="455"/>
      <c r="GP214" s="455"/>
      <c r="GQ214" s="455"/>
      <c r="GR214" s="455"/>
      <c r="GS214" s="455"/>
      <c r="GT214" s="455"/>
      <c r="GU214" s="455"/>
      <c r="GV214" s="455"/>
      <c r="GW214" s="455"/>
      <c r="GX214" s="455"/>
      <c r="GY214" s="455"/>
      <c r="GZ214" s="455"/>
      <c r="HA214" s="455"/>
      <c r="HB214" s="455"/>
      <c r="HC214" s="455"/>
      <c r="HD214" s="455"/>
      <c r="HE214" s="455"/>
      <c r="HF214" s="455"/>
      <c r="HG214" s="455"/>
      <c r="HH214" s="455"/>
      <c r="HI214" s="455"/>
      <c r="HJ214" s="455"/>
      <c r="HK214" s="455"/>
      <c r="HL214" s="455"/>
      <c r="HM214" s="455"/>
      <c r="HN214" s="455"/>
      <c r="HO214" s="455"/>
      <c r="HP214" s="455"/>
      <c r="HQ214" s="455"/>
      <c r="HR214" s="455"/>
      <c r="HS214" s="455"/>
      <c r="HT214" s="455"/>
      <c r="HU214" s="455"/>
      <c r="HV214" s="455"/>
      <c r="HW214" s="455"/>
      <c r="HX214" s="455"/>
      <c r="HY214" s="455"/>
      <c r="HZ214" s="455"/>
      <c r="IA214" s="455"/>
      <c r="IB214" s="455"/>
      <c r="IC214" s="455"/>
      <c r="ID214" s="455"/>
      <c r="IE214" s="455"/>
      <c r="IF214" s="455"/>
      <c r="IG214" s="455"/>
      <c r="IH214" s="455"/>
      <c r="II214" s="455"/>
      <c r="IJ214" s="455"/>
      <c r="IK214" s="455"/>
      <c r="IL214" s="455"/>
      <c r="IM214" s="455"/>
      <c r="IN214" s="455"/>
      <c r="IO214" s="455"/>
      <c r="IP214" s="455"/>
      <c r="IQ214" s="455"/>
      <c r="IR214" s="455"/>
      <c r="IS214" s="455"/>
    </row>
    <row r="215" spans="1:253" s="458" customFormat="1" ht="56.25" x14ac:dyDescent="0.2">
      <c r="A215" s="444">
        <v>2692</v>
      </c>
      <c r="B215" s="445" t="s">
        <v>84</v>
      </c>
      <c r="C215" s="445" t="s">
        <v>85</v>
      </c>
      <c r="D215" s="445"/>
      <c r="E215" s="445"/>
      <c r="F215" s="445"/>
      <c r="G215" s="446">
        <v>225</v>
      </c>
      <c r="H215" s="445" t="s">
        <v>260</v>
      </c>
      <c r="I215" s="445"/>
      <c r="J215" s="445"/>
      <c r="K215" s="447"/>
      <c r="L215" s="445" t="s">
        <v>88</v>
      </c>
      <c r="M215" s="445">
        <v>5</v>
      </c>
      <c r="N215" s="445" t="s">
        <v>248</v>
      </c>
      <c r="O215" s="449" t="s">
        <v>1214</v>
      </c>
      <c r="P215" s="450">
        <v>6.4790000000000001</v>
      </c>
      <c r="Q215" s="451">
        <f t="shared" si="5"/>
        <v>6.4790000000000001</v>
      </c>
      <c r="R215" s="451">
        <f>SUMIF('Wege im Detail'!$A:$A,"2692",'Wege im Detail'!$P:$P)</f>
        <v>6.4790000000000001</v>
      </c>
      <c r="S215" s="452" t="s">
        <v>261</v>
      </c>
      <c r="T215" s="453">
        <v>42917</v>
      </c>
      <c r="U215" s="448"/>
      <c r="V215" s="476"/>
      <c r="W215" s="448"/>
    </row>
    <row r="216" spans="1:253" s="458" customFormat="1" ht="56.25" x14ac:dyDescent="0.2">
      <c r="A216" s="444">
        <v>2693</v>
      </c>
      <c r="B216" s="445" t="s">
        <v>84</v>
      </c>
      <c r="C216" s="445" t="s">
        <v>85</v>
      </c>
      <c r="D216" s="445"/>
      <c r="E216" s="445"/>
      <c r="F216" s="481"/>
      <c r="G216" s="446">
        <v>256</v>
      </c>
      <c r="H216" s="445" t="s">
        <v>263</v>
      </c>
      <c r="I216" s="445"/>
      <c r="J216" s="445"/>
      <c r="K216" s="447"/>
      <c r="L216" s="445" t="s">
        <v>172</v>
      </c>
      <c r="M216" s="445">
        <v>5</v>
      </c>
      <c r="N216" s="445" t="s">
        <v>208</v>
      </c>
      <c r="O216" s="449" t="s">
        <v>1215</v>
      </c>
      <c r="P216" s="450">
        <v>2.6019999999999999</v>
      </c>
      <c r="Q216" s="451">
        <f t="shared" si="5"/>
        <v>2.6019999999999999</v>
      </c>
      <c r="R216" s="451">
        <f>SUMIF('Wege im Detail'!$A:$A,"2693",'Wege im Detail'!$P:$P)</f>
        <v>2.6019999999999999</v>
      </c>
      <c r="S216" s="452" t="s">
        <v>264</v>
      </c>
      <c r="T216" s="453">
        <v>42917</v>
      </c>
      <c r="U216" s="448"/>
      <c r="V216" s="468"/>
      <c r="W216" s="448"/>
    </row>
    <row r="217" spans="1:253" s="458" customFormat="1" ht="67.5" x14ac:dyDescent="0.2">
      <c r="A217" s="444">
        <v>2694</v>
      </c>
      <c r="B217" s="445" t="s">
        <v>84</v>
      </c>
      <c r="C217" s="445" t="s">
        <v>85</v>
      </c>
      <c r="D217" s="445"/>
      <c r="E217" s="445"/>
      <c r="F217" s="481"/>
      <c r="G217" s="446">
        <v>257</v>
      </c>
      <c r="H217" s="445" t="s">
        <v>266</v>
      </c>
      <c r="I217" s="445"/>
      <c r="J217" s="445"/>
      <c r="K217" s="447"/>
      <c r="L217" s="445" t="s">
        <v>163</v>
      </c>
      <c r="M217" s="445">
        <v>5</v>
      </c>
      <c r="N217" s="445" t="s">
        <v>208</v>
      </c>
      <c r="O217" s="449" t="s">
        <v>1216</v>
      </c>
      <c r="P217" s="450">
        <v>7.6870000000000003</v>
      </c>
      <c r="Q217" s="451">
        <f t="shared" si="5"/>
        <v>7.6870000000000003</v>
      </c>
      <c r="R217" s="451">
        <f>SUMIF('Wege im Detail'!$A:$A,"2694",'Wege im Detail'!$P:$P)</f>
        <v>7.6870000000000003</v>
      </c>
      <c r="S217" s="452" t="s">
        <v>267</v>
      </c>
      <c r="T217" s="453">
        <v>42917</v>
      </c>
      <c r="U217" s="448"/>
      <c r="V217" s="468"/>
      <c r="W217" s="448"/>
    </row>
    <row r="218" spans="1:253" s="458" customFormat="1" ht="78.75" x14ac:dyDescent="0.2">
      <c r="A218" s="444">
        <v>2695</v>
      </c>
      <c r="B218" s="445" t="s">
        <v>84</v>
      </c>
      <c r="C218" s="445" t="s">
        <v>85</v>
      </c>
      <c r="D218" s="445"/>
      <c r="E218" s="445"/>
      <c r="F218" s="481"/>
      <c r="G218" s="446">
        <v>258</v>
      </c>
      <c r="H218" s="445" t="s">
        <v>269</v>
      </c>
      <c r="I218" s="445"/>
      <c r="J218" s="445"/>
      <c r="K218" s="447"/>
      <c r="L218" s="445" t="s">
        <v>168</v>
      </c>
      <c r="M218" s="445">
        <v>5</v>
      </c>
      <c r="N218" s="445" t="s">
        <v>208</v>
      </c>
      <c r="O218" s="449" t="s">
        <v>1217</v>
      </c>
      <c r="P218" s="450">
        <v>4.5940000000000003</v>
      </c>
      <c r="Q218" s="451">
        <f t="shared" si="5"/>
        <v>4.5940000000000003</v>
      </c>
      <c r="R218" s="451">
        <f>SUMIF('Wege im Detail'!$A:$A,"2695",'Wege im Detail'!$P:$P)</f>
        <v>4.5940000000000003</v>
      </c>
      <c r="S218" s="452" t="s">
        <v>270</v>
      </c>
      <c r="T218" s="453">
        <v>43952</v>
      </c>
      <c r="U218" s="448"/>
      <c r="V218" s="400"/>
      <c r="W218" s="448"/>
      <c r="X218" s="455"/>
      <c r="Y218" s="455"/>
      <c r="Z218" s="455"/>
      <c r="AA218" s="455"/>
      <c r="AB218" s="455"/>
      <c r="AC218" s="455"/>
      <c r="AD218" s="455"/>
      <c r="AE218" s="455"/>
      <c r="AF218" s="455"/>
      <c r="AG218" s="455"/>
      <c r="AH218" s="455"/>
      <c r="AI218" s="455"/>
      <c r="AJ218" s="455"/>
      <c r="AK218" s="455"/>
      <c r="AL218" s="455"/>
      <c r="AM218" s="455"/>
      <c r="AN218" s="455"/>
      <c r="AO218" s="455"/>
      <c r="AP218" s="455"/>
      <c r="AQ218" s="455"/>
      <c r="AR218" s="455"/>
      <c r="AS218" s="455"/>
      <c r="AT218" s="455"/>
      <c r="AU218" s="455"/>
      <c r="AV218" s="455"/>
      <c r="AW218" s="455"/>
      <c r="AX218" s="455"/>
      <c r="AY218" s="455"/>
      <c r="AZ218" s="455"/>
      <c r="BA218" s="455"/>
      <c r="BB218" s="455"/>
      <c r="BC218" s="455"/>
      <c r="BD218" s="455"/>
      <c r="BE218" s="455"/>
      <c r="BF218" s="455"/>
      <c r="BG218" s="455"/>
      <c r="BH218" s="455"/>
      <c r="BI218" s="455"/>
      <c r="BJ218" s="455"/>
      <c r="BK218" s="455"/>
      <c r="BL218" s="455"/>
      <c r="BM218" s="455"/>
      <c r="BN218" s="455"/>
      <c r="BO218" s="455"/>
      <c r="BP218" s="455"/>
      <c r="BQ218" s="455"/>
      <c r="BR218" s="455"/>
      <c r="BS218" s="455"/>
      <c r="BT218" s="455"/>
      <c r="BU218" s="455"/>
      <c r="BV218" s="455"/>
      <c r="BW218" s="455"/>
      <c r="BX218" s="455"/>
      <c r="BY218" s="455"/>
      <c r="BZ218" s="455"/>
      <c r="CA218" s="455"/>
      <c r="CB218" s="455"/>
      <c r="CC218" s="455"/>
      <c r="CD218" s="455"/>
      <c r="CE218" s="455"/>
      <c r="CF218" s="455"/>
      <c r="CG218" s="455"/>
      <c r="CH218" s="455"/>
      <c r="CI218" s="455"/>
      <c r="CJ218" s="455"/>
      <c r="CK218" s="455"/>
      <c r="CL218" s="455"/>
      <c r="CM218" s="455"/>
      <c r="CN218" s="455"/>
      <c r="CO218" s="455"/>
      <c r="CP218" s="455"/>
      <c r="CQ218" s="455"/>
      <c r="CR218" s="455"/>
      <c r="CS218" s="455"/>
      <c r="CT218" s="455"/>
      <c r="CU218" s="455"/>
      <c r="CV218" s="455"/>
      <c r="CW218" s="455"/>
      <c r="CX218" s="455"/>
      <c r="CY218" s="455"/>
      <c r="CZ218" s="455"/>
      <c r="DA218" s="455"/>
      <c r="DB218" s="455"/>
      <c r="DC218" s="455"/>
      <c r="DD218" s="455"/>
      <c r="DE218" s="455"/>
      <c r="DF218" s="455"/>
      <c r="DG218" s="455"/>
      <c r="DH218" s="455"/>
      <c r="DI218" s="455"/>
      <c r="DJ218" s="455"/>
      <c r="DK218" s="455"/>
      <c r="DL218" s="455"/>
      <c r="DM218" s="455"/>
      <c r="DN218" s="455"/>
      <c r="DO218" s="455"/>
      <c r="DP218" s="455"/>
      <c r="DQ218" s="455"/>
      <c r="DR218" s="455"/>
      <c r="DS218" s="455"/>
      <c r="DT218" s="455"/>
      <c r="DU218" s="455"/>
      <c r="DV218" s="455"/>
      <c r="DW218" s="455"/>
      <c r="DX218" s="455"/>
      <c r="DY218" s="455"/>
      <c r="DZ218" s="455"/>
      <c r="EA218" s="455"/>
      <c r="EB218" s="455"/>
      <c r="EC218" s="455"/>
      <c r="ED218" s="455"/>
      <c r="EE218" s="455"/>
      <c r="EF218" s="455"/>
      <c r="EG218" s="455"/>
      <c r="EH218" s="455"/>
      <c r="EI218" s="455"/>
      <c r="EJ218" s="455"/>
      <c r="EK218" s="455"/>
      <c r="EL218" s="455"/>
      <c r="EM218" s="455"/>
      <c r="EN218" s="455"/>
      <c r="EO218" s="455"/>
      <c r="EP218" s="455"/>
      <c r="EQ218" s="455"/>
      <c r="ER218" s="455"/>
      <c r="ES218" s="455"/>
      <c r="ET218" s="455"/>
      <c r="EU218" s="455"/>
      <c r="EV218" s="455"/>
      <c r="EW218" s="455"/>
      <c r="EX218" s="455"/>
      <c r="EY218" s="455"/>
      <c r="EZ218" s="455"/>
      <c r="FA218" s="455"/>
      <c r="FB218" s="455"/>
      <c r="FC218" s="455"/>
      <c r="FD218" s="455"/>
      <c r="FE218" s="455"/>
      <c r="FF218" s="455"/>
      <c r="FG218" s="455"/>
      <c r="FH218" s="455"/>
      <c r="FI218" s="455"/>
      <c r="FJ218" s="455"/>
      <c r="FK218" s="455"/>
      <c r="FL218" s="455"/>
      <c r="FM218" s="455"/>
      <c r="FN218" s="455"/>
      <c r="FO218" s="455"/>
      <c r="FP218" s="455"/>
      <c r="FQ218" s="455"/>
      <c r="FR218" s="455"/>
      <c r="FS218" s="455"/>
      <c r="FT218" s="455"/>
      <c r="FU218" s="455"/>
      <c r="FV218" s="455"/>
      <c r="FW218" s="455"/>
      <c r="FX218" s="455"/>
      <c r="FY218" s="455"/>
      <c r="FZ218" s="455"/>
      <c r="GA218" s="455"/>
      <c r="GB218" s="455"/>
      <c r="GC218" s="455"/>
      <c r="GD218" s="455"/>
      <c r="GE218" s="455"/>
      <c r="GF218" s="455"/>
      <c r="GG218" s="455"/>
      <c r="GH218" s="455"/>
      <c r="GI218" s="455"/>
      <c r="GJ218" s="455"/>
      <c r="GK218" s="455"/>
      <c r="GL218" s="455"/>
      <c r="GM218" s="455"/>
      <c r="GN218" s="455"/>
      <c r="GO218" s="455"/>
      <c r="GP218" s="455"/>
      <c r="GQ218" s="455"/>
      <c r="GR218" s="455"/>
      <c r="GS218" s="455"/>
      <c r="GT218" s="455"/>
      <c r="GU218" s="455"/>
      <c r="GV218" s="455"/>
      <c r="GW218" s="455"/>
      <c r="GX218" s="455"/>
      <c r="GY218" s="455"/>
      <c r="GZ218" s="455"/>
      <c r="HA218" s="455"/>
      <c r="HB218" s="455"/>
      <c r="HC218" s="455"/>
      <c r="HD218" s="455"/>
      <c r="HE218" s="455"/>
      <c r="HF218" s="455"/>
      <c r="HG218" s="455"/>
      <c r="HH218" s="455"/>
      <c r="HI218" s="455"/>
      <c r="HJ218" s="455"/>
      <c r="HK218" s="455"/>
      <c r="HL218" s="455"/>
      <c r="HM218" s="455"/>
      <c r="HN218" s="455"/>
      <c r="HO218" s="455"/>
      <c r="HP218" s="455"/>
      <c r="HQ218" s="455"/>
      <c r="HR218" s="455"/>
      <c r="HS218" s="455"/>
      <c r="HT218" s="455"/>
      <c r="HU218" s="455"/>
      <c r="HV218" s="455"/>
      <c r="HW218" s="455"/>
      <c r="HX218" s="455"/>
      <c r="HY218" s="455"/>
      <c r="HZ218" s="455"/>
      <c r="IA218" s="455"/>
      <c r="IB218" s="455"/>
      <c r="IC218" s="455"/>
      <c r="ID218" s="455"/>
      <c r="IE218" s="455"/>
      <c r="IF218" s="455"/>
      <c r="IG218" s="455"/>
      <c r="IH218" s="455"/>
      <c r="II218" s="455"/>
      <c r="IJ218" s="455"/>
      <c r="IK218" s="455"/>
      <c r="IL218" s="455"/>
      <c r="IM218" s="455"/>
      <c r="IN218" s="455"/>
      <c r="IO218" s="455"/>
      <c r="IP218" s="455"/>
      <c r="IQ218" s="455"/>
      <c r="IR218" s="455"/>
      <c r="IS218" s="455"/>
    </row>
    <row r="219" spans="1:253" s="458" customFormat="1" ht="56.25" x14ac:dyDescent="0.2">
      <c r="A219" s="444">
        <v>2696</v>
      </c>
      <c r="B219" s="445" t="s">
        <v>84</v>
      </c>
      <c r="C219" s="445" t="s">
        <v>85</v>
      </c>
      <c r="D219" s="445"/>
      <c r="E219" s="445"/>
      <c r="F219" s="481"/>
      <c r="G219" s="446">
        <v>259</v>
      </c>
      <c r="H219" s="445" t="s">
        <v>272</v>
      </c>
      <c r="I219" s="445"/>
      <c r="J219" s="445"/>
      <c r="K219" s="447"/>
      <c r="L219" s="445" t="s">
        <v>273</v>
      </c>
      <c r="M219" s="445">
        <v>5</v>
      </c>
      <c r="N219" s="445" t="s">
        <v>208</v>
      </c>
      <c r="O219" s="449" t="s">
        <v>1218</v>
      </c>
      <c r="P219" s="450">
        <v>3.6640000000000001</v>
      </c>
      <c r="Q219" s="451">
        <f t="shared" si="5"/>
        <v>3.6640000000000001</v>
      </c>
      <c r="R219" s="451">
        <f>SUMIF('Wege im Detail'!$A:$A,"2696",'Wege im Detail'!$P:$P)</f>
        <v>3.6640000000000001</v>
      </c>
      <c r="S219" s="452" t="s">
        <v>274</v>
      </c>
      <c r="T219" s="453">
        <v>43952</v>
      </c>
      <c r="U219" s="448"/>
      <c r="V219" s="400"/>
      <c r="W219" s="448"/>
      <c r="X219" s="455"/>
      <c r="Y219" s="455"/>
      <c r="Z219" s="455"/>
      <c r="AA219" s="455"/>
      <c r="AB219" s="455"/>
      <c r="AC219" s="455"/>
      <c r="AD219" s="455"/>
      <c r="AE219" s="455"/>
      <c r="AF219" s="455"/>
      <c r="AG219" s="455"/>
      <c r="AH219" s="455"/>
      <c r="AI219" s="455"/>
      <c r="AJ219" s="455"/>
      <c r="AK219" s="455"/>
      <c r="AL219" s="455"/>
      <c r="AM219" s="455"/>
      <c r="AN219" s="455"/>
      <c r="AO219" s="455"/>
      <c r="AP219" s="455"/>
      <c r="AQ219" s="455"/>
      <c r="AR219" s="455"/>
      <c r="AS219" s="455"/>
      <c r="AT219" s="455"/>
      <c r="AU219" s="455"/>
      <c r="AV219" s="455"/>
      <c r="AW219" s="455"/>
      <c r="AX219" s="455"/>
      <c r="AY219" s="455"/>
      <c r="AZ219" s="455"/>
      <c r="BA219" s="455"/>
      <c r="BB219" s="455"/>
      <c r="BC219" s="455"/>
      <c r="BD219" s="455"/>
      <c r="BE219" s="455"/>
      <c r="BF219" s="455"/>
      <c r="BG219" s="455"/>
      <c r="BH219" s="455"/>
      <c r="BI219" s="455"/>
      <c r="BJ219" s="455"/>
      <c r="BK219" s="455"/>
      <c r="BL219" s="455"/>
      <c r="BM219" s="455"/>
      <c r="BN219" s="455"/>
      <c r="BO219" s="455"/>
      <c r="BP219" s="455"/>
      <c r="BQ219" s="455"/>
      <c r="BR219" s="455"/>
      <c r="BS219" s="455"/>
      <c r="BT219" s="455"/>
      <c r="BU219" s="455"/>
      <c r="BV219" s="455"/>
      <c r="BW219" s="455"/>
      <c r="BX219" s="455"/>
      <c r="BY219" s="455"/>
      <c r="BZ219" s="455"/>
      <c r="CA219" s="455"/>
      <c r="CB219" s="455"/>
      <c r="CC219" s="455"/>
      <c r="CD219" s="455"/>
      <c r="CE219" s="455"/>
      <c r="CF219" s="455"/>
      <c r="CG219" s="455"/>
      <c r="CH219" s="455"/>
      <c r="CI219" s="455"/>
      <c r="CJ219" s="455"/>
      <c r="CK219" s="455"/>
      <c r="CL219" s="455"/>
      <c r="CM219" s="455"/>
      <c r="CN219" s="455"/>
      <c r="CO219" s="455"/>
      <c r="CP219" s="455"/>
      <c r="CQ219" s="455"/>
      <c r="CR219" s="455"/>
      <c r="CS219" s="455"/>
      <c r="CT219" s="455"/>
      <c r="CU219" s="455"/>
      <c r="CV219" s="455"/>
      <c r="CW219" s="455"/>
      <c r="CX219" s="455"/>
      <c r="CY219" s="455"/>
      <c r="CZ219" s="455"/>
      <c r="DA219" s="455"/>
      <c r="DB219" s="455"/>
      <c r="DC219" s="455"/>
      <c r="DD219" s="455"/>
      <c r="DE219" s="455"/>
      <c r="DF219" s="455"/>
      <c r="DG219" s="455"/>
      <c r="DH219" s="455"/>
      <c r="DI219" s="455"/>
      <c r="DJ219" s="455"/>
      <c r="DK219" s="455"/>
      <c r="DL219" s="455"/>
      <c r="DM219" s="455"/>
      <c r="DN219" s="455"/>
      <c r="DO219" s="455"/>
      <c r="DP219" s="455"/>
      <c r="DQ219" s="455"/>
      <c r="DR219" s="455"/>
      <c r="DS219" s="455"/>
      <c r="DT219" s="455"/>
      <c r="DU219" s="455"/>
      <c r="DV219" s="455"/>
      <c r="DW219" s="455"/>
      <c r="DX219" s="455"/>
      <c r="DY219" s="455"/>
      <c r="DZ219" s="455"/>
      <c r="EA219" s="455"/>
      <c r="EB219" s="455"/>
      <c r="EC219" s="455"/>
      <c r="ED219" s="455"/>
      <c r="EE219" s="455"/>
      <c r="EF219" s="455"/>
      <c r="EG219" s="455"/>
      <c r="EH219" s="455"/>
      <c r="EI219" s="455"/>
      <c r="EJ219" s="455"/>
      <c r="EK219" s="455"/>
      <c r="EL219" s="455"/>
      <c r="EM219" s="455"/>
      <c r="EN219" s="455"/>
      <c r="EO219" s="455"/>
      <c r="EP219" s="455"/>
      <c r="EQ219" s="455"/>
      <c r="ER219" s="455"/>
      <c r="ES219" s="455"/>
      <c r="ET219" s="455"/>
      <c r="EU219" s="455"/>
      <c r="EV219" s="455"/>
      <c r="EW219" s="455"/>
      <c r="EX219" s="455"/>
      <c r="EY219" s="455"/>
      <c r="EZ219" s="455"/>
      <c r="FA219" s="455"/>
      <c r="FB219" s="455"/>
      <c r="FC219" s="455"/>
      <c r="FD219" s="455"/>
      <c r="FE219" s="455"/>
      <c r="FF219" s="455"/>
      <c r="FG219" s="455"/>
      <c r="FH219" s="455"/>
      <c r="FI219" s="455"/>
      <c r="FJ219" s="455"/>
      <c r="FK219" s="455"/>
      <c r="FL219" s="455"/>
      <c r="FM219" s="455"/>
      <c r="FN219" s="455"/>
      <c r="FO219" s="455"/>
      <c r="FP219" s="455"/>
      <c r="FQ219" s="455"/>
      <c r="FR219" s="455"/>
      <c r="FS219" s="455"/>
      <c r="FT219" s="455"/>
      <c r="FU219" s="455"/>
      <c r="FV219" s="455"/>
      <c r="FW219" s="455"/>
      <c r="FX219" s="455"/>
      <c r="FY219" s="455"/>
      <c r="FZ219" s="455"/>
      <c r="GA219" s="455"/>
      <c r="GB219" s="455"/>
      <c r="GC219" s="455"/>
      <c r="GD219" s="455"/>
      <c r="GE219" s="455"/>
      <c r="GF219" s="455"/>
      <c r="GG219" s="455"/>
      <c r="GH219" s="455"/>
      <c r="GI219" s="455"/>
      <c r="GJ219" s="455"/>
      <c r="GK219" s="455"/>
      <c r="GL219" s="455"/>
      <c r="GM219" s="455"/>
      <c r="GN219" s="455"/>
      <c r="GO219" s="455"/>
      <c r="GP219" s="455"/>
      <c r="GQ219" s="455"/>
      <c r="GR219" s="455"/>
      <c r="GS219" s="455"/>
      <c r="GT219" s="455"/>
      <c r="GU219" s="455"/>
      <c r="GV219" s="455"/>
      <c r="GW219" s="455"/>
      <c r="GX219" s="455"/>
      <c r="GY219" s="455"/>
      <c r="GZ219" s="455"/>
      <c r="HA219" s="455"/>
      <c r="HB219" s="455"/>
      <c r="HC219" s="455"/>
      <c r="HD219" s="455"/>
      <c r="HE219" s="455"/>
      <c r="HF219" s="455"/>
      <c r="HG219" s="455"/>
      <c r="HH219" s="455"/>
      <c r="HI219" s="455"/>
      <c r="HJ219" s="455"/>
      <c r="HK219" s="455"/>
      <c r="HL219" s="455"/>
      <c r="HM219" s="455"/>
      <c r="HN219" s="455"/>
      <c r="HO219" s="455"/>
      <c r="HP219" s="455"/>
      <c r="HQ219" s="455"/>
      <c r="HR219" s="455"/>
      <c r="HS219" s="455"/>
      <c r="HT219" s="455"/>
      <c r="HU219" s="455"/>
      <c r="HV219" s="455"/>
      <c r="HW219" s="455"/>
      <c r="HX219" s="455"/>
      <c r="HY219" s="455"/>
      <c r="HZ219" s="455"/>
      <c r="IA219" s="455"/>
      <c r="IB219" s="455"/>
      <c r="IC219" s="455"/>
      <c r="ID219" s="455"/>
      <c r="IE219" s="455"/>
      <c r="IF219" s="455"/>
      <c r="IG219" s="455"/>
      <c r="IH219" s="455"/>
      <c r="II219" s="455"/>
      <c r="IJ219" s="455"/>
      <c r="IK219" s="455"/>
      <c r="IL219" s="455"/>
      <c r="IM219" s="455"/>
      <c r="IN219" s="455"/>
      <c r="IO219" s="455"/>
      <c r="IP219" s="455"/>
      <c r="IQ219" s="455"/>
      <c r="IR219" s="455"/>
      <c r="IS219" s="455"/>
    </row>
    <row r="220" spans="1:253" s="458" customFormat="1" ht="45" x14ac:dyDescent="0.2">
      <c r="A220" s="444">
        <v>2697</v>
      </c>
      <c r="B220" s="445" t="s">
        <v>84</v>
      </c>
      <c r="C220" s="445" t="s">
        <v>85</v>
      </c>
      <c r="D220" s="445"/>
      <c r="E220" s="445"/>
      <c r="F220" s="481"/>
      <c r="G220" s="446">
        <v>260</v>
      </c>
      <c r="H220" s="445" t="s">
        <v>276</v>
      </c>
      <c r="I220" s="445"/>
      <c r="J220" s="445"/>
      <c r="K220" s="447"/>
      <c r="L220" s="445" t="s">
        <v>277</v>
      </c>
      <c r="M220" s="445">
        <v>5</v>
      </c>
      <c r="N220" s="445" t="s">
        <v>208</v>
      </c>
      <c r="O220" s="449" t="s">
        <v>1219</v>
      </c>
      <c r="P220" s="450">
        <v>3.593</v>
      </c>
      <c r="Q220" s="451">
        <f t="shared" si="5"/>
        <v>3.593</v>
      </c>
      <c r="R220" s="451">
        <f>SUMIF('Wege im Detail'!$A:$A,"2697",'Wege im Detail'!$P:$P)</f>
        <v>3.593</v>
      </c>
      <c r="S220" s="452" t="s">
        <v>278</v>
      </c>
      <c r="T220" s="453">
        <v>42917</v>
      </c>
      <c r="U220" s="448"/>
      <c r="V220" s="468"/>
      <c r="W220" s="448"/>
    </row>
    <row r="221" spans="1:253" s="458" customFormat="1" ht="45" x14ac:dyDescent="0.2">
      <c r="A221" s="444">
        <v>2723</v>
      </c>
      <c r="B221" s="445" t="s">
        <v>84</v>
      </c>
      <c r="C221" s="445" t="s">
        <v>85</v>
      </c>
      <c r="D221" s="445"/>
      <c r="E221" s="445"/>
      <c r="F221" s="481"/>
      <c r="G221" s="446">
        <v>226</v>
      </c>
      <c r="H221" s="445" t="s">
        <v>279</v>
      </c>
      <c r="I221" s="445"/>
      <c r="J221" s="445"/>
      <c r="K221" s="447"/>
      <c r="L221" s="445" t="s">
        <v>172</v>
      </c>
      <c r="M221" s="445">
        <v>5</v>
      </c>
      <c r="N221" s="445" t="s">
        <v>72</v>
      </c>
      <c r="O221" s="464" t="s">
        <v>1220</v>
      </c>
      <c r="P221" s="450">
        <v>7.24</v>
      </c>
      <c r="Q221" s="451">
        <f t="shared" si="5"/>
        <v>7.24</v>
      </c>
      <c r="R221" s="451">
        <f>SUMIF('Wege im Detail'!$A:$A,"2723",'Wege im Detail'!$P:$P)</f>
        <v>7.24</v>
      </c>
      <c r="S221" s="452" t="s">
        <v>280</v>
      </c>
      <c r="T221" s="472"/>
      <c r="U221" s="448"/>
      <c r="W221" s="448"/>
    </row>
    <row r="222" spans="1:253" s="458" customFormat="1" ht="45" x14ac:dyDescent="0.2">
      <c r="A222" s="444">
        <v>2724</v>
      </c>
      <c r="B222" s="445" t="s">
        <v>84</v>
      </c>
      <c r="C222" s="445" t="s">
        <v>85</v>
      </c>
      <c r="D222" s="445"/>
      <c r="E222" s="445"/>
      <c r="F222" s="482"/>
      <c r="G222" s="446">
        <v>199</v>
      </c>
      <c r="H222" s="445" t="s">
        <v>283</v>
      </c>
      <c r="I222" s="445"/>
      <c r="J222" s="445"/>
      <c r="K222" s="447"/>
      <c r="L222" s="445" t="s">
        <v>138</v>
      </c>
      <c r="M222" s="445">
        <v>5</v>
      </c>
      <c r="N222" s="445" t="s">
        <v>181</v>
      </c>
      <c r="O222" s="449" t="s">
        <v>1221</v>
      </c>
      <c r="P222" s="450">
        <v>7.4180000000000001</v>
      </c>
      <c r="Q222" s="451">
        <f t="shared" si="5"/>
        <v>7.4180000000000001</v>
      </c>
      <c r="R222" s="451">
        <f>SUMIF('Wege im Detail'!$A:$A,"002724",'Wege im Detail'!$P:$P)</f>
        <v>7.4180000000000001</v>
      </c>
      <c r="S222" s="452" t="s">
        <v>284</v>
      </c>
      <c r="T222" s="453">
        <v>42948</v>
      </c>
      <c r="U222" s="448"/>
      <c r="V222" s="527" t="s">
        <v>1222</v>
      </c>
      <c r="W222" s="448"/>
      <c r="X222" s="455"/>
      <c r="Y222" s="455"/>
      <c r="Z222" s="455"/>
      <c r="AA222" s="455"/>
      <c r="AB222" s="455"/>
      <c r="AC222" s="455"/>
      <c r="AD222" s="455"/>
      <c r="AE222" s="455"/>
      <c r="AF222" s="455"/>
      <c r="AG222" s="455"/>
      <c r="AH222" s="455"/>
      <c r="AI222" s="455"/>
      <c r="AJ222" s="455"/>
      <c r="AK222" s="455"/>
      <c r="AL222" s="455"/>
      <c r="AM222" s="455"/>
      <c r="AN222" s="455"/>
      <c r="AO222" s="455"/>
      <c r="AP222" s="455"/>
      <c r="AQ222" s="455"/>
      <c r="AR222" s="455"/>
      <c r="AS222" s="455"/>
      <c r="AT222" s="455"/>
      <c r="AU222" s="455"/>
      <c r="AV222" s="455"/>
      <c r="AW222" s="455"/>
      <c r="AX222" s="455"/>
      <c r="AY222" s="455"/>
      <c r="AZ222" s="455"/>
      <c r="BA222" s="455"/>
      <c r="BB222" s="455"/>
      <c r="BC222" s="455"/>
      <c r="BD222" s="455"/>
      <c r="BE222" s="455"/>
      <c r="BF222" s="455"/>
      <c r="BG222" s="455"/>
      <c r="BH222" s="455"/>
      <c r="BI222" s="455"/>
      <c r="BJ222" s="455"/>
      <c r="BK222" s="455"/>
      <c r="BL222" s="455"/>
      <c r="BM222" s="455"/>
      <c r="BN222" s="455"/>
      <c r="BO222" s="455"/>
      <c r="BP222" s="455"/>
      <c r="BQ222" s="455"/>
      <c r="BR222" s="455"/>
      <c r="BS222" s="455"/>
      <c r="BT222" s="455"/>
      <c r="BU222" s="455"/>
      <c r="BV222" s="455"/>
      <c r="BW222" s="455"/>
      <c r="BX222" s="455"/>
      <c r="BY222" s="455"/>
      <c r="BZ222" s="455"/>
      <c r="CA222" s="455"/>
      <c r="CB222" s="455"/>
      <c r="CC222" s="455"/>
      <c r="CD222" s="455"/>
      <c r="CE222" s="455"/>
      <c r="CF222" s="455"/>
      <c r="CG222" s="455"/>
      <c r="CH222" s="455"/>
      <c r="CI222" s="455"/>
      <c r="CJ222" s="455"/>
      <c r="CK222" s="455"/>
      <c r="CL222" s="455"/>
      <c r="CM222" s="455"/>
      <c r="CN222" s="455"/>
      <c r="CO222" s="455"/>
      <c r="CP222" s="455"/>
      <c r="CQ222" s="455"/>
      <c r="CR222" s="455"/>
      <c r="CS222" s="455"/>
      <c r="CT222" s="455"/>
      <c r="CU222" s="455"/>
      <c r="CV222" s="455"/>
      <c r="CW222" s="455"/>
      <c r="CX222" s="455"/>
      <c r="CY222" s="455"/>
      <c r="CZ222" s="455"/>
      <c r="DA222" s="455"/>
      <c r="DB222" s="455"/>
      <c r="DC222" s="455"/>
      <c r="DD222" s="455"/>
      <c r="DE222" s="455"/>
      <c r="DF222" s="455"/>
      <c r="DG222" s="455"/>
      <c r="DH222" s="455"/>
      <c r="DI222" s="455"/>
      <c r="DJ222" s="455"/>
      <c r="DK222" s="455"/>
      <c r="DL222" s="455"/>
      <c r="DM222" s="455"/>
      <c r="DN222" s="455"/>
      <c r="DO222" s="455"/>
      <c r="DP222" s="455"/>
      <c r="DQ222" s="455"/>
      <c r="DR222" s="455"/>
      <c r="DS222" s="455"/>
      <c r="DT222" s="455"/>
      <c r="DU222" s="455"/>
      <c r="DV222" s="455"/>
      <c r="DW222" s="455"/>
      <c r="DX222" s="455"/>
      <c r="DY222" s="455"/>
      <c r="DZ222" s="455"/>
      <c r="EA222" s="455"/>
      <c r="EB222" s="455"/>
      <c r="EC222" s="455"/>
      <c r="ED222" s="455"/>
      <c r="EE222" s="455"/>
      <c r="EF222" s="455"/>
      <c r="EG222" s="455"/>
      <c r="EH222" s="455"/>
      <c r="EI222" s="455"/>
      <c r="EJ222" s="455"/>
      <c r="EK222" s="455"/>
      <c r="EL222" s="455"/>
      <c r="EM222" s="455"/>
      <c r="EN222" s="455"/>
      <c r="EO222" s="455"/>
      <c r="EP222" s="455"/>
      <c r="EQ222" s="455"/>
      <c r="ER222" s="455"/>
      <c r="ES222" s="455"/>
      <c r="ET222" s="455"/>
      <c r="EU222" s="455"/>
      <c r="EV222" s="455"/>
      <c r="EW222" s="455"/>
      <c r="EX222" s="455"/>
      <c r="EY222" s="455"/>
      <c r="EZ222" s="455"/>
      <c r="FA222" s="455"/>
      <c r="FB222" s="455"/>
      <c r="FC222" s="455"/>
      <c r="FD222" s="455"/>
      <c r="FE222" s="455"/>
      <c r="FF222" s="455"/>
      <c r="FG222" s="455"/>
      <c r="FH222" s="455"/>
      <c r="FI222" s="455"/>
      <c r="FJ222" s="455"/>
      <c r="FK222" s="455"/>
      <c r="FL222" s="455"/>
      <c r="FM222" s="455"/>
      <c r="FN222" s="455"/>
      <c r="FO222" s="455"/>
      <c r="FP222" s="455"/>
      <c r="FQ222" s="455"/>
      <c r="FR222" s="455"/>
      <c r="FS222" s="455"/>
      <c r="FT222" s="455"/>
      <c r="FU222" s="455"/>
      <c r="FV222" s="455"/>
      <c r="FW222" s="455"/>
      <c r="FX222" s="455"/>
      <c r="FY222" s="455"/>
      <c r="FZ222" s="455"/>
      <c r="GA222" s="455"/>
      <c r="GB222" s="455"/>
      <c r="GC222" s="455"/>
      <c r="GD222" s="455"/>
      <c r="GE222" s="455"/>
      <c r="GF222" s="455"/>
      <c r="GG222" s="455"/>
      <c r="GH222" s="455"/>
      <c r="GI222" s="455"/>
      <c r="GJ222" s="455"/>
      <c r="GK222" s="455"/>
      <c r="GL222" s="455"/>
      <c r="GM222" s="455"/>
      <c r="GN222" s="455"/>
      <c r="GO222" s="455"/>
      <c r="GP222" s="455"/>
      <c r="GQ222" s="455"/>
      <c r="GR222" s="455"/>
      <c r="GS222" s="455"/>
      <c r="GT222" s="455"/>
      <c r="GU222" s="455"/>
      <c r="GV222" s="455"/>
      <c r="GW222" s="455"/>
      <c r="GX222" s="455"/>
      <c r="GY222" s="455"/>
      <c r="GZ222" s="455"/>
      <c r="HA222" s="455"/>
      <c r="HB222" s="455"/>
      <c r="HC222" s="455"/>
      <c r="HD222" s="455"/>
      <c r="HE222" s="455"/>
      <c r="HF222" s="455"/>
      <c r="HG222" s="455"/>
      <c r="HH222" s="455"/>
      <c r="HI222" s="455"/>
      <c r="HJ222" s="455"/>
      <c r="HK222" s="455"/>
      <c r="HL222" s="455"/>
      <c r="HM222" s="455"/>
      <c r="HN222" s="455"/>
      <c r="HO222" s="455"/>
      <c r="HP222" s="455"/>
      <c r="HQ222" s="455"/>
      <c r="HR222" s="455"/>
      <c r="HS222" s="455"/>
      <c r="HT222" s="455"/>
      <c r="HU222" s="455"/>
      <c r="HV222" s="455"/>
      <c r="HW222" s="455"/>
      <c r="HX222" s="455"/>
      <c r="HY222" s="455"/>
      <c r="HZ222" s="455"/>
      <c r="IA222" s="455"/>
      <c r="IB222" s="455"/>
      <c r="IC222" s="455"/>
      <c r="ID222" s="455"/>
      <c r="IE222" s="455"/>
      <c r="IF222" s="455"/>
      <c r="IG222" s="455"/>
      <c r="IH222" s="455"/>
      <c r="II222" s="455"/>
      <c r="IJ222" s="455"/>
      <c r="IK222" s="455"/>
      <c r="IL222" s="455"/>
      <c r="IM222" s="455"/>
      <c r="IN222" s="455"/>
      <c r="IO222" s="455"/>
      <c r="IP222" s="455"/>
      <c r="IQ222" s="455"/>
      <c r="IR222" s="455"/>
      <c r="IS222" s="455"/>
    </row>
    <row r="223" spans="1:253" s="458" customFormat="1" ht="56.25" x14ac:dyDescent="0.2">
      <c r="A223" s="444">
        <v>2879</v>
      </c>
      <c r="B223" s="445" t="s">
        <v>51</v>
      </c>
      <c r="C223" s="445" t="s">
        <v>52</v>
      </c>
      <c r="D223" s="445" t="s">
        <v>214</v>
      </c>
      <c r="E223" s="445" t="s">
        <v>2282</v>
      </c>
      <c r="F223" s="479"/>
      <c r="G223" s="446">
        <v>34</v>
      </c>
      <c r="H223" s="445">
        <v>201</v>
      </c>
      <c r="I223" s="445"/>
      <c r="J223" s="445"/>
      <c r="K223" s="447"/>
      <c r="L223" s="445" t="s">
        <v>1223</v>
      </c>
      <c r="M223" s="445">
        <v>3</v>
      </c>
      <c r="N223" s="445" t="s">
        <v>187</v>
      </c>
      <c r="O223" s="449" t="s">
        <v>1224</v>
      </c>
      <c r="P223" s="450">
        <v>10.363</v>
      </c>
      <c r="Q223" s="451">
        <f t="shared" si="5"/>
        <v>10.363</v>
      </c>
      <c r="R223" s="451">
        <f>SUMIF('Wege im Detail'!$A:$A,"2879",'Wege im Detail'!$P:$P)</f>
        <v>10.363</v>
      </c>
      <c r="S223" s="452" t="s">
        <v>288</v>
      </c>
      <c r="T223" s="453">
        <v>43282</v>
      </c>
      <c r="U223" s="448"/>
      <c r="V223" s="483" t="s">
        <v>1225</v>
      </c>
      <c r="W223" s="448"/>
    </row>
    <row r="224" spans="1:253" s="458" customFormat="1" ht="56.25" x14ac:dyDescent="0.2">
      <c r="A224" s="444">
        <v>2881</v>
      </c>
      <c r="B224" s="445" t="s">
        <v>51</v>
      </c>
      <c r="C224" s="445" t="s">
        <v>52</v>
      </c>
      <c r="D224" s="445" t="s">
        <v>91</v>
      </c>
      <c r="E224" s="445"/>
      <c r="F224" s="445"/>
      <c r="G224" s="446">
        <v>104</v>
      </c>
      <c r="H224" s="445">
        <v>47</v>
      </c>
      <c r="I224" s="445"/>
      <c r="J224" s="445">
        <v>1</v>
      </c>
      <c r="K224" s="447">
        <v>2</v>
      </c>
      <c r="L224" s="445"/>
      <c r="M224" s="445">
        <v>5</v>
      </c>
      <c r="N224" s="445" t="s">
        <v>98</v>
      </c>
      <c r="O224" s="464" t="s">
        <v>1226</v>
      </c>
      <c r="P224" s="450">
        <v>7.423</v>
      </c>
      <c r="Q224" s="451">
        <f t="shared" si="5"/>
        <v>7.423</v>
      </c>
      <c r="R224" s="451">
        <f>SUMIF('Wege im Detail'!$A:$A,"2881",'Wege im Detail'!$P:$P)</f>
        <v>8.7940000000000005</v>
      </c>
      <c r="S224" s="452" t="s">
        <v>291</v>
      </c>
      <c r="T224" s="453">
        <v>43282</v>
      </c>
      <c r="U224" s="448"/>
      <c r="V224" s="457"/>
      <c r="W224" s="448"/>
    </row>
    <row r="225" spans="1:253" s="458" customFormat="1" ht="45" x14ac:dyDescent="0.2">
      <c r="A225" s="444">
        <v>2881</v>
      </c>
      <c r="B225" s="445" t="s">
        <v>51</v>
      </c>
      <c r="C225" s="445" t="s">
        <v>52</v>
      </c>
      <c r="D225" s="445" t="s">
        <v>91</v>
      </c>
      <c r="E225" s="445"/>
      <c r="F225" s="445"/>
      <c r="G225" s="446">
        <v>104</v>
      </c>
      <c r="H225" s="445">
        <v>47</v>
      </c>
      <c r="I225" s="445"/>
      <c r="J225" s="445">
        <v>2</v>
      </c>
      <c r="K225" s="447">
        <v>2</v>
      </c>
      <c r="L225" s="445"/>
      <c r="M225" s="445">
        <v>5</v>
      </c>
      <c r="N225" s="445" t="s">
        <v>111</v>
      </c>
      <c r="O225" s="464" t="s">
        <v>1227</v>
      </c>
      <c r="P225" s="450">
        <v>1.371</v>
      </c>
      <c r="Q225" s="451">
        <f t="shared" si="5"/>
        <v>1.371</v>
      </c>
      <c r="R225" s="451">
        <f>SUMIF('Wege im Detail'!$A:$A,"2881",'Wege im Detail'!$P:$P)</f>
        <v>8.7940000000000005</v>
      </c>
      <c r="S225" s="452" t="s">
        <v>291</v>
      </c>
      <c r="T225" s="453">
        <v>43282</v>
      </c>
      <c r="U225" s="448"/>
      <c r="V225" s="457"/>
      <c r="W225" s="448"/>
    </row>
    <row r="226" spans="1:253" s="458" customFormat="1" ht="45" x14ac:dyDescent="0.2">
      <c r="A226" s="444">
        <v>2883</v>
      </c>
      <c r="B226" s="445" t="s">
        <v>51</v>
      </c>
      <c r="C226" s="445" t="s">
        <v>52</v>
      </c>
      <c r="D226" s="445" t="s">
        <v>91</v>
      </c>
      <c r="E226" s="445"/>
      <c r="F226" s="445"/>
      <c r="G226" s="446">
        <v>104</v>
      </c>
      <c r="H226" s="445">
        <v>64</v>
      </c>
      <c r="I226" s="445"/>
      <c r="J226" s="445">
        <v>1</v>
      </c>
      <c r="K226" s="447">
        <v>2</v>
      </c>
      <c r="L226" s="445"/>
      <c r="M226" s="445">
        <v>3</v>
      </c>
      <c r="N226" s="445" t="s">
        <v>187</v>
      </c>
      <c r="O226" s="449" t="s">
        <v>1228</v>
      </c>
      <c r="P226" s="450">
        <v>3.1560000000000001</v>
      </c>
      <c r="Q226" s="451">
        <f t="shared" si="5"/>
        <v>3.1560000000000001</v>
      </c>
      <c r="R226" s="451">
        <f>SUMIF('Wege im Detail'!$A:$A,"2883",'Wege im Detail'!$P:$P)</f>
        <v>4.0250000000000004</v>
      </c>
      <c r="S226" s="452" t="s">
        <v>1229</v>
      </c>
      <c r="T226" s="453">
        <v>43282</v>
      </c>
      <c r="U226" s="448"/>
      <c r="W226" s="448"/>
    </row>
    <row r="227" spans="1:253" s="458" customFormat="1" ht="45" x14ac:dyDescent="0.2">
      <c r="A227" s="444">
        <v>2883</v>
      </c>
      <c r="B227" s="445" t="s">
        <v>51</v>
      </c>
      <c r="C227" s="445" t="s">
        <v>52</v>
      </c>
      <c r="D227" s="445" t="s">
        <v>91</v>
      </c>
      <c r="E227" s="445"/>
      <c r="F227" s="445"/>
      <c r="G227" s="446">
        <v>104</v>
      </c>
      <c r="H227" s="445">
        <v>64</v>
      </c>
      <c r="I227" s="445"/>
      <c r="J227" s="445">
        <v>2</v>
      </c>
      <c r="K227" s="447">
        <v>2</v>
      </c>
      <c r="L227" s="445"/>
      <c r="M227" s="445">
        <v>5</v>
      </c>
      <c r="N227" s="445" t="s">
        <v>111</v>
      </c>
      <c r="O227" s="449" t="s">
        <v>1230</v>
      </c>
      <c r="P227" s="450">
        <v>0.86899999999999999</v>
      </c>
      <c r="Q227" s="451">
        <f t="shared" si="5"/>
        <v>0.86899999999999999</v>
      </c>
      <c r="R227" s="451">
        <f>SUMIF('Wege im Detail'!$A:$A,"2883",'Wege im Detail'!$P:$P)</f>
        <v>4.0250000000000004</v>
      </c>
      <c r="S227" s="452" t="s">
        <v>1229</v>
      </c>
      <c r="T227" s="453">
        <v>43282</v>
      </c>
      <c r="U227" s="448"/>
      <c r="W227" s="448"/>
    </row>
    <row r="228" spans="1:253" s="458" customFormat="1" ht="67.5" x14ac:dyDescent="0.2">
      <c r="A228" s="444">
        <v>2885</v>
      </c>
      <c r="B228" s="445" t="s">
        <v>51</v>
      </c>
      <c r="C228" s="445" t="s">
        <v>52</v>
      </c>
      <c r="D228" s="445" t="s">
        <v>91</v>
      </c>
      <c r="E228" s="445"/>
      <c r="F228" s="445"/>
      <c r="G228" s="446">
        <v>51</v>
      </c>
      <c r="H228" s="445">
        <v>44</v>
      </c>
      <c r="I228" s="445"/>
      <c r="J228" s="445">
        <v>1</v>
      </c>
      <c r="K228" s="447">
        <v>2</v>
      </c>
      <c r="L228" s="445"/>
      <c r="M228" s="445">
        <v>5</v>
      </c>
      <c r="N228" s="445" t="s">
        <v>98</v>
      </c>
      <c r="O228" s="464" t="s">
        <v>1231</v>
      </c>
      <c r="P228" s="450">
        <v>5.0789999999999997</v>
      </c>
      <c r="Q228" s="451">
        <f t="shared" si="5"/>
        <v>5.0789999999999997</v>
      </c>
      <c r="R228" s="451">
        <f>SUMIF('Wege im Detail'!$A:$A,"2885",'Wege im Detail'!$P:$P)</f>
        <v>7.9610000000000003</v>
      </c>
      <c r="S228" s="452" t="s">
        <v>1232</v>
      </c>
      <c r="T228" s="453">
        <v>43282</v>
      </c>
      <c r="U228" s="448"/>
      <c r="V228" s="457"/>
      <c r="W228" s="448"/>
    </row>
    <row r="229" spans="1:253" s="458" customFormat="1" ht="45" x14ac:dyDescent="0.2">
      <c r="A229" s="444">
        <v>2885</v>
      </c>
      <c r="B229" s="445" t="s">
        <v>51</v>
      </c>
      <c r="C229" s="445" t="s">
        <v>52</v>
      </c>
      <c r="D229" s="445" t="s">
        <v>91</v>
      </c>
      <c r="E229" s="445"/>
      <c r="F229" s="445"/>
      <c r="G229" s="446">
        <v>51</v>
      </c>
      <c r="H229" s="445">
        <v>44</v>
      </c>
      <c r="I229" s="445"/>
      <c r="J229" s="445">
        <v>2</v>
      </c>
      <c r="K229" s="447">
        <v>2</v>
      </c>
      <c r="L229" s="445"/>
      <c r="M229" s="445">
        <v>3</v>
      </c>
      <c r="N229" s="445" t="s">
        <v>187</v>
      </c>
      <c r="O229" s="464" t="s">
        <v>1233</v>
      </c>
      <c r="P229" s="450">
        <v>2.8820000000000001</v>
      </c>
      <c r="Q229" s="451">
        <f t="shared" si="5"/>
        <v>2.8820000000000001</v>
      </c>
      <c r="R229" s="451">
        <f>SUMIF('Wege im Detail'!$A:$A,"2885",'Wege im Detail'!$P:$P)</f>
        <v>7.9610000000000003</v>
      </c>
      <c r="S229" s="452" t="s">
        <v>1232</v>
      </c>
      <c r="T229" s="453">
        <v>43282</v>
      </c>
      <c r="U229" s="448"/>
      <c r="V229" s="457"/>
      <c r="W229" s="448"/>
    </row>
    <row r="230" spans="1:253" s="455" customFormat="1" ht="33.75" x14ac:dyDescent="0.2">
      <c r="A230" s="444">
        <v>2887</v>
      </c>
      <c r="B230" s="445" t="s">
        <v>51</v>
      </c>
      <c r="C230" s="445" t="s">
        <v>52</v>
      </c>
      <c r="D230" s="445" t="s">
        <v>91</v>
      </c>
      <c r="E230" s="445"/>
      <c r="F230" s="445"/>
      <c r="G230" s="446">
        <v>59</v>
      </c>
      <c r="H230" s="445">
        <v>46</v>
      </c>
      <c r="I230" s="445"/>
      <c r="J230" s="445">
        <v>1</v>
      </c>
      <c r="K230" s="447">
        <v>2</v>
      </c>
      <c r="L230" s="445"/>
      <c r="M230" s="445">
        <v>5</v>
      </c>
      <c r="N230" s="445" t="s">
        <v>98</v>
      </c>
      <c r="O230" s="464" t="s">
        <v>1234</v>
      </c>
      <c r="P230" s="450">
        <v>4.1479999999999997</v>
      </c>
      <c r="Q230" s="451">
        <f t="shared" si="5"/>
        <v>4.1479999999999997</v>
      </c>
      <c r="R230" s="451">
        <f>SUMIF('Wege im Detail'!$A:$A,"2887",'Wege im Detail'!$P:$P)</f>
        <v>7.7759999999999998</v>
      </c>
      <c r="S230" s="452" t="s">
        <v>294</v>
      </c>
      <c r="T230" s="453">
        <v>43282</v>
      </c>
      <c r="U230" s="448"/>
      <c r="V230" s="457"/>
      <c r="W230" s="448"/>
    </row>
    <row r="231" spans="1:253" s="455" customFormat="1" ht="45" x14ac:dyDescent="0.2">
      <c r="A231" s="444">
        <v>2887</v>
      </c>
      <c r="B231" s="445" t="s">
        <v>51</v>
      </c>
      <c r="C231" s="445" t="s">
        <v>52</v>
      </c>
      <c r="D231" s="445" t="s">
        <v>91</v>
      </c>
      <c r="E231" s="445"/>
      <c r="F231" s="445"/>
      <c r="G231" s="446">
        <v>59</v>
      </c>
      <c r="H231" s="445">
        <v>46</v>
      </c>
      <c r="I231" s="445"/>
      <c r="J231" s="445">
        <v>2</v>
      </c>
      <c r="K231" s="447">
        <v>2</v>
      </c>
      <c r="L231" s="445"/>
      <c r="M231" s="445">
        <v>3</v>
      </c>
      <c r="N231" s="445" t="s">
        <v>187</v>
      </c>
      <c r="O231" s="464" t="s">
        <v>1235</v>
      </c>
      <c r="P231" s="450">
        <v>3.6280000000000001</v>
      </c>
      <c r="Q231" s="451">
        <f t="shared" si="5"/>
        <v>3.6280000000000001</v>
      </c>
      <c r="R231" s="451">
        <f>SUMIF('Wege im Detail'!$A:$A,"2887",'Wege im Detail'!$P:$P)</f>
        <v>7.7759999999999998</v>
      </c>
      <c r="S231" s="452" t="s">
        <v>294</v>
      </c>
      <c r="T231" s="453">
        <v>43282</v>
      </c>
      <c r="U231" s="448"/>
      <c r="V231" s="457"/>
      <c r="W231" s="448"/>
      <c r="X231" s="458"/>
      <c r="Y231" s="458"/>
      <c r="Z231" s="458"/>
      <c r="AA231" s="458"/>
      <c r="AB231" s="458"/>
      <c r="AC231" s="458"/>
      <c r="AD231" s="458"/>
      <c r="AE231" s="458"/>
      <c r="AF231" s="458"/>
      <c r="AG231" s="458"/>
      <c r="AH231" s="458"/>
      <c r="AI231" s="458"/>
      <c r="AJ231" s="458"/>
      <c r="AK231" s="458"/>
      <c r="AL231" s="458"/>
      <c r="AM231" s="458"/>
      <c r="AN231" s="458"/>
      <c r="AO231" s="458"/>
      <c r="AP231" s="458"/>
      <c r="AQ231" s="458"/>
      <c r="AR231" s="458"/>
      <c r="AS231" s="458"/>
      <c r="AT231" s="458"/>
      <c r="AU231" s="458"/>
      <c r="AV231" s="458"/>
      <c r="AW231" s="458"/>
      <c r="AX231" s="458"/>
      <c r="AY231" s="458"/>
      <c r="AZ231" s="458"/>
      <c r="BA231" s="458"/>
      <c r="BB231" s="458"/>
      <c r="BC231" s="458"/>
      <c r="BD231" s="458"/>
      <c r="BE231" s="458"/>
      <c r="BF231" s="458"/>
      <c r="BG231" s="458"/>
      <c r="BH231" s="458"/>
      <c r="BI231" s="458"/>
      <c r="BJ231" s="458"/>
      <c r="BK231" s="458"/>
      <c r="BL231" s="458"/>
      <c r="BM231" s="458"/>
      <c r="BN231" s="458"/>
      <c r="BO231" s="458"/>
      <c r="BP231" s="458"/>
      <c r="BQ231" s="458"/>
      <c r="BR231" s="458"/>
      <c r="BS231" s="458"/>
      <c r="BT231" s="458"/>
      <c r="BU231" s="458"/>
      <c r="BV231" s="458"/>
      <c r="BW231" s="458"/>
      <c r="BX231" s="458"/>
      <c r="BY231" s="458"/>
      <c r="BZ231" s="458"/>
      <c r="CA231" s="458"/>
      <c r="CB231" s="458"/>
      <c r="CC231" s="458"/>
      <c r="CD231" s="458"/>
      <c r="CE231" s="458"/>
      <c r="CF231" s="458"/>
      <c r="CG231" s="458"/>
      <c r="CH231" s="458"/>
      <c r="CI231" s="458"/>
      <c r="CJ231" s="458"/>
      <c r="CK231" s="458"/>
      <c r="CL231" s="458"/>
      <c r="CM231" s="458"/>
      <c r="CN231" s="458"/>
      <c r="CO231" s="458"/>
      <c r="CP231" s="458"/>
      <c r="CQ231" s="458"/>
      <c r="CR231" s="458"/>
      <c r="CS231" s="458"/>
      <c r="CT231" s="458"/>
      <c r="CU231" s="458"/>
      <c r="CV231" s="458"/>
      <c r="CW231" s="458"/>
      <c r="CX231" s="458"/>
      <c r="CY231" s="458"/>
      <c r="CZ231" s="458"/>
      <c r="DA231" s="458"/>
      <c r="DB231" s="458"/>
      <c r="DC231" s="458"/>
      <c r="DD231" s="458"/>
      <c r="DE231" s="458"/>
      <c r="DF231" s="458"/>
      <c r="DG231" s="458"/>
      <c r="DH231" s="458"/>
      <c r="DI231" s="458"/>
      <c r="DJ231" s="458"/>
      <c r="DK231" s="458"/>
      <c r="DL231" s="458"/>
      <c r="DM231" s="458"/>
      <c r="DN231" s="458"/>
      <c r="DO231" s="458"/>
      <c r="DP231" s="458"/>
      <c r="DQ231" s="458"/>
      <c r="DR231" s="458"/>
      <c r="DS231" s="458"/>
      <c r="DT231" s="458"/>
      <c r="DU231" s="458"/>
      <c r="DV231" s="458"/>
      <c r="DW231" s="458"/>
      <c r="DX231" s="458"/>
      <c r="DY231" s="458"/>
      <c r="DZ231" s="458"/>
      <c r="EA231" s="458"/>
      <c r="EB231" s="458"/>
      <c r="EC231" s="458"/>
      <c r="ED231" s="458"/>
      <c r="EE231" s="458"/>
      <c r="EF231" s="458"/>
      <c r="EG231" s="458"/>
      <c r="EH231" s="458"/>
      <c r="EI231" s="458"/>
      <c r="EJ231" s="458"/>
      <c r="EK231" s="458"/>
      <c r="EL231" s="458"/>
      <c r="EM231" s="458"/>
      <c r="EN231" s="458"/>
      <c r="EO231" s="458"/>
      <c r="EP231" s="458"/>
      <c r="EQ231" s="458"/>
      <c r="ER231" s="458"/>
      <c r="ES231" s="458"/>
      <c r="ET231" s="458"/>
      <c r="EU231" s="458"/>
      <c r="EV231" s="458"/>
      <c r="EW231" s="458"/>
      <c r="EX231" s="458"/>
      <c r="EY231" s="458"/>
      <c r="EZ231" s="458"/>
      <c r="FA231" s="458"/>
      <c r="FB231" s="458"/>
      <c r="FC231" s="458"/>
      <c r="FD231" s="458"/>
      <c r="FE231" s="458"/>
      <c r="FF231" s="458"/>
      <c r="FG231" s="458"/>
      <c r="FH231" s="458"/>
      <c r="FI231" s="458"/>
      <c r="FJ231" s="458"/>
      <c r="FK231" s="458"/>
      <c r="FL231" s="458"/>
      <c r="FM231" s="458"/>
      <c r="FN231" s="458"/>
      <c r="FO231" s="458"/>
      <c r="FP231" s="458"/>
      <c r="FQ231" s="458"/>
      <c r="FR231" s="458"/>
      <c r="FS231" s="458"/>
      <c r="FT231" s="458"/>
      <c r="FU231" s="458"/>
      <c r="FV231" s="458"/>
      <c r="FW231" s="458"/>
      <c r="FX231" s="458"/>
      <c r="FY231" s="458"/>
      <c r="FZ231" s="458"/>
      <c r="GA231" s="458"/>
      <c r="GB231" s="458"/>
      <c r="GC231" s="458"/>
      <c r="GD231" s="458"/>
      <c r="GE231" s="458"/>
      <c r="GF231" s="458"/>
      <c r="GG231" s="458"/>
      <c r="GH231" s="458"/>
      <c r="GI231" s="458"/>
      <c r="GJ231" s="458"/>
      <c r="GK231" s="458"/>
      <c r="GL231" s="458"/>
      <c r="GM231" s="458"/>
      <c r="GN231" s="458"/>
      <c r="GO231" s="458"/>
      <c r="GP231" s="458"/>
      <c r="GQ231" s="458"/>
      <c r="GR231" s="458"/>
      <c r="GS231" s="458"/>
      <c r="GT231" s="458"/>
      <c r="GU231" s="458"/>
      <c r="GV231" s="458"/>
      <c r="GW231" s="458"/>
      <c r="GX231" s="458"/>
      <c r="GY231" s="458"/>
      <c r="GZ231" s="458"/>
      <c r="HA231" s="458"/>
      <c r="HB231" s="458"/>
      <c r="HC231" s="458"/>
      <c r="HD231" s="458"/>
      <c r="HE231" s="458"/>
      <c r="HF231" s="458"/>
      <c r="HG231" s="458"/>
      <c r="HH231" s="458"/>
      <c r="HI231" s="458"/>
      <c r="HJ231" s="458"/>
      <c r="HK231" s="458"/>
      <c r="HL231" s="458"/>
      <c r="HM231" s="458"/>
      <c r="HN231" s="458"/>
      <c r="HO231" s="458"/>
      <c r="HP231" s="458"/>
      <c r="HQ231" s="458"/>
      <c r="HR231" s="458"/>
      <c r="HS231" s="458"/>
      <c r="HT231" s="458"/>
      <c r="HU231" s="458"/>
      <c r="HV231" s="458"/>
      <c r="HW231" s="458"/>
      <c r="HX231" s="458"/>
      <c r="HY231" s="458"/>
      <c r="HZ231" s="458"/>
      <c r="IA231" s="458"/>
      <c r="IB231" s="458"/>
      <c r="IC231" s="458"/>
      <c r="ID231" s="458"/>
      <c r="IE231" s="458"/>
      <c r="IF231" s="458"/>
      <c r="IG231" s="458"/>
      <c r="IH231" s="458"/>
      <c r="II231" s="458"/>
      <c r="IJ231" s="458"/>
      <c r="IK231" s="458"/>
      <c r="IL231" s="458"/>
      <c r="IM231" s="458"/>
      <c r="IN231" s="458"/>
      <c r="IO231" s="458"/>
      <c r="IP231" s="458"/>
      <c r="IQ231" s="458"/>
      <c r="IR231" s="458"/>
      <c r="IS231" s="458"/>
    </row>
    <row r="232" spans="1:253" s="455" customFormat="1" ht="45" x14ac:dyDescent="0.2">
      <c r="A232" s="444">
        <v>2890</v>
      </c>
      <c r="B232" s="445" t="s">
        <v>51</v>
      </c>
      <c r="C232" s="445" t="s">
        <v>52</v>
      </c>
      <c r="D232" s="445" t="s">
        <v>91</v>
      </c>
      <c r="E232" s="445"/>
      <c r="F232" s="479"/>
      <c r="G232" s="446">
        <v>56</v>
      </c>
      <c r="H232" s="445">
        <v>49</v>
      </c>
      <c r="I232" s="445"/>
      <c r="J232" s="445">
        <v>1</v>
      </c>
      <c r="K232" s="447">
        <v>1</v>
      </c>
      <c r="L232" s="445"/>
      <c r="M232" s="445">
        <v>5</v>
      </c>
      <c r="N232" s="445" t="s">
        <v>98</v>
      </c>
      <c r="O232" s="464" t="s">
        <v>1236</v>
      </c>
      <c r="P232" s="450">
        <v>9.0660000000000007</v>
      </c>
      <c r="Q232" s="451">
        <f t="shared" si="5"/>
        <v>9.0660000000000007</v>
      </c>
      <c r="R232" s="451">
        <f>SUMIF('Wege im Detail'!$A:$A,"2890",'Wege im Detail'!$P:$P)</f>
        <v>9.0660000000000007</v>
      </c>
      <c r="S232" s="452" t="s">
        <v>296</v>
      </c>
      <c r="T232" s="453">
        <v>43282</v>
      </c>
      <c r="U232" s="448"/>
      <c r="V232" s="457"/>
      <c r="W232" s="448"/>
    </row>
    <row r="233" spans="1:253" s="455" customFormat="1" ht="45" x14ac:dyDescent="0.2">
      <c r="A233" s="444">
        <v>2895</v>
      </c>
      <c r="B233" s="445" t="s">
        <v>51</v>
      </c>
      <c r="C233" s="445" t="s">
        <v>52</v>
      </c>
      <c r="D233" s="445" t="s">
        <v>91</v>
      </c>
      <c r="E233" s="445"/>
      <c r="F233" s="479"/>
      <c r="G233" s="446">
        <v>56</v>
      </c>
      <c r="H233" s="445">
        <v>53</v>
      </c>
      <c r="I233" s="445"/>
      <c r="J233" s="445">
        <v>1</v>
      </c>
      <c r="K233" s="447">
        <v>2</v>
      </c>
      <c r="L233" s="445"/>
      <c r="M233" s="445">
        <v>3</v>
      </c>
      <c r="N233" s="445" t="s">
        <v>187</v>
      </c>
      <c r="O233" s="449" t="s">
        <v>1237</v>
      </c>
      <c r="P233" s="450">
        <v>4.22</v>
      </c>
      <c r="Q233" s="451">
        <f t="shared" si="5"/>
        <v>4.22</v>
      </c>
      <c r="R233" s="451">
        <f>SUMIF('Wege im Detail'!$A:$A,"2895",'Wege im Detail'!$P:$P)</f>
        <v>8.3719999999999999</v>
      </c>
      <c r="S233" s="452" t="s">
        <v>297</v>
      </c>
      <c r="T233" s="453">
        <v>43282</v>
      </c>
      <c r="U233" s="448"/>
      <c r="V233" s="468" t="s">
        <v>298</v>
      </c>
      <c r="W233" s="448"/>
      <c r="X233" s="458"/>
      <c r="Z233" s="458"/>
      <c r="AA233" s="458"/>
      <c r="AB233" s="458"/>
      <c r="AC233" s="458"/>
      <c r="AD233" s="458"/>
      <c r="AE233" s="458"/>
      <c r="AF233" s="458"/>
      <c r="AG233" s="458"/>
      <c r="AH233" s="458"/>
      <c r="AI233" s="458"/>
      <c r="AJ233" s="458"/>
      <c r="AK233" s="458"/>
      <c r="AL233" s="458"/>
      <c r="AM233" s="458"/>
      <c r="AN233" s="458"/>
      <c r="AO233" s="458"/>
      <c r="AP233" s="458"/>
      <c r="AQ233" s="458"/>
      <c r="AR233" s="458"/>
      <c r="AS233" s="458"/>
      <c r="AT233" s="458"/>
      <c r="AU233" s="458"/>
      <c r="AV233" s="458"/>
      <c r="AW233" s="458"/>
      <c r="AX233" s="458"/>
      <c r="AY233" s="458"/>
      <c r="AZ233" s="458"/>
      <c r="BA233" s="458"/>
      <c r="BB233" s="458"/>
      <c r="BC233" s="458"/>
      <c r="BD233" s="458"/>
      <c r="BE233" s="458"/>
      <c r="BF233" s="458"/>
      <c r="BG233" s="458"/>
      <c r="BH233" s="458"/>
      <c r="BI233" s="458"/>
      <c r="BJ233" s="458"/>
      <c r="BK233" s="458"/>
      <c r="BL233" s="458"/>
      <c r="BM233" s="458"/>
      <c r="BN233" s="458"/>
      <c r="BO233" s="458"/>
      <c r="BP233" s="458"/>
      <c r="BQ233" s="458"/>
      <c r="BR233" s="458"/>
      <c r="BS233" s="458"/>
      <c r="BT233" s="458"/>
      <c r="BU233" s="458"/>
      <c r="BV233" s="458"/>
      <c r="BW233" s="458"/>
      <c r="BX233" s="458"/>
      <c r="BY233" s="458"/>
      <c r="BZ233" s="458"/>
      <c r="CA233" s="458"/>
      <c r="CB233" s="458"/>
      <c r="CC233" s="458"/>
      <c r="CD233" s="458"/>
      <c r="CE233" s="458"/>
      <c r="CF233" s="458"/>
      <c r="CG233" s="458"/>
      <c r="CH233" s="458"/>
      <c r="CI233" s="458"/>
      <c r="CJ233" s="458"/>
      <c r="CK233" s="458"/>
      <c r="CL233" s="458"/>
      <c r="CM233" s="458"/>
      <c r="CN233" s="458"/>
      <c r="CO233" s="458"/>
      <c r="CP233" s="458"/>
      <c r="CQ233" s="458"/>
      <c r="CR233" s="458"/>
      <c r="CS233" s="458"/>
      <c r="CT233" s="458"/>
      <c r="CU233" s="458"/>
      <c r="CV233" s="458"/>
      <c r="CW233" s="458"/>
      <c r="CX233" s="458"/>
      <c r="CY233" s="458"/>
      <c r="CZ233" s="458"/>
      <c r="DA233" s="458"/>
      <c r="DB233" s="458"/>
      <c r="DC233" s="458"/>
      <c r="DD233" s="458"/>
      <c r="DE233" s="458"/>
      <c r="DF233" s="458"/>
      <c r="DG233" s="458"/>
      <c r="DH233" s="458"/>
      <c r="DI233" s="458"/>
      <c r="DJ233" s="458"/>
      <c r="DK233" s="458"/>
      <c r="DL233" s="458"/>
      <c r="DM233" s="458"/>
      <c r="DN233" s="458"/>
      <c r="DO233" s="458"/>
      <c r="DP233" s="458"/>
      <c r="DQ233" s="458"/>
      <c r="DR233" s="458"/>
      <c r="DS233" s="458"/>
      <c r="DT233" s="458"/>
      <c r="DU233" s="458"/>
      <c r="DV233" s="458"/>
      <c r="DW233" s="458"/>
      <c r="DX233" s="458"/>
      <c r="DY233" s="458"/>
      <c r="DZ233" s="458"/>
      <c r="EA233" s="458"/>
      <c r="EB233" s="458"/>
      <c r="EC233" s="458"/>
      <c r="ED233" s="458"/>
      <c r="EE233" s="458"/>
      <c r="EF233" s="458"/>
      <c r="EG233" s="458"/>
      <c r="EH233" s="458"/>
      <c r="EI233" s="458"/>
      <c r="EJ233" s="458"/>
      <c r="EK233" s="458"/>
      <c r="EL233" s="458"/>
      <c r="EM233" s="458"/>
      <c r="EN233" s="458"/>
      <c r="EO233" s="458"/>
      <c r="EP233" s="458"/>
      <c r="EQ233" s="458"/>
      <c r="ER233" s="458"/>
      <c r="ES233" s="458"/>
      <c r="ET233" s="458"/>
      <c r="EU233" s="458"/>
      <c r="EV233" s="458"/>
      <c r="EW233" s="458"/>
      <c r="EX233" s="458"/>
      <c r="EY233" s="458"/>
      <c r="EZ233" s="458"/>
      <c r="FA233" s="458"/>
      <c r="FB233" s="458"/>
      <c r="FC233" s="458"/>
      <c r="FD233" s="458"/>
      <c r="FE233" s="458"/>
      <c r="FF233" s="458"/>
      <c r="FG233" s="458"/>
      <c r="FH233" s="458"/>
      <c r="FI233" s="458"/>
      <c r="FJ233" s="458"/>
      <c r="FK233" s="458"/>
      <c r="FL233" s="458"/>
      <c r="FM233" s="458"/>
      <c r="FN233" s="458"/>
      <c r="FO233" s="458"/>
      <c r="FP233" s="458"/>
      <c r="FQ233" s="458"/>
      <c r="FR233" s="458"/>
      <c r="FS233" s="458"/>
      <c r="FT233" s="458"/>
      <c r="FU233" s="458"/>
      <c r="FV233" s="458"/>
      <c r="FW233" s="458"/>
      <c r="FX233" s="458"/>
      <c r="FY233" s="458"/>
      <c r="FZ233" s="458"/>
      <c r="GA233" s="458"/>
      <c r="GB233" s="458"/>
      <c r="GC233" s="458"/>
      <c r="GD233" s="458"/>
      <c r="GE233" s="458"/>
      <c r="GF233" s="458"/>
      <c r="GG233" s="458"/>
      <c r="GH233" s="458"/>
      <c r="GI233" s="458"/>
      <c r="GJ233" s="458"/>
      <c r="GK233" s="458"/>
      <c r="GL233" s="458"/>
      <c r="GM233" s="458"/>
      <c r="GN233" s="458"/>
      <c r="GO233" s="458"/>
      <c r="GP233" s="458"/>
      <c r="GQ233" s="458"/>
      <c r="GR233" s="458"/>
      <c r="GS233" s="458"/>
      <c r="GT233" s="458"/>
      <c r="GU233" s="458"/>
      <c r="GV233" s="458"/>
      <c r="GW233" s="458"/>
      <c r="GX233" s="458"/>
      <c r="GY233" s="458"/>
      <c r="GZ233" s="458"/>
      <c r="HA233" s="458"/>
      <c r="HB233" s="458"/>
      <c r="HC233" s="458"/>
      <c r="HD233" s="458"/>
      <c r="HE233" s="458"/>
      <c r="HF233" s="458"/>
      <c r="HG233" s="458"/>
      <c r="HH233" s="458"/>
      <c r="HI233" s="458"/>
      <c r="HJ233" s="458"/>
      <c r="HK233" s="458"/>
      <c r="HL233" s="458"/>
      <c r="HM233" s="458"/>
      <c r="HN233" s="458"/>
      <c r="HO233" s="458"/>
      <c r="HP233" s="458"/>
      <c r="HQ233" s="458"/>
      <c r="HR233" s="458"/>
      <c r="HS233" s="458"/>
      <c r="HT233" s="458"/>
      <c r="HU233" s="458"/>
      <c r="HV233" s="458"/>
      <c r="HW233" s="458"/>
      <c r="HX233" s="458"/>
      <c r="HY233" s="458"/>
      <c r="HZ233" s="458"/>
      <c r="IA233" s="458"/>
      <c r="IB233" s="458"/>
      <c r="IC233" s="458"/>
      <c r="ID233" s="458"/>
      <c r="IE233" s="458"/>
      <c r="IF233" s="458"/>
      <c r="IG233" s="458"/>
      <c r="IH233" s="458"/>
      <c r="II233" s="458"/>
      <c r="IJ233" s="458"/>
      <c r="IK233" s="458"/>
      <c r="IL233" s="458"/>
      <c r="IM233" s="458"/>
      <c r="IN233" s="458"/>
      <c r="IO233" s="458"/>
      <c r="IP233" s="458"/>
      <c r="IQ233" s="458"/>
      <c r="IR233" s="458"/>
      <c r="IS233" s="458"/>
    </row>
    <row r="234" spans="1:253" s="455" customFormat="1" ht="45" x14ac:dyDescent="0.2">
      <c r="A234" s="444">
        <v>2895</v>
      </c>
      <c r="B234" s="445" t="s">
        <v>51</v>
      </c>
      <c r="C234" s="445" t="s">
        <v>52</v>
      </c>
      <c r="D234" s="445" t="s">
        <v>91</v>
      </c>
      <c r="E234" s="445"/>
      <c r="F234" s="479"/>
      <c r="G234" s="446">
        <v>56</v>
      </c>
      <c r="H234" s="445">
        <v>53</v>
      </c>
      <c r="I234" s="445"/>
      <c r="J234" s="445">
        <v>2</v>
      </c>
      <c r="K234" s="447">
        <v>2</v>
      </c>
      <c r="L234" s="445"/>
      <c r="M234" s="445">
        <v>3</v>
      </c>
      <c r="N234" s="445" t="s">
        <v>206</v>
      </c>
      <c r="O234" s="449" t="s">
        <v>1238</v>
      </c>
      <c r="P234" s="450">
        <v>4.1520000000000001</v>
      </c>
      <c r="Q234" s="451">
        <f t="shared" si="5"/>
        <v>4.1520000000000001</v>
      </c>
      <c r="R234" s="451">
        <f>SUMIF('Wege im Detail'!$A:$A,"2895",'Wege im Detail'!$P:$P)</f>
        <v>8.3719999999999999</v>
      </c>
      <c r="S234" s="452" t="s">
        <v>297</v>
      </c>
      <c r="T234" s="453">
        <v>43282</v>
      </c>
      <c r="U234" s="448"/>
      <c r="V234" s="458"/>
      <c r="W234" s="448"/>
      <c r="X234" s="458"/>
      <c r="Y234" s="458"/>
      <c r="Z234" s="458"/>
      <c r="AA234" s="458"/>
      <c r="AB234" s="458"/>
      <c r="AC234" s="458"/>
      <c r="AD234" s="458"/>
      <c r="AE234" s="458"/>
      <c r="AF234" s="458"/>
      <c r="AG234" s="458"/>
      <c r="AH234" s="458"/>
      <c r="AI234" s="458"/>
      <c r="AJ234" s="458"/>
      <c r="AK234" s="458"/>
      <c r="AL234" s="458"/>
      <c r="AM234" s="458"/>
      <c r="AN234" s="458"/>
      <c r="AO234" s="458"/>
      <c r="AP234" s="458"/>
      <c r="AQ234" s="458"/>
      <c r="AR234" s="458"/>
      <c r="AS234" s="458"/>
      <c r="AT234" s="458"/>
      <c r="AU234" s="458"/>
      <c r="AV234" s="458"/>
      <c r="AW234" s="458"/>
      <c r="AX234" s="458"/>
      <c r="AY234" s="458"/>
      <c r="AZ234" s="458"/>
      <c r="BA234" s="458"/>
      <c r="BB234" s="458"/>
      <c r="BC234" s="458"/>
      <c r="BD234" s="458"/>
      <c r="BE234" s="458"/>
      <c r="BF234" s="458"/>
      <c r="BG234" s="458"/>
      <c r="BH234" s="458"/>
      <c r="BI234" s="458"/>
      <c r="BJ234" s="458"/>
      <c r="BK234" s="458"/>
      <c r="BL234" s="458"/>
      <c r="BM234" s="458"/>
      <c r="BN234" s="458"/>
      <c r="BO234" s="458"/>
      <c r="BP234" s="458"/>
      <c r="BQ234" s="458"/>
      <c r="BR234" s="458"/>
      <c r="BS234" s="458"/>
      <c r="BT234" s="458"/>
      <c r="BU234" s="458"/>
      <c r="BV234" s="458"/>
      <c r="BW234" s="458"/>
      <c r="BX234" s="458"/>
      <c r="BY234" s="458"/>
      <c r="BZ234" s="458"/>
      <c r="CA234" s="458"/>
      <c r="CB234" s="458"/>
      <c r="CC234" s="458"/>
      <c r="CD234" s="458"/>
      <c r="CE234" s="458"/>
      <c r="CF234" s="458"/>
      <c r="CG234" s="458"/>
      <c r="CH234" s="458"/>
      <c r="CI234" s="458"/>
      <c r="CJ234" s="458"/>
      <c r="CK234" s="458"/>
      <c r="CL234" s="458"/>
      <c r="CM234" s="458"/>
      <c r="CN234" s="458"/>
      <c r="CO234" s="458"/>
      <c r="CP234" s="458"/>
      <c r="CQ234" s="458"/>
      <c r="CR234" s="458"/>
      <c r="CS234" s="458"/>
      <c r="CT234" s="458"/>
      <c r="CU234" s="458"/>
      <c r="CV234" s="458"/>
      <c r="CW234" s="458"/>
      <c r="CX234" s="458"/>
      <c r="CY234" s="458"/>
      <c r="CZ234" s="458"/>
      <c r="DA234" s="458"/>
      <c r="DB234" s="458"/>
      <c r="DC234" s="458"/>
      <c r="DD234" s="458"/>
      <c r="DE234" s="458"/>
      <c r="DF234" s="458"/>
      <c r="DG234" s="458"/>
      <c r="DH234" s="458"/>
      <c r="DI234" s="458"/>
      <c r="DJ234" s="458"/>
      <c r="DK234" s="458"/>
      <c r="DL234" s="458"/>
      <c r="DM234" s="458"/>
      <c r="DN234" s="458"/>
      <c r="DO234" s="458"/>
      <c r="DP234" s="458"/>
      <c r="DQ234" s="458"/>
      <c r="DR234" s="458"/>
      <c r="DS234" s="458"/>
      <c r="DT234" s="458"/>
      <c r="DU234" s="458"/>
      <c r="DV234" s="458"/>
      <c r="DW234" s="458"/>
      <c r="DX234" s="458"/>
      <c r="DY234" s="458"/>
      <c r="DZ234" s="458"/>
      <c r="EA234" s="458"/>
      <c r="EB234" s="458"/>
      <c r="EC234" s="458"/>
      <c r="ED234" s="458"/>
      <c r="EE234" s="458"/>
      <c r="EF234" s="458"/>
      <c r="EG234" s="458"/>
      <c r="EH234" s="458"/>
      <c r="EI234" s="458"/>
      <c r="EJ234" s="458"/>
      <c r="EK234" s="458"/>
      <c r="EL234" s="458"/>
      <c r="EM234" s="458"/>
      <c r="EN234" s="458"/>
      <c r="EO234" s="458"/>
      <c r="EP234" s="458"/>
      <c r="EQ234" s="458"/>
      <c r="ER234" s="458"/>
      <c r="ES234" s="458"/>
      <c r="ET234" s="458"/>
      <c r="EU234" s="458"/>
      <c r="EV234" s="458"/>
      <c r="EW234" s="458"/>
      <c r="EX234" s="458"/>
      <c r="EY234" s="458"/>
      <c r="EZ234" s="458"/>
      <c r="FA234" s="458"/>
      <c r="FB234" s="458"/>
      <c r="FC234" s="458"/>
      <c r="FD234" s="458"/>
      <c r="FE234" s="458"/>
      <c r="FF234" s="458"/>
      <c r="FG234" s="458"/>
      <c r="FH234" s="458"/>
      <c r="FI234" s="458"/>
      <c r="FJ234" s="458"/>
      <c r="FK234" s="458"/>
      <c r="FL234" s="458"/>
      <c r="FM234" s="458"/>
      <c r="FN234" s="458"/>
      <c r="FO234" s="458"/>
      <c r="FP234" s="458"/>
      <c r="FQ234" s="458"/>
      <c r="FR234" s="458"/>
      <c r="FS234" s="458"/>
      <c r="FT234" s="458"/>
      <c r="FU234" s="458"/>
      <c r="FV234" s="458"/>
      <c r="FW234" s="458"/>
      <c r="FX234" s="458"/>
      <c r="FY234" s="458"/>
      <c r="FZ234" s="458"/>
      <c r="GA234" s="458"/>
      <c r="GB234" s="458"/>
      <c r="GC234" s="458"/>
      <c r="GD234" s="458"/>
      <c r="GE234" s="458"/>
      <c r="GF234" s="458"/>
      <c r="GG234" s="458"/>
      <c r="GH234" s="458"/>
      <c r="GI234" s="458"/>
      <c r="GJ234" s="458"/>
      <c r="GK234" s="458"/>
      <c r="GL234" s="458"/>
      <c r="GM234" s="458"/>
      <c r="GN234" s="458"/>
      <c r="GO234" s="458"/>
      <c r="GP234" s="458"/>
      <c r="GQ234" s="458"/>
      <c r="GR234" s="458"/>
      <c r="GS234" s="458"/>
      <c r="GT234" s="458"/>
      <c r="GU234" s="458"/>
      <c r="GV234" s="458"/>
      <c r="GW234" s="458"/>
      <c r="GX234" s="458"/>
      <c r="GY234" s="458"/>
      <c r="GZ234" s="458"/>
      <c r="HA234" s="458"/>
      <c r="HB234" s="458"/>
      <c r="HC234" s="458"/>
      <c r="HD234" s="458"/>
      <c r="HE234" s="458"/>
      <c r="HF234" s="458"/>
      <c r="HG234" s="458"/>
      <c r="HH234" s="458"/>
      <c r="HI234" s="458"/>
      <c r="HJ234" s="458"/>
      <c r="HK234" s="458"/>
      <c r="HL234" s="458"/>
      <c r="HM234" s="458"/>
      <c r="HN234" s="458"/>
      <c r="HO234" s="458"/>
      <c r="HP234" s="458"/>
      <c r="HQ234" s="458"/>
      <c r="HR234" s="458"/>
      <c r="HS234" s="458"/>
      <c r="HT234" s="458"/>
      <c r="HU234" s="458"/>
      <c r="HV234" s="458"/>
      <c r="HW234" s="458"/>
      <c r="HX234" s="458"/>
      <c r="HY234" s="458"/>
      <c r="HZ234" s="458"/>
      <c r="IA234" s="458"/>
      <c r="IB234" s="458"/>
      <c r="IC234" s="458"/>
      <c r="ID234" s="458"/>
      <c r="IE234" s="458"/>
      <c r="IF234" s="458"/>
      <c r="IG234" s="458"/>
      <c r="IH234" s="458"/>
      <c r="II234" s="458"/>
      <c r="IJ234" s="458"/>
      <c r="IK234" s="458"/>
      <c r="IL234" s="458"/>
      <c r="IM234" s="458"/>
      <c r="IN234" s="458"/>
      <c r="IO234" s="458"/>
      <c r="IP234" s="458"/>
      <c r="IQ234" s="458"/>
      <c r="IR234" s="458"/>
      <c r="IS234" s="458"/>
    </row>
    <row r="235" spans="1:253" s="455" customFormat="1" ht="56.25" x14ac:dyDescent="0.2">
      <c r="A235" s="444">
        <v>2896</v>
      </c>
      <c r="B235" s="445" t="s">
        <v>51</v>
      </c>
      <c r="C235" s="445" t="s">
        <v>52</v>
      </c>
      <c r="D235" s="445" t="s">
        <v>91</v>
      </c>
      <c r="E235" s="445"/>
      <c r="F235" s="445"/>
      <c r="G235" s="446">
        <v>51</v>
      </c>
      <c r="H235" s="445">
        <v>54</v>
      </c>
      <c r="I235" s="445"/>
      <c r="J235" s="445">
        <v>1</v>
      </c>
      <c r="K235" s="447">
        <v>2</v>
      </c>
      <c r="L235" s="445"/>
      <c r="M235" s="445">
        <v>3</v>
      </c>
      <c r="N235" s="445" t="s">
        <v>187</v>
      </c>
      <c r="O235" s="449" t="s">
        <v>1239</v>
      </c>
      <c r="P235" s="450">
        <v>3.8530000000000002</v>
      </c>
      <c r="Q235" s="451">
        <f t="shared" si="5"/>
        <v>3.8530000000000002</v>
      </c>
      <c r="R235" s="451">
        <f>SUMIF('Wege im Detail'!$A:$A,"2896",'Wege im Detail'!$P:$P)</f>
        <v>8.8830000000000009</v>
      </c>
      <c r="S235" s="452" t="s">
        <v>300</v>
      </c>
      <c r="T235" s="453">
        <v>43282</v>
      </c>
      <c r="U235" s="448"/>
      <c r="V235" s="458"/>
      <c r="W235" s="448"/>
      <c r="X235" s="458"/>
      <c r="Y235" s="458"/>
      <c r="Z235" s="458"/>
      <c r="AA235" s="458"/>
      <c r="AB235" s="458"/>
      <c r="AC235" s="458"/>
      <c r="AD235" s="458"/>
      <c r="AE235" s="458"/>
      <c r="AF235" s="458"/>
      <c r="AG235" s="458"/>
      <c r="AH235" s="458"/>
      <c r="AI235" s="458"/>
      <c r="AJ235" s="458"/>
      <c r="AK235" s="458"/>
      <c r="AL235" s="458"/>
      <c r="AM235" s="458"/>
      <c r="AN235" s="458"/>
      <c r="AO235" s="458"/>
      <c r="AP235" s="458"/>
      <c r="AQ235" s="458"/>
      <c r="AR235" s="458"/>
      <c r="AS235" s="458"/>
      <c r="AT235" s="458"/>
      <c r="AU235" s="458"/>
      <c r="AV235" s="458"/>
      <c r="AW235" s="458"/>
      <c r="AX235" s="458"/>
      <c r="AY235" s="458"/>
      <c r="AZ235" s="458"/>
      <c r="BA235" s="458"/>
      <c r="BB235" s="458"/>
      <c r="BC235" s="458"/>
      <c r="BD235" s="458"/>
      <c r="BE235" s="458"/>
      <c r="BF235" s="458"/>
      <c r="BG235" s="458"/>
      <c r="BH235" s="458"/>
      <c r="BI235" s="458"/>
      <c r="BJ235" s="458"/>
      <c r="BK235" s="458"/>
      <c r="BL235" s="458"/>
      <c r="BM235" s="458"/>
      <c r="BN235" s="458"/>
      <c r="BO235" s="458"/>
      <c r="BP235" s="458"/>
      <c r="BQ235" s="458"/>
      <c r="BR235" s="458"/>
      <c r="BS235" s="458"/>
      <c r="BT235" s="458"/>
      <c r="BU235" s="458"/>
      <c r="BV235" s="458"/>
      <c r="BW235" s="458"/>
      <c r="BX235" s="458"/>
      <c r="BY235" s="458"/>
      <c r="BZ235" s="458"/>
      <c r="CA235" s="458"/>
      <c r="CB235" s="458"/>
      <c r="CC235" s="458"/>
      <c r="CD235" s="458"/>
      <c r="CE235" s="458"/>
      <c r="CF235" s="458"/>
      <c r="CG235" s="458"/>
      <c r="CH235" s="458"/>
      <c r="CI235" s="458"/>
      <c r="CJ235" s="458"/>
      <c r="CK235" s="458"/>
      <c r="CL235" s="458"/>
      <c r="CM235" s="458"/>
      <c r="CN235" s="458"/>
      <c r="CO235" s="458"/>
      <c r="CP235" s="458"/>
      <c r="CQ235" s="458"/>
      <c r="CR235" s="458"/>
      <c r="CS235" s="458"/>
      <c r="CT235" s="458"/>
      <c r="CU235" s="458"/>
      <c r="CV235" s="458"/>
      <c r="CW235" s="458"/>
      <c r="CX235" s="458"/>
      <c r="CY235" s="458"/>
      <c r="CZ235" s="458"/>
      <c r="DA235" s="458"/>
      <c r="DB235" s="458"/>
      <c r="DC235" s="458"/>
      <c r="DD235" s="458"/>
      <c r="DE235" s="458"/>
      <c r="DF235" s="458"/>
      <c r="DG235" s="458"/>
      <c r="DH235" s="458"/>
      <c r="DI235" s="458"/>
      <c r="DJ235" s="458"/>
      <c r="DK235" s="458"/>
      <c r="DL235" s="458"/>
      <c r="DM235" s="458"/>
      <c r="DN235" s="458"/>
      <c r="DO235" s="458"/>
      <c r="DP235" s="458"/>
      <c r="DQ235" s="458"/>
      <c r="DR235" s="458"/>
      <c r="DS235" s="458"/>
      <c r="DT235" s="458"/>
      <c r="DU235" s="458"/>
      <c r="DV235" s="458"/>
      <c r="DW235" s="458"/>
      <c r="DX235" s="458"/>
      <c r="DY235" s="458"/>
      <c r="DZ235" s="458"/>
      <c r="EA235" s="458"/>
      <c r="EB235" s="458"/>
      <c r="EC235" s="458"/>
      <c r="ED235" s="458"/>
      <c r="EE235" s="458"/>
      <c r="EF235" s="458"/>
      <c r="EG235" s="458"/>
      <c r="EH235" s="458"/>
      <c r="EI235" s="458"/>
      <c r="EJ235" s="458"/>
      <c r="EK235" s="458"/>
      <c r="EL235" s="458"/>
      <c r="EM235" s="458"/>
      <c r="EN235" s="458"/>
      <c r="EO235" s="458"/>
      <c r="EP235" s="458"/>
      <c r="EQ235" s="458"/>
      <c r="ER235" s="458"/>
      <c r="ES235" s="458"/>
      <c r="ET235" s="458"/>
      <c r="EU235" s="458"/>
      <c r="EV235" s="458"/>
      <c r="EW235" s="458"/>
      <c r="EX235" s="458"/>
      <c r="EY235" s="458"/>
      <c r="EZ235" s="458"/>
      <c r="FA235" s="458"/>
      <c r="FB235" s="458"/>
      <c r="FC235" s="458"/>
      <c r="FD235" s="458"/>
      <c r="FE235" s="458"/>
      <c r="FF235" s="458"/>
      <c r="FG235" s="458"/>
      <c r="FH235" s="458"/>
      <c r="FI235" s="458"/>
      <c r="FJ235" s="458"/>
      <c r="FK235" s="458"/>
      <c r="FL235" s="458"/>
      <c r="FM235" s="458"/>
      <c r="FN235" s="458"/>
      <c r="FO235" s="458"/>
      <c r="FP235" s="458"/>
      <c r="FQ235" s="458"/>
      <c r="FR235" s="458"/>
      <c r="FS235" s="458"/>
      <c r="FT235" s="458"/>
      <c r="FU235" s="458"/>
      <c r="FV235" s="458"/>
      <c r="FW235" s="458"/>
      <c r="FX235" s="458"/>
      <c r="FY235" s="458"/>
      <c r="FZ235" s="458"/>
      <c r="GA235" s="458"/>
      <c r="GB235" s="458"/>
      <c r="GC235" s="458"/>
      <c r="GD235" s="458"/>
      <c r="GE235" s="458"/>
      <c r="GF235" s="458"/>
      <c r="GG235" s="458"/>
      <c r="GH235" s="458"/>
      <c r="GI235" s="458"/>
      <c r="GJ235" s="458"/>
      <c r="GK235" s="458"/>
      <c r="GL235" s="458"/>
      <c r="GM235" s="458"/>
      <c r="GN235" s="458"/>
      <c r="GO235" s="458"/>
      <c r="GP235" s="458"/>
      <c r="GQ235" s="458"/>
      <c r="GR235" s="458"/>
      <c r="GS235" s="458"/>
      <c r="GT235" s="458"/>
      <c r="GU235" s="458"/>
      <c r="GV235" s="458"/>
      <c r="GW235" s="458"/>
      <c r="GX235" s="458"/>
      <c r="GY235" s="458"/>
      <c r="GZ235" s="458"/>
      <c r="HA235" s="458"/>
      <c r="HB235" s="458"/>
      <c r="HC235" s="458"/>
      <c r="HD235" s="458"/>
      <c r="HE235" s="458"/>
      <c r="HF235" s="458"/>
      <c r="HG235" s="458"/>
      <c r="HH235" s="458"/>
      <c r="HI235" s="458"/>
      <c r="HJ235" s="458"/>
      <c r="HK235" s="458"/>
      <c r="HL235" s="458"/>
      <c r="HM235" s="458"/>
      <c r="HN235" s="458"/>
      <c r="HO235" s="458"/>
      <c r="HP235" s="458"/>
      <c r="HQ235" s="458"/>
      <c r="HR235" s="458"/>
      <c r="HS235" s="458"/>
      <c r="HT235" s="458"/>
      <c r="HU235" s="458"/>
      <c r="HV235" s="458"/>
      <c r="HW235" s="458"/>
      <c r="HX235" s="458"/>
      <c r="HY235" s="458"/>
      <c r="HZ235" s="458"/>
      <c r="IA235" s="458"/>
      <c r="IB235" s="458"/>
      <c r="IC235" s="458"/>
      <c r="ID235" s="458"/>
      <c r="IE235" s="458"/>
      <c r="IF235" s="458"/>
      <c r="IG235" s="458"/>
      <c r="IH235" s="458"/>
      <c r="II235" s="458"/>
      <c r="IJ235" s="458"/>
      <c r="IK235" s="458"/>
      <c r="IL235" s="458"/>
      <c r="IM235" s="458"/>
      <c r="IN235" s="458"/>
      <c r="IO235" s="458"/>
      <c r="IP235" s="458"/>
      <c r="IQ235" s="458"/>
      <c r="IR235" s="458"/>
      <c r="IS235" s="458"/>
    </row>
    <row r="236" spans="1:253" s="455" customFormat="1" ht="45" x14ac:dyDescent="0.2">
      <c r="A236" s="444">
        <v>2896</v>
      </c>
      <c r="B236" s="445" t="s">
        <v>51</v>
      </c>
      <c r="C236" s="445" t="s">
        <v>52</v>
      </c>
      <c r="D236" s="445" t="s">
        <v>91</v>
      </c>
      <c r="E236" s="445"/>
      <c r="F236" s="445"/>
      <c r="G236" s="446">
        <v>51</v>
      </c>
      <c r="H236" s="445">
        <v>54</v>
      </c>
      <c r="I236" s="445"/>
      <c r="J236" s="445">
        <v>2</v>
      </c>
      <c r="K236" s="447">
        <v>2</v>
      </c>
      <c r="L236" s="445"/>
      <c r="M236" s="445">
        <v>3</v>
      </c>
      <c r="N236" s="445" t="s">
        <v>299</v>
      </c>
      <c r="O236" s="449" t="s">
        <v>1240</v>
      </c>
      <c r="P236" s="450">
        <v>5.03</v>
      </c>
      <c r="Q236" s="451">
        <f t="shared" si="5"/>
        <v>5.03</v>
      </c>
      <c r="R236" s="451">
        <f>SUMIF('Wege im Detail'!$A:$A,"2896",'Wege im Detail'!$P:$P)</f>
        <v>8.8830000000000009</v>
      </c>
      <c r="S236" s="452" t="s">
        <v>300</v>
      </c>
      <c r="T236" s="453">
        <v>43282</v>
      </c>
      <c r="U236" s="448"/>
      <c r="V236" s="458"/>
      <c r="W236" s="448"/>
      <c r="X236" s="458"/>
      <c r="Y236" s="458"/>
      <c r="Z236" s="458"/>
      <c r="AA236" s="458"/>
      <c r="AB236" s="458"/>
      <c r="AC236" s="458"/>
      <c r="AD236" s="458"/>
      <c r="AE236" s="458"/>
      <c r="AF236" s="458"/>
      <c r="AG236" s="458"/>
      <c r="AH236" s="458"/>
      <c r="AI236" s="458"/>
      <c r="AJ236" s="458"/>
      <c r="AK236" s="458"/>
      <c r="AL236" s="458"/>
      <c r="AM236" s="458"/>
      <c r="AN236" s="458"/>
      <c r="AO236" s="458"/>
      <c r="AP236" s="458"/>
      <c r="AQ236" s="458"/>
      <c r="AR236" s="458"/>
      <c r="AS236" s="458"/>
      <c r="AT236" s="458"/>
      <c r="AU236" s="458"/>
      <c r="AV236" s="458"/>
      <c r="AW236" s="458"/>
      <c r="AX236" s="458"/>
      <c r="AY236" s="458"/>
      <c r="AZ236" s="458"/>
      <c r="BA236" s="458"/>
      <c r="BB236" s="458"/>
      <c r="BC236" s="458"/>
      <c r="BD236" s="458"/>
      <c r="BE236" s="458"/>
      <c r="BF236" s="458"/>
      <c r="BG236" s="458"/>
      <c r="BH236" s="458"/>
      <c r="BI236" s="458"/>
      <c r="BJ236" s="458"/>
      <c r="BK236" s="458"/>
      <c r="BL236" s="458"/>
      <c r="BM236" s="458"/>
      <c r="BN236" s="458"/>
      <c r="BO236" s="458"/>
      <c r="BP236" s="458"/>
      <c r="BQ236" s="458"/>
      <c r="BR236" s="458"/>
      <c r="BS236" s="458"/>
      <c r="BT236" s="458"/>
      <c r="BU236" s="458"/>
      <c r="BV236" s="458"/>
      <c r="BW236" s="458"/>
      <c r="BX236" s="458"/>
      <c r="BY236" s="458"/>
      <c r="BZ236" s="458"/>
      <c r="CA236" s="458"/>
      <c r="CB236" s="458"/>
      <c r="CC236" s="458"/>
      <c r="CD236" s="458"/>
      <c r="CE236" s="458"/>
      <c r="CF236" s="458"/>
      <c r="CG236" s="458"/>
      <c r="CH236" s="458"/>
      <c r="CI236" s="458"/>
      <c r="CJ236" s="458"/>
      <c r="CK236" s="458"/>
      <c r="CL236" s="458"/>
      <c r="CM236" s="458"/>
      <c r="CN236" s="458"/>
      <c r="CO236" s="458"/>
      <c r="CP236" s="458"/>
      <c r="CQ236" s="458"/>
      <c r="CR236" s="458"/>
      <c r="CS236" s="458"/>
      <c r="CT236" s="458"/>
      <c r="CU236" s="458"/>
      <c r="CV236" s="458"/>
      <c r="CW236" s="458"/>
      <c r="CX236" s="458"/>
      <c r="CY236" s="458"/>
      <c r="CZ236" s="458"/>
      <c r="DA236" s="458"/>
      <c r="DB236" s="458"/>
      <c r="DC236" s="458"/>
      <c r="DD236" s="458"/>
      <c r="DE236" s="458"/>
      <c r="DF236" s="458"/>
      <c r="DG236" s="458"/>
      <c r="DH236" s="458"/>
      <c r="DI236" s="458"/>
      <c r="DJ236" s="458"/>
      <c r="DK236" s="458"/>
      <c r="DL236" s="458"/>
      <c r="DM236" s="458"/>
      <c r="DN236" s="458"/>
      <c r="DO236" s="458"/>
      <c r="DP236" s="458"/>
      <c r="DQ236" s="458"/>
      <c r="DR236" s="458"/>
      <c r="DS236" s="458"/>
      <c r="DT236" s="458"/>
      <c r="DU236" s="458"/>
      <c r="DV236" s="458"/>
      <c r="DW236" s="458"/>
      <c r="DX236" s="458"/>
      <c r="DY236" s="458"/>
      <c r="DZ236" s="458"/>
      <c r="EA236" s="458"/>
      <c r="EB236" s="458"/>
      <c r="EC236" s="458"/>
      <c r="ED236" s="458"/>
      <c r="EE236" s="458"/>
      <c r="EF236" s="458"/>
      <c r="EG236" s="458"/>
      <c r="EH236" s="458"/>
      <c r="EI236" s="458"/>
      <c r="EJ236" s="458"/>
      <c r="EK236" s="458"/>
      <c r="EL236" s="458"/>
      <c r="EM236" s="458"/>
      <c r="EN236" s="458"/>
      <c r="EO236" s="458"/>
      <c r="EP236" s="458"/>
      <c r="EQ236" s="458"/>
      <c r="ER236" s="458"/>
      <c r="ES236" s="458"/>
      <c r="ET236" s="458"/>
      <c r="EU236" s="458"/>
      <c r="EV236" s="458"/>
      <c r="EW236" s="458"/>
      <c r="EX236" s="458"/>
      <c r="EY236" s="458"/>
      <c r="EZ236" s="458"/>
      <c r="FA236" s="458"/>
      <c r="FB236" s="458"/>
      <c r="FC236" s="458"/>
      <c r="FD236" s="458"/>
      <c r="FE236" s="458"/>
      <c r="FF236" s="458"/>
      <c r="FG236" s="458"/>
      <c r="FH236" s="458"/>
      <c r="FI236" s="458"/>
      <c r="FJ236" s="458"/>
      <c r="FK236" s="458"/>
      <c r="FL236" s="458"/>
      <c r="FM236" s="458"/>
      <c r="FN236" s="458"/>
      <c r="FO236" s="458"/>
      <c r="FP236" s="458"/>
      <c r="FQ236" s="458"/>
      <c r="FR236" s="458"/>
      <c r="FS236" s="458"/>
      <c r="FT236" s="458"/>
      <c r="FU236" s="458"/>
      <c r="FV236" s="458"/>
      <c r="FW236" s="458"/>
      <c r="FX236" s="458"/>
      <c r="FY236" s="458"/>
      <c r="FZ236" s="458"/>
      <c r="GA236" s="458"/>
      <c r="GB236" s="458"/>
      <c r="GC236" s="458"/>
      <c r="GD236" s="458"/>
      <c r="GE236" s="458"/>
      <c r="GF236" s="458"/>
      <c r="GG236" s="458"/>
      <c r="GH236" s="458"/>
      <c r="GI236" s="458"/>
      <c r="GJ236" s="458"/>
      <c r="GK236" s="458"/>
      <c r="GL236" s="458"/>
      <c r="GM236" s="458"/>
      <c r="GN236" s="458"/>
      <c r="GO236" s="458"/>
      <c r="GP236" s="458"/>
      <c r="GQ236" s="458"/>
      <c r="GR236" s="458"/>
      <c r="GS236" s="458"/>
      <c r="GT236" s="458"/>
      <c r="GU236" s="458"/>
      <c r="GV236" s="458"/>
      <c r="GW236" s="458"/>
      <c r="GX236" s="458"/>
      <c r="GY236" s="458"/>
      <c r="GZ236" s="458"/>
      <c r="HA236" s="458"/>
      <c r="HB236" s="458"/>
      <c r="HC236" s="458"/>
      <c r="HD236" s="458"/>
      <c r="HE236" s="458"/>
      <c r="HF236" s="458"/>
      <c r="HG236" s="458"/>
      <c r="HH236" s="458"/>
      <c r="HI236" s="458"/>
      <c r="HJ236" s="458"/>
      <c r="HK236" s="458"/>
      <c r="HL236" s="458"/>
      <c r="HM236" s="458"/>
      <c r="HN236" s="458"/>
      <c r="HO236" s="458"/>
      <c r="HP236" s="458"/>
      <c r="HQ236" s="458"/>
      <c r="HR236" s="458"/>
      <c r="HS236" s="458"/>
      <c r="HT236" s="458"/>
      <c r="HU236" s="458"/>
      <c r="HV236" s="458"/>
      <c r="HW236" s="458"/>
      <c r="HX236" s="458"/>
      <c r="HY236" s="458"/>
      <c r="HZ236" s="458"/>
      <c r="IA236" s="458"/>
      <c r="IB236" s="458"/>
      <c r="IC236" s="458"/>
      <c r="ID236" s="458"/>
      <c r="IE236" s="458"/>
      <c r="IF236" s="458"/>
      <c r="IG236" s="458"/>
      <c r="IH236" s="458"/>
      <c r="II236" s="458"/>
      <c r="IJ236" s="458"/>
      <c r="IK236" s="458"/>
      <c r="IL236" s="458"/>
      <c r="IM236" s="458"/>
      <c r="IN236" s="458"/>
      <c r="IO236" s="458"/>
      <c r="IP236" s="458"/>
      <c r="IQ236" s="458"/>
      <c r="IR236" s="458"/>
      <c r="IS236" s="458"/>
    </row>
    <row r="237" spans="1:253" s="455" customFormat="1" ht="56.25" x14ac:dyDescent="0.2">
      <c r="A237" s="444">
        <v>2899</v>
      </c>
      <c r="B237" s="445" t="s">
        <v>51</v>
      </c>
      <c r="C237" s="445" t="s">
        <v>52</v>
      </c>
      <c r="D237" s="445" t="s">
        <v>91</v>
      </c>
      <c r="E237" s="445"/>
      <c r="F237" s="445"/>
      <c r="G237" s="446">
        <v>104</v>
      </c>
      <c r="H237" s="445">
        <v>52</v>
      </c>
      <c r="I237" s="445"/>
      <c r="J237" s="445">
        <v>1</v>
      </c>
      <c r="K237" s="447">
        <v>2</v>
      </c>
      <c r="L237" s="445"/>
      <c r="M237" s="445">
        <v>3</v>
      </c>
      <c r="N237" s="445" t="s">
        <v>299</v>
      </c>
      <c r="O237" s="449" t="s">
        <v>1241</v>
      </c>
      <c r="P237" s="450">
        <v>2.4009999999999998</v>
      </c>
      <c r="Q237" s="451">
        <f t="shared" si="5"/>
        <v>2.4009999999999998</v>
      </c>
      <c r="R237" s="451">
        <f>SUMIF('Wege im Detail'!$A:$A,"2899",'Wege im Detail'!$P:$P)</f>
        <v>3.3039999999999998</v>
      </c>
      <c r="S237" s="452" t="s">
        <v>1242</v>
      </c>
      <c r="T237" s="453">
        <v>43282</v>
      </c>
      <c r="U237" s="448"/>
      <c r="W237" s="448"/>
      <c r="X237" s="458"/>
      <c r="Y237" s="458"/>
      <c r="Z237" s="458"/>
      <c r="AA237" s="458"/>
      <c r="AB237" s="458"/>
      <c r="AC237" s="458"/>
      <c r="AD237" s="458"/>
      <c r="AE237" s="458"/>
      <c r="AF237" s="458"/>
      <c r="AG237" s="458"/>
      <c r="AH237" s="458"/>
      <c r="AI237" s="458"/>
      <c r="AJ237" s="458"/>
      <c r="AK237" s="458"/>
      <c r="AL237" s="458"/>
      <c r="AM237" s="458"/>
      <c r="AN237" s="458"/>
      <c r="AO237" s="458"/>
      <c r="AP237" s="458"/>
      <c r="AQ237" s="458"/>
      <c r="AR237" s="458"/>
      <c r="AS237" s="458"/>
      <c r="AT237" s="458"/>
      <c r="AU237" s="458"/>
      <c r="AV237" s="458"/>
      <c r="AW237" s="458"/>
      <c r="AX237" s="458"/>
      <c r="AY237" s="458"/>
      <c r="AZ237" s="458"/>
      <c r="BA237" s="458"/>
      <c r="BB237" s="458"/>
      <c r="BC237" s="458"/>
      <c r="BD237" s="458"/>
      <c r="BE237" s="458"/>
      <c r="BF237" s="458"/>
      <c r="BG237" s="458"/>
      <c r="BH237" s="458"/>
      <c r="BI237" s="458"/>
      <c r="BJ237" s="458"/>
      <c r="BK237" s="458"/>
      <c r="BL237" s="458"/>
      <c r="BM237" s="458"/>
      <c r="BN237" s="458"/>
      <c r="BO237" s="458"/>
      <c r="BP237" s="458"/>
      <c r="BQ237" s="458"/>
      <c r="BR237" s="458"/>
      <c r="BS237" s="458"/>
      <c r="BT237" s="458"/>
      <c r="BU237" s="458"/>
      <c r="BV237" s="458"/>
      <c r="BW237" s="458"/>
      <c r="BX237" s="458"/>
      <c r="BY237" s="458"/>
      <c r="BZ237" s="458"/>
      <c r="CA237" s="458"/>
      <c r="CB237" s="458"/>
      <c r="CC237" s="458"/>
      <c r="CD237" s="458"/>
      <c r="CE237" s="458"/>
      <c r="CF237" s="458"/>
      <c r="CG237" s="458"/>
      <c r="CH237" s="458"/>
      <c r="CI237" s="458"/>
      <c r="CJ237" s="458"/>
      <c r="CK237" s="458"/>
      <c r="CL237" s="458"/>
      <c r="CM237" s="458"/>
      <c r="CN237" s="458"/>
      <c r="CO237" s="458"/>
      <c r="CP237" s="458"/>
      <c r="CQ237" s="458"/>
      <c r="CR237" s="458"/>
      <c r="CS237" s="458"/>
      <c r="CT237" s="458"/>
      <c r="CU237" s="458"/>
      <c r="CV237" s="458"/>
      <c r="CW237" s="458"/>
      <c r="CX237" s="458"/>
      <c r="CY237" s="458"/>
      <c r="CZ237" s="458"/>
      <c r="DA237" s="458"/>
      <c r="DB237" s="458"/>
      <c r="DC237" s="458"/>
      <c r="DD237" s="458"/>
      <c r="DE237" s="458"/>
      <c r="DF237" s="458"/>
      <c r="DG237" s="458"/>
      <c r="DH237" s="458"/>
      <c r="DI237" s="458"/>
      <c r="DJ237" s="458"/>
      <c r="DK237" s="458"/>
      <c r="DL237" s="458"/>
      <c r="DM237" s="458"/>
      <c r="DN237" s="458"/>
      <c r="DO237" s="458"/>
      <c r="DP237" s="458"/>
      <c r="DQ237" s="458"/>
      <c r="DR237" s="458"/>
      <c r="DS237" s="458"/>
      <c r="DT237" s="458"/>
      <c r="DU237" s="458"/>
      <c r="DV237" s="458"/>
      <c r="DW237" s="458"/>
      <c r="DX237" s="458"/>
      <c r="DY237" s="458"/>
      <c r="DZ237" s="458"/>
      <c r="EA237" s="458"/>
      <c r="EB237" s="458"/>
      <c r="EC237" s="458"/>
      <c r="ED237" s="458"/>
      <c r="EE237" s="458"/>
      <c r="EF237" s="458"/>
      <c r="EG237" s="458"/>
      <c r="EH237" s="458"/>
      <c r="EI237" s="458"/>
      <c r="EJ237" s="458"/>
      <c r="EK237" s="458"/>
      <c r="EL237" s="458"/>
      <c r="EM237" s="458"/>
      <c r="EN237" s="458"/>
      <c r="EO237" s="458"/>
      <c r="EP237" s="458"/>
      <c r="EQ237" s="458"/>
      <c r="ER237" s="458"/>
      <c r="ES237" s="458"/>
      <c r="ET237" s="458"/>
      <c r="EU237" s="458"/>
      <c r="EV237" s="458"/>
      <c r="EW237" s="458"/>
      <c r="EX237" s="458"/>
      <c r="EY237" s="458"/>
      <c r="EZ237" s="458"/>
      <c r="FA237" s="458"/>
      <c r="FB237" s="458"/>
      <c r="FC237" s="458"/>
      <c r="FD237" s="458"/>
      <c r="FE237" s="458"/>
      <c r="FF237" s="458"/>
      <c r="FG237" s="458"/>
      <c r="FH237" s="458"/>
      <c r="FI237" s="458"/>
      <c r="FJ237" s="458"/>
      <c r="FK237" s="458"/>
      <c r="FL237" s="458"/>
      <c r="FM237" s="458"/>
      <c r="FN237" s="458"/>
      <c r="FO237" s="458"/>
      <c r="FP237" s="458"/>
      <c r="FQ237" s="458"/>
      <c r="FR237" s="458"/>
      <c r="FS237" s="458"/>
      <c r="FT237" s="458"/>
      <c r="FU237" s="458"/>
      <c r="FV237" s="458"/>
      <c r="FW237" s="458"/>
      <c r="FX237" s="458"/>
      <c r="FY237" s="458"/>
      <c r="FZ237" s="458"/>
      <c r="GA237" s="458"/>
      <c r="GB237" s="458"/>
      <c r="GC237" s="458"/>
      <c r="GD237" s="458"/>
      <c r="GE237" s="458"/>
      <c r="GF237" s="458"/>
      <c r="GG237" s="458"/>
      <c r="GH237" s="458"/>
      <c r="GI237" s="458"/>
      <c r="GJ237" s="458"/>
      <c r="GK237" s="458"/>
      <c r="GL237" s="458"/>
      <c r="GM237" s="458"/>
      <c r="GN237" s="458"/>
      <c r="GO237" s="458"/>
      <c r="GP237" s="458"/>
      <c r="GQ237" s="458"/>
      <c r="GR237" s="458"/>
      <c r="GS237" s="458"/>
      <c r="GT237" s="458"/>
      <c r="GU237" s="458"/>
      <c r="GV237" s="458"/>
      <c r="GW237" s="458"/>
      <c r="GX237" s="458"/>
      <c r="GY237" s="458"/>
      <c r="GZ237" s="458"/>
      <c r="HA237" s="458"/>
      <c r="HB237" s="458"/>
      <c r="HC237" s="458"/>
      <c r="HD237" s="458"/>
      <c r="HE237" s="458"/>
      <c r="HF237" s="458"/>
      <c r="HG237" s="458"/>
      <c r="HH237" s="458"/>
      <c r="HI237" s="458"/>
      <c r="HJ237" s="458"/>
      <c r="HK237" s="458"/>
      <c r="HL237" s="458"/>
      <c r="HM237" s="458"/>
      <c r="HN237" s="458"/>
      <c r="HO237" s="458"/>
      <c r="HP237" s="458"/>
      <c r="HQ237" s="458"/>
      <c r="HR237" s="458"/>
      <c r="HS237" s="458"/>
      <c r="HT237" s="458"/>
      <c r="HU237" s="458"/>
      <c r="HV237" s="458"/>
      <c r="HW237" s="458"/>
      <c r="HX237" s="458"/>
      <c r="HY237" s="458"/>
      <c r="HZ237" s="458"/>
      <c r="IA237" s="458"/>
      <c r="IB237" s="458"/>
      <c r="IC237" s="458"/>
      <c r="ID237" s="458"/>
      <c r="IE237" s="458"/>
      <c r="IF237" s="458"/>
      <c r="IG237" s="458"/>
      <c r="IH237" s="458"/>
      <c r="II237" s="458"/>
      <c r="IJ237" s="458"/>
      <c r="IK237" s="458"/>
      <c r="IL237" s="458"/>
      <c r="IM237" s="458"/>
      <c r="IN237" s="458"/>
      <c r="IO237" s="458"/>
      <c r="IP237" s="458"/>
      <c r="IQ237" s="458"/>
      <c r="IR237" s="458"/>
      <c r="IS237" s="458"/>
    </row>
    <row r="238" spans="1:253" s="455" customFormat="1" ht="45" x14ac:dyDescent="0.2">
      <c r="A238" s="444">
        <v>2899</v>
      </c>
      <c r="B238" s="445" t="s">
        <v>51</v>
      </c>
      <c r="C238" s="445" t="s">
        <v>52</v>
      </c>
      <c r="D238" s="445" t="s">
        <v>91</v>
      </c>
      <c r="E238" s="445"/>
      <c r="F238" s="445"/>
      <c r="G238" s="446">
        <v>104</v>
      </c>
      <c r="H238" s="445">
        <v>52</v>
      </c>
      <c r="I238" s="445"/>
      <c r="J238" s="445">
        <v>2</v>
      </c>
      <c r="K238" s="447">
        <v>2</v>
      </c>
      <c r="L238" s="445"/>
      <c r="M238" s="445">
        <v>3</v>
      </c>
      <c r="N238" s="445" t="s">
        <v>202</v>
      </c>
      <c r="O238" s="449" t="s">
        <v>1243</v>
      </c>
      <c r="P238" s="450">
        <v>0.90300000000000002</v>
      </c>
      <c r="Q238" s="451">
        <f t="shared" si="5"/>
        <v>0.90300000000000002</v>
      </c>
      <c r="R238" s="451">
        <f>SUMIF('Wege im Detail'!$A:$A,"2899",'Wege im Detail'!$P:$P)</f>
        <v>3.3039999999999998</v>
      </c>
      <c r="S238" s="452" t="s">
        <v>1242</v>
      </c>
      <c r="T238" s="453">
        <v>43282</v>
      </c>
      <c r="U238" s="448"/>
      <c r="W238" s="448"/>
      <c r="X238" s="458"/>
      <c r="Y238" s="458"/>
      <c r="Z238" s="458"/>
      <c r="AA238" s="458"/>
      <c r="AB238" s="458"/>
      <c r="AC238" s="458"/>
      <c r="AD238" s="458"/>
      <c r="AE238" s="458"/>
      <c r="AF238" s="458"/>
      <c r="AG238" s="458"/>
      <c r="AH238" s="458"/>
      <c r="AI238" s="458"/>
      <c r="AJ238" s="458"/>
      <c r="AK238" s="458"/>
      <c r="AL238" s="458"/>
      <c r="AM238" s="458"/>
      <c r="AN238" s="458"/>
      <c r="AO238" s="458"/>
      <c r="AP238" s="458"/>
      <c r="AQ238" s="458"/>
      <c r="AR238" s="458"/>
      <c r="AS238" s="458"/>
      <c r="AT238" s="458"/>
      <c r="AU238" s="458"/>
      <c r="AV238" s="458"/>
      <c r="AW238" s="458"/>
      <c r="AX238" s="458"/>
      <c r="AY238" s="458"/>
      <c r="AZ238" s="458"/>
      <c r="BA238" s="458"/>
      <c r="BB238" s="458"/>
      <c r="BC238" s="458"/>
      <c r="BD238" s="458"/>
      <c r="BE238" s="458"/>
      <c r="BF238" s="458"/>
      <c r="BG238" s="458"/>
      <c r="BH238" s="458"/>
      <c r="BI238" s="458"/>
      <c r="BJ238" s="458"/>
      <c r="BK238" s="458"/>
      <c r="BL238" s="458"/>
      <c r="BM238" s="458"/>
      <c r="BN238" s="458"/>
      <c r="BO238" s="458"/>
      <c r="BP238" s="458"/>
      <c r="BQ238" s="458"/>
      <c r="BR238" s="458"/>
      <c r="BS238" s="458"/>
      <c r="BT238" s="458"/>
      <c r="BU238" s="458"/>
      <c r="BV238" s="458"/>
      <c r="BW238" s="458"/>
      <c r="BX238" s="458"/>
      <c r="BY238" s="458"/>
      <c r="BZ238" s="458"/>
      <c r="CA238" s="458"/>
      <c r="CB238" s="458"/>
      <c r="CC238" s="458"/>
      <c r="CD238" s="458"/>
      <c r="CE238" s="458"/>
      <c r="CF238" s="458"/>
      <c r="CG238" s="458"/>
      <c r="CH238" s="458"/>
      <c r="CI238" s="458"/>
      <c r="CJ238" s="458"/>
      <c r="CK238" s="458"/>
      <c r="CL238" s="458"/>
      <c r="CM238" s="458"/>
      <c r="CN238" s="458"/>
      <c r="CO238" s="458"/>
      <c r="CP238" s="458"/>
      <c r="CQ238" s="458"/>
      <c r="CR238" s="458"/>
      <c r="CS238" s="458"/>
      <c r="CT238" s="458"/>
      <c r="CU238" s="458"/>
      <c r="CV238" s="458"/>
      <c r="CW238" s="458"/>
      <c r="CX238" s="458"/>
      <c r="CY238" s="458"/>
      <c r="CZ238" s="458"/>
      <c r="DA238" s="458"/>
      <c r="DB238" s="458"/>
      <c r="DC238" s="458"/>
      <c r="DD238" s="458"/>
      <c r="DE238" s="458"/>
      <c r="DF238" s="458"/>
      <c r="DG238" s="458"/>
      <c r="DH238" s="458"/>
      <c r="DI238" s="458"/>
      <c r="DJ238" s="458"/>
      <c r="DK238" s="458"/>
      <c r="DL238" s="458"/>
      <c r="DM238" s="458"/>
      <c r="DN238" s="458"/>
      <c r="DO238" s="458"/>
      <c r="DP238" s="458"/>
      <c r="DQ238" s="458"/>
      <c r="DR238" s="458"/>
      <c r="DS238" s="458"/>
      <c r="DT238" s="458"/>
      <c r="DU238" s="458"/>
      <c r="DV238" s="458"/>
      <c r="DW238" s="458"/>
      <c r="DX238" s="458"/>
      <c r="DY238" s="458"/>
      <c r="DZ238" s="458"/>
      <c r="EA238" s="458"/>
      <c r="EB238" s="458"/>
      <c r="EC238" s="458"/>
      <c r="ED238" s="458"/>
      <c r="EE238" s="458"/>
      <c r="EF238" s="458"/>
      <c r="EG238" s="458"/>
      <c r="EH238" s="458"/>
      <c r="EI238" s="458"/>
      <c r="EJ238" s="458"/>
      <c r="EK238" s="458"/>
      <c r="EL238" s="458"/>
      <c r="EM238" s="458"/>
      <c r="EN238" s="458"/>
      <c r="EO238" s="458"/>
      <c r="EP238" s="458"/>
      <c r="EQ238" s="458"/>
      <c r="ER238" s="458"/>
      <c r="ES238" s="458"/>
      <c r="ET238" s="458"/>
      <c r="EU238" s="458"/>
      <c r="EV238" s="458"/>
      <c r="EW238" s="458"/>
      <c r="EX238" s="458"/>
      <c r="EY238" s="458"/>
      <c r="EZ238" s="458"/>
      <c r="FA238" s="458"/>
      <c r="FB238" s="458"/>
      <c r="FC238" s="458"/>
      <c r="FD238" s="458"/>
      <c r="FE238" s="458"/>
      <c r="FF238" s="458"/>
      <c r="FG238" s="458"/>
      <c r="FH238" s="458"/>
      <c r="FI238" s="458"/>
      <c r="FJ238" s="458"/>
      <c r="FK238" s="458"/>
      <c r="FL238" s="458"/>
      <c r="FM238" s="458"/>
      <c r="FN238" s="458"/>
      <c r="FO238" s="458"/>
      <c r="FP238" s="458"/>
      <c r="FQ238" s="458"/>
      <c r="FR238" s="458"/>
      <c r="FS238" s="458"/>
      <c r="FT238" s="458"/>
      <c r="FU238" s="458"/>
      <c r="FV238" s="458"/>
      <c r="FW238" s="458"/>
      <c r="FX238" s="458"/>
      <c r="FY238" s="458"/>
      <c r="FZ238" s="458"/>
      <c r="GA238" s="458"/>
      <c r="GB238" s="458"/>
      <c r="GC238" s="458"/>
      <c r="GD238" s="458"/>
      <c r="GE238" s="458"/>
      <c r="GF238" s="458"/>
      <c r="GG238" s="458"/>
      <c r="GH238" s="458"/>
      <c r="GI238" s="458"/>
      <c r="GJ238" s="458"/>
      <c r="GK238" s="458"/>
      <c r="GL238" s="458"/>
      <c r="GM238" s="458"/>
      <c r="GN238" s="458"/>
      <c r="GO238" s="458"/>
      <c r="GP238" s="458"/>
      <c r="GQ238" s="458"/>
      <c r="GR238" s="458"/>
      <c r="GS238" s="458"/>
      <c r="GT238" s="458"/>
      <c r="GU238" s="458"/>
      <c r="GV238" s="458"/>
      <c r="GW238" s="458"/>
      <c r="GX238" s="458"/>
      <c r="GY238" s="458"/>
      <c r="GZ238" s="458"/>
      <c r="HA238" s="458"/>
      <c r="HB238" s="458"/>
      <c r="HC238" s="458"/>
      <c r="HD238" s="458"/>
      <c r="HE238" s="458"/>
      <c r="HF238" s="458"/>
      <c r="HG238" s="458"/>
      <c r="HH238" s="458"/>
      <c r="HI238" s="458"/>
      <c r="HJ238" s="458"/>
      <c r="HK238" s="458"/>
      <c r="HL238" s="458"/>
      <c r="HM238" s="458"/>
      <c r="HN238" s="458"/>
      <c r="HO238" s="458"/>
      <c r="HP238" s="458"/>
      <c r="HQ238" s="458"/>
      <c r="HR238" s="458"/>
      <c r="HS238" s="458"/>
      <c r="HT238" s="458"/>
      <c r="HU238" s="458"/>
      <c r="HV238" s="458"/>
      <c r="HW238" s="458"/>
      <c r="HX238" s="458"/>
      <c r="HY238" s="458"/>
      <c r="HZ238" s="458"/>
      <c r="IA238" s="458"/>
      <c r="IB238" s="458"/>
      <c r="IC238" s="458"/>
      <c r="ID238" s="458"/>
      <c r="IE238" s="458"/>
      <c r="IF238" s="458"/>
      <c r="IG238" s="458"/>
      <c r="IH238" s="458"/>
      <c r="II238" s="458"/>
      <c r="IJ238" s="458"/>
      <c r="IK238" s="458"/>
      <c r="IL238" s="458"/>
      <c r="IM238" s="458"/>
      <c r="IN238" s="458"/>
      <c r="IO238" s="458"/>
      <c r="IP238" s="458"/>
      <c r="IQ238" s="458"/>
      <c r="IR238" s="458"/>
      <c r="IS238" s="458"/>
    </row>
    <row r="239" spans="1:253" s="455" customFormat="1" ht="45" x14ac:dyDescent="0.2">
      <c r="A239" s="444">
        <v>2913</v>
      </c>
      <c r="B239" s="445" t="s">
        <v>51</v>
      </c>
      <c r="C239" s="445" t="s">
        <v>52</v>
      </c>
      <c r="D239" s="445" t="s">
        <v>91</v>
      </c>
      <c r="E239" s="445"/>
      <c r="F239" s="479"/>
      <c r="G239" s="446">
        <v>65</v>
      </c>
      <c r="H239" s="445">
        <v>55</v>
      </c>
      <c r="I239" s="445"/>
      <c r="J239" s="445">
        <v>1</v>
      </c>
      <c r="K239" s="447">
        <v>3</v>
      </c>
      <c r="L239" s="445"/>
      <c r="M239" s="445">
        <v>3</v>
      </c>
      <c r="N239" s="445" t="s">
        <v>206</v>
      </c>
      <c r="O239" s="449" t="s">
        <v>1244</v>
      </c>
      <c r="P239" s="450">
        <v>3.79</v>
      </c>
      <c r="Q239" s="451">
        <f t="shared" si="5"/>
        <v>3.79</v>
      </c>
      <c r="R239" s="451">
        <f>SUMIF('Wege im Detail'!$A:$A,"2913",'Wege im Detail'!$P:$P)</f>
        <v>5.8980000000000006</v>
      </c>
      <c r="S239" s="452" t="s">
        <v>1245</v>
      </c>
      <c r="T239" s="453">
        <v>43282</v>
      </c>
      <c r="U239" s="448"/>
      <c r="V239" s="458"/>
      <c r="W239" s="448"/>
      <c r="X239" s="458"/>
      <c r="Y239" s="458"/>
      <c r="Z239" s="458"/>
      <c r="AA239" s="458"/>
      <c r="AB239" s="458"/>
      <c r="AC239" s="458"/>
      <c r="AD239" s="458"/>
      <c r="AE239" s="458"/>
      <c r="AF239" s="458"/>
      <c r="AG239" s="458"/>
      <c r="AH239" s="458"/>
      <c r="AI239" s="458"/>
      <c r="AJ239" s="458"/>
      <c r="AK239" s="458"/>
      <c r="AL239" s="458"/>
      <c r="AM239" s="458"/>
      <c r="AN239" s="458"/>
      <c r="AO239" s="458"/>
      <c r="AP239" s="458"/>
      <c r="AQ239" s="458"/>
      <c r="AR239" s="458"/>
      <c r="AS239" s="458"/>
      <c r="AT239" s="458"/>
      <c r="AU239" s="458"/>
      <c r="AV239" s="458"/>
      <c r="AW239" s="458"/>
      <c r="AX239" s="458"/>
      <c r="AY239" s="458"/>
      <c r="AZ239" s="458"/>
      <c r="BA239" s="458"/>
      <c r="BB239" s="458"/>
      <c r="BC239" s="458"/>
      <c r="BD239" s="458"/>
      <c r="BE239" s="458"/>
      <c r="BF239" s="458"/>
      <c r="BG239" s="458"/>
      <c r="BH239" s="458"/>
      <c r="BI239" s="458"/>
      <c r="BJ239" s="458"/>
      <c r="BK239" s="458"/>
      <c r="BL239" s="458"/>
      <c r="BM239" s="458"/>
      <c r="BN239" s="458"/>
      <c r="BO239" s="458"/>
      <c r="BP239" s="458"/>
      <c r="BQ239" s="458"/>
      <c r="BR239" s="458"/>
      <c r="BS239" s="458"/>
      <c r="BT239" s="458"/>
      <c r="BU239" s="458"/>
      <c r="BV239" s="458"/>
      <c r="BW239" s="458"/>
      <c r="BX239" s="458"/>
      <c r="BY239" s="458"/>
      <c r="BZ239" s="458"/>
      <c r="CA239" s="458"/>
      <c r="CB239" s="458"/>
      <c r="CC239" s="458"/>
      <c r="CD239" s="458"/>
      <c r="CE239" s="458"/>
      <c r="CF239" s="458"/>
      <c r="CG239" s="458"/>
      <c r="CH239" s="458"/>
      <c r="CI239" s="458"/>
      <c r="CJ239" s="458"/>
      <c r="CK239" s="458"/>
      <c r="CL239" s="458"/>
      <c r="CM239" s="458"/>
      <c r="CN239" s="458"/>
      <c r="CO239" s="458"/>
      <c r="CP239" s="458"/>
      <c r="CQ239" s="458"/>
      <c r="CR239" s="458"/>
      <c r="CS239" s="458"/>
      <c r="CT239" s="458"/>
      <c r="CU239" s="458"/>
      <c r="CV239" s="458"/>
      <c r="CW239" s="458"/>
      <c r="CX239" s="458"/>
      <c r="CY239" s="458"/>
      <c r="CZ239" s="458"/>
      <c r="DA239" s="458"/>
      <c r="DB239" s="458"/>
      <c r="DC239" s="458"/>
      <c r="DD239" s="458"/>
      <c r="DE239" s="458"/>
      <c r="DF239" s="458"/>
      <c r="DG239" s="458"/>
      <c r="DH239" s="458"/>
      <c r="DI239" s="458"/>
      <c r="DJ239" s="458"/>
      <c r="DK239" s="458"/>
      <c r="DL239" s="458"/>
      <c r="DM239" s="458"/>
      <c r="DN239" s="458"/>
      <c r="DO239" s="458"/>
      <c r="DP239" s="458"/>
      <c r="DQ239" s="458"/>
      <c r="DR239" s="458"/>
      <c r="DS239" s="458"/>
      <c r="DT239" s="458"/>
      <c r="DU239" s="458"/>
      <c r="DV239" s="458"/>
      <c r="DW239" s="458"/>
      <c r="DX239" s="458"/>
      <c r="DY239" s="458"/>
      <c r="DZ239" s="458"/>
      <c r="EA239" s="458"/>
      <c r="EB239" s="458"/>
      <c r="EC239" s="458"/>
      <c r="ED239" s="458"/>
      <c r="EE239" s="458"/>
      <c r="EF239" s="458"/>
      <c r="EG239" s="458"/>
      <c r="EH239" s="458"/>
      <c r="EI239" s="458"/>
      <c r="EJ239" s="458"/>
      <c r="EK239" s="458"/>
      <c r="EL239" s="458"/>
      <c r="EM239" s="458"/>
      <c r="EN239" s="458"/>
      <c r="EO239" s="458"/>
      <c r="EP239" s="458"/>
      <c r="EQ239" s="458"/>
      <c r="ER239" s="458"/>
      <c r="ES239" s="458"/>
      <c r="ET239" s="458"/>
      <c r="EU239" s="458"/>
      <c r="EV239" s="458"/>
      <c r="EW239" s="458"/>
      <c r="EX239" s="458"/>
      <c r="EY239" s="458"/>
      <c r="EZ239" s="458"/>
      <c r="FA239" s="458"/>
      <c r="FB239" s="458"/>
      <c r="FC239" s="458"/>
      <c r="FD239" s="458"/>
      <c r="FE239" s="458"/>
      <c r="FF239" s="458"/>
      <c r="FG239" s="458"/>
      <c r="FH239" s="458"/>
      <c r="FI239" s="458"/>
      <c r="FJ239" s="458"/>
      <c r="FK239" s="458"/>
      <c r="FL239" s="458"/>
      <c r="FM239" s="458"/>
      <c r="FN239" s="458"/>
      <c r="FO239" s="458"/>
      <c r="FP239" s="458"/>
      <c r="FQ239" s="458"/>
      <c r="FR239" s="458"/>
      <c r="FS239" s="458"/>
      <c r="FT239" s="458"/>
      <c r="FU239" s="458"/>
      <c r="FV239" s="458"/>
      <c r="FW239" s="458"/>
      <c r="FX239" s="458"/>
      <c r="FY239" s="458"/>
      <c r="FZ239" s="458"/>
      <c r="GA239" s="458"/>
      <c r="GB239" s="458"/>
      <c r="GC239" s="458"/>
      <c r="GD239" s="458"/>
      <c r="GE239" s="458"/>
      <c r="GF239" s="458"/>
      <c r="GG239" s="458"/>
      <c r="GH239" s="458"/>
      <c r="GI239" s="458"/>
      <c r="GJ239" s="458"/>
      <c r="GK239" s="458"/>
      <c r="GL239" s="458"/>
      <c r="GM239" s="458"/>
      <c r="GN239" s="458"/>
      <c r="GO239" s="458"/>
      <c r="GP239" s="458"/>
      <c r="GQ239" s="458"/>
      <c r="GR239" s="458"/>
      <c r="GS239" s="458"/>
      <c r="GT239" s="458"/>
      <c r="GU239" s="458"/>
      <c r="GV239" s="458"/>
      <c r="GW239" s="458"/>
      <c r="GX239" s="458"/>
      <c r="GY239" s="458"/>
      <c r="GZ239" s="458"/>
      <c r="HA239" s="458"/>
      <c r="HB239" s="458"/>
      <c r="HC239" s="458"/>
      <c r="HD239" s="458"/>
      <c r="HE239" s="458"/>
      <c r="HF239" s="458"/>
      <c r="HG239" s="458"/>
      <c r="HH239" s="458"/>
      <c r="HI239" s="458"/>
      <c r="HJ239" s="458"/>
      <c r="HK239" s="458"/>
      <c r="HL239" s="458"/>
      <c r="HM239" s="458"/>
      <c r="HN239" s="458"/>
      <c r="HO239" s="458"/>
      <c r="HP239" s="458"/>
      <c r="HQ239" s="458"/>
      <c r="HR239" s="458"/>
      <c r="HS239" s="458"/>
      <c r="HT239" s="458"/>
      <c r="HU239" s="458"/>
      <c r="HV239" s="458"/>
      <c r="HW239" s="458"/>
      <c r="HX239" s="458"/>
      <c r="HY239" s="458"/>
      <c r="HZ239" s="458"/>
      <c r="IA239" s="458"/>
      <c r="IB239" s="458"/>
      <c r="IC239" s="458"/>
      <c r="ID239" s="458"/>
      <c r="IE239" s="458"/>
      <c r="IF239" s="458"/>
      <c r="IG239" s="458"/>
      <c r="IH239" s="458"/>
      <c r="II239" s="458"/>
      <c r="IJ239" s="458"/>
      <c r="IK239" s="458"/>
      <c r="IL239" s="458"/>
      <c r="IM239" s="458"/>
      <c r="IN239" s="458"/>
      <c r="IO239" s="458"/>
      <c r="IP239" s="458"/>
      <c r="IQ239" s="458"/>
      <c r="IR239" s="458"/>
      <c r="IS239" s="458"/>
    </row>
    <row r="240" spans="1:253" s="455" customFormat="1" ht="45" x14ac:dyDescent="0.2">
      <c r="A240" s="444">
        <v>2913</v>
      </c>
      <c r="B240" s="445" t="s">
        <v>51</v>
      </c>
      <c r="C240" s="445" t="s">
        <v>52</v>
      </c>
      <c r="D240" s="445" t="s">
        <v>91</v>
      </c>
      <c r="E240" s="445"/>
      <c r="F240" s="479"/>
      <c r="G240" s="446">
        <v>65</v>
      </c>
      <c r="H240" s="445">
        <v>55</v>
      </c>
      <c r="I240" s="445"/>
      <c r="J240" s="445">
        <v>2</v>
      </c>
      <c r="K240" s="447">
        <v>3</v>
      </c>
      <c r="L240" s="445"/>
      <c r="M240" s="445">
        <v>3</v>
      </c>
      <c r="N240" s="445" t="s">
        <v>299</v>
      </c>
      <c r="O240" s="449" t="s">
        <v>1246</v>
      </c>
      <c r="P240" s="450">
        <v>1.4339999999999999</v>
      </c>
      <c r="Q240" s="451">
        <f t="shared" si="5"/>
        <v>1.4339999999999999</v>
      </c>
      <c r="R240" s="451">
        <f>SUMIF('Wege im Detail'!$A:$A,"2913",'Wege im Detail'!$P:$P)</f>
        <v>5.8980000000000006</v>
      </c>
      <c r="S240" s="452" t="s">
        <v>1245</v>
      </c>
      <c r="T240" s="453">
        <v>43282</v>
      </c>
      <c r="U240" s="448"/>
      <c r="V240" s="458"/>
      <c r="W240" s="448"/>
      <c r="X240" s="458"/>
      <c r="Y240" s="458"/>
      <c r="Z240" s="458"/>
      <c r="AA240" s="458"/>
      <c r="AB240" s="458"/>
      <c r="AC240" s="458"/>
      <c r="AD240" s="458"/>
      <c r="AE240" s="458"/>
      <c r="AF240" s="458"/>
      <c r="AG240" s="458"/>
      <c r="AH240" s="458"/>
      <c r="AI240" s="458"/>
      <c r="AJ240" s="458"/>
      <c r="AK240" s="458"/>
      <c r="AL240" s="458"/>
      <c r="AM240" s="458"/>
      <c r="AN240" s="458"/>
      <c r="AO240" s="458"/>
      <c r="AP240" s="458"/>
      <c r="AQ240" s="458"/>
      <c r="AR240" s="458"/>
      <c r="AS240" s="458"/>
      <c r="AT240" s="458"/>
      <c r="AU240" s="458"/>
      <c r="AV240" s="458"/>
      <c r="AW240" s="458"/>
      <c r="AX240" s="458"/>
      <c r="AY240" s="458"/>
      <c r="AZ240" s="458"/>
      <c r="BA240" s="458"/>
      <c r="BB240" s="458"/>
      <c r="BC240" s="458"/>
      <c r="BD240" s="458"/>
      <c r="BE240" s="458"/>
      <c r="BF240" s="458"/>
      <c r="BG240" s="458"/>
      <c r="BH240" s="458"/>
      <c r="BI240" s="458"/>
      <c r="BJ240" s="458"/>
      <c r="BK240" s="458"/>
      <c r="BL240" s="458"/>
      <c r="BM240" s="458"/>
      <c r="BN240" s="458"/>
      <c r="BO240" s="458"/>
      <c r="BP240" s="458"/>
      <c r="BQ240" s="458"/>
      <c r="BR240" s="458"/>
      <c r="BS240" s="458"/>
      <c r="BT240" s="458"/>
      <c r="BU240" s="458"/>
      <c r="BV240" s="458"/>
      <c r="BW240" s="458"/>
      <c r="BX240" s="458"/>
      <c r="BY240" s="458"/>
      <c r="BZ240" s="458"/>
      <c r="CA240" s="458"/>
      <c r="CB240" s="458"/>
      <c r="CC240" s="458"/>
      <c r="CD240" s="458"/>
      <c r="CE240" s="458"/>
      <c r="CF240" s="458"/>
      <c r="CG240" s="458"/>
      <c r="CH240" s="458"/>
      <c r="CI240" s="458"/>
      <c r="CJ240" s="458"/>
      <c r="CK240" s="458"/>
      <c r="CL240" s="458"/>
      <c r="CM240" s="458"/>
      <c r="CN240" s="458"/>
      <c r="CO240" s="458"/>
      <c r="CP240" s="458"/>
      <c r="CQ240" s="458"/>
      <c r="CR240" s="458"/>
      <c r="CS240" s="458"/>
      <c r="CT240" s="458"/>
      <c r="CU240" s="458"/>
      <c r="CV240" s="458"/>
      <c r="CW240" s="458"/>
      <c r="CX240" s="458"/>
      <c r="CY240" s="458"/>
      <c r="CZ240" s="458"/>
      <c r="DA240" s="458"/>
      <c r="DB240" s="458"/>
      <c r="DC240" s="458"/>
      <c r="DD240" s="458"/>
      <c r="DE240" s="458"/>
      <c r="DF240" s="458"/>
      <c r="DG240" s="458"/>
      <c r="DH240" s="458"/>
      <c r="DI240" s="458"/>
      <c r="DJ240" s="458"/>
      <c r="DK240" s="458"/>
      <c r="DL240" s="458"/>
      <c r="DM240" s="458"/>
      <c r="DN240" s="458"/>
      <c r="DO240" s="458"/>
      <c r="DP240" s="458"/>
      <c r="DQ240" s="458"/>
      <c r="DR240" s="458"/>
      <c r="DS240" s="458"/>
      <c r="DT240" s="458"/>
      <c r="DU240" s="458"/>
      <c r="DV240" s="458"/>
      <c r="DW240" s="458"/>
      <c r="DX240" s="458"/>
      <c r="DY240" s="458"/>
      <c r="DZ240" s="458"/>
      <c r="EA240" s="458"/>
      <c r="EB240" s="458"/>
      <c r="EC240" s="458"/>
      <c r="ED240" s="458"/>
      <c r="EE240" s="458"/>
      <c r="EF240" s="458"/>
      <c r="EG240" s="458"/>
      <c r="EH240" s="458"/>
      <c r="EI240" s="458"/>
      <c r="EJ240" s="458"/>
      <c r="EK240" s="458"/>
      <c r="EL240" s="458"/>
      <c r="EM240" s="458"/>
      <c r="EN240" s="458"/>
      <c r="EO240" s="458"/>
      <c r="EP240" s="458"/>
      <c r="EQ240" s="458"/>
      <c r="ER240" s="458"/>
      <c r="ES240" s="458"/>
      <c r="ET240" s="458"/>
      <c r="EU240" s="458"/>
      <c r="EV240" s="458"/>
      <c r="EW240" s="458"/>
      <c r="EX240" s="458"/>
      <c r="EY240" s="458"/>
      <c r="EZ240" s="458"/>
      <c r="FA240" s="458"/>
      <c r="FB240" s="458"/>
      <c r="FC240" s="458"/>
      <c r="FD240" s="458"/>
      <c r="FE240" s="458"/>
      <c r="FF240" s="458"/>
      <c r="FG240" s="458"/>
      <c r="FH240" s="458"/>
      <c r="FI240" s="458"/>
      <c r="FJ240" s="458"/>
      <c r="FK240" s="458"/>
      <c r="FL240" s="458"/>
      <c r="FM240" s="458"/>
      <c r="FN240" s="458"/>
      <c r="FO240" s="458"/>
      <c r="FP240" s="458"/>
      <c r="FQ240" s="458"/>
      <c r="FR240" s="458"/>
      <c r="FS240" s="458"/>
      <c r="FT240" s="458"/>
      <c r="FU240" s="458"/>
      <c r="FV240" s="458"/>
      <c r="FW240" s="458"/>
      <c r="FX240" s="458"/>
      <c r="FY240" s="458"/>
      <c r="FZ240" s="458"/>
      <c r="GA240" s="458"/>
      <c r="GB240" s="458"/>
      <c r="GC240" s="458"/>
      <c r="GD240" s="458"/>
      <c r="GE240" s="458"/>
      <c r="GF240" s="458"/>
      <c r="GG240" s="458"/>
      <c r="GH240" s="458"/>
      <c r="GI240" s="458"/>
      <c r="GJ240" s="458"/>
      <c r="GK240" s="458"/>
      <c r="GL240" s="458"/>
      <c r="GM240" s="458"/>
      <c r="GN240" s="458"/>
      <c r="GO240" s="458"/>
      <c r="GP240" s="458"/>
      <c r="GQ240" s="458"/>
      <c r="GR240" s="458"/>
      <c r="GS240" s="458"/>
      <c r="GT240" s="458"/>
      <c r="GU240" s="458"/>
      <c r="GV240" s="458"/>
      <c r="GW240" s="458"/>
      <c r="GX240" s="458"/>
      <c r="GY240" s="458"/>
      <c r="GZ240" s="458"/>
      <c r="HA240" s="458"/>
      <c r="HB240" s="458"/>
      <c r="HC240" s="458"/>
      <c r="HD240" s="458"/>
      <c r="HE240" s="458"/>
      <c r="HF240" s="458"/>
      <c r="HG240" s="458"/>
      <c r="HH240" s="458"/>
      <c r="HI240" s="458"/>
      <c r="HJ240" s="458"/>
      <c r="HK240" s="458"/>
      <c r="HL240" s="458"/>
      <c r="HM240" s="458"/>
      <c r="HN240" s="458"/>
      <c r="HO240" s="458"/>
      <c r="HP240" s="458"/>
      <c r="HQ240" s="458"/>
      <c r="HR240" s="458"/>
      <c r="HS240" s="458"/>
      <c r="HT240" s="458"/>
      <c r="HU240" s="458"/>
      <c r="HV240" s="458"/>
      <c r="HW240" s="458"/>
      <c r="HX240" s="458"/>
      <c r="HY240" s="458"/>
      <c r="HZ240" s="458"/>
      <c r="IA240" s="458"/>
      <c r="IB240" s="458"/>
      <c r="IC240" s="458"/>
      <c r="ID240" s="458"/>
      <c r="IE240" s="458"/>
      <c r="IF240" s="458"/>
      <c r="IG240" s="458"/>
      <c r="IH240" s="458"/>
      <c r="II240" s="458"/>
      <c r="IJ240" s="458"/>
      <c r="IK240" s="458"/>
      <c r="IL240" s="458"/>
      <c r="IM240" s="458"/>
      <c r="IN240" s="458"/>
      <c r="IO240" s="458"/>
      <c r="IP240" s="458"/>
      <c r="IQ240" s="458"/>
      <c r="IR240" s="458"/>
      <c r="IS240" s="458"/>
    </row>
    <row r="241" spans="1:253" s="458" customFormat="1" ht="45" x14ac:dyDescent="0.2">
      <c r="A241" s="444">
        <v>2913</v>
      </c>
      <c r="B241" s="445" t="s">
        <v>51</v>
      </c>
      <c r="C241" s="445" t="s">
        <v>52</v>
      </c>
      <c r="D241" s="445" t="s">
        <v>91</v>
      </c>
      <c r="E241" s="445"/>
      <c r="F241" s="479"/>
      <c r="G241" s="446">
        <v>65</v>
      </c>
      <c r="H241" s="445">
        <v>55</v>
      </c>
      <c r="I241" s="445"/>
      <c r="J241" s="445">
        <v>3</v>
      </c>
      <c r="K241" s="447">
        <v>3</v>
      </c>
      <c r="L241" s="445"/>
      <c r="M241" s="445">
        <v>3</v>
      </c>
      <c r="N241" s="445" t="s">
        <v>187</v>
      </c>
      <c r="O241" s="449" t="s">
        <v>1247</v>
      </c>
      <c r="P241" s="450">
        <v>0.67400000000000004</v>
      </c>
      <c r="Q241" s="451">
        <f t="shared" si="5"/>
        <v>0.67400000000000004</v>
      </c>
      <c r="R241" s="451">
        <f>SUMIF('Wege im Detail'!$A:$A,"2913",'Wege im Detail'!$P:$P)</f>
        <v>5.8980000000000006</v>
      </c>
      <c r="S241" s="452" t="s">
        <v>1245</v>
      </c>
      <c r="T241" s="453">
        <v>43282</v>
      </c>
      <c r="U241" s="448"/>
      <c r="W241" s="448"/>
      <c r="X241" s="455"/>
      <c r="Y241" s="455"/>
      <c r="Z241" s="455"/>
      <c r="AA241" s="455"/>
      <c r="AB241" s="455"/>
      <c r="AC241" s="455"/>
      <c r="AD241" s="455"/>
      <c r="AE241" s="455"/>
      <c r="AF241" s="455"/>
      <c r="AG241" s="455"/>
      <c r="AH241" s="455"/>
      <c r="AI241" s="455"/>
      <c r="AJ241" s="455"/>
      <c r="AK241" s="455"/>
      <c r="AL241" s="455"/>
      <c r="AM241" s="455"/>
      <c r="AN241" s="455"/>
      <c r="AO241" s="455"/>
      <c r="AP241" s="455"/>
      <c r="AQ241" s="455"/>
      <c r="AR241" s="455"/>
      <c r="AS241" s="455"/>
      <c r="AT241" s="455"/>
      <c r="AU241" s="455"/>
      <c r="AV241" s="455"/>
      <c r="AW241" s="455"/>
      <c r="AX241" s="455"/>
      <c r="AY241" s="455"/>
      <c r="AZ241" s="455"/>
      <c r="BA241" s="455"/>
      <c r="BB241" s="455"/>
      <c r="BC241" s="455"/>
      <c r="BD241" s="455"/>
      <c r="BE241" s="455"/>
      <c r="BF241" s="455"/>
      <c r="BG241" s="455"/>
      <c r="BH241" s="455"/>
      <c r="BI241" s="455"/>
      <c r="BJ241" s="455"/>
      <c r="BK241" s="455"/>
      <c r="BL241" s="455"/>
      <c r="BM241" s="455"/>
      <c r="BN241" s="455"/>
      <c r="BO241" s="455"/>
      <c r="BP241" s="455"/>
      <c r="BQ241" s="455"/>
      <c r="BR241" s="455"/>
      <c r="BS241" s="455"/>
      <c r="BT241" s="455"/>
      <c r="BU241" s="455"/>
      <c r="BV241" s="455"/>
      <c r="BW241" s="455"/>
      <c r="BX241" s="455"/>
      <c r="BY241" s="455"/>
      <c r="BZ241" s="455"/>
      <c r="CA241" s="455"/>
      <c r="CB241" s="455"/>
      <c r="CC241" s="455"/>
      <c r="CD241" s="455"/>
      <c r="CE241" s="455"/>
      <c r="CF241" s="455"/>
      <c r="CG241" s="455"/>
      <c r="CH241" s="455"/>
      <c r="CI241" s="455"/>
      <c r="CJ241" s="455"/>
      <c r="CK241" s="455"/>
      <c r="CL241" s="455"/>
      <c r="CM241" s="455"/>
      <c r="CN241" s="455"/>
      <c r="CO241" s="455"/>
      <c r="CP241" s="455"/>
      <c r="CQ241" s="455"/>
      <c r="CR241" s="455"/>
      <c r="CS241" s="455"/>
      <c r="CT241" s="455"/>
      <c r="CU241" s="455"/>
      <c r="CV241" s="455"/>
      <c r="CW241" s="455"/>
      <c r="CX241" s="455"/>
      <c r="CY241" s="455"/>
      <c r="CZ241" s="455"/>
      <c r="DA241" s="455"/>
      <c r="DB241" s="455"/>
      <c r="DC241" s="455"/>
      <c r="DD241" s="455"/>
      <c r="DE241" s="455"/>
      <c r="DF241" s="455"/>
      <c r="DG241" s="455"/>
      <c r="DH241" s="455"/>
      <c r="DI241" s="455"/>
      <c r="DJ241" s="455"/>
      <c r="DK241" s="455"/>
      <c r="DL241" s="455"/>
      <c r="DM241" s="455"/>
      <c r="DN241" s="455"/>
      <c r="DO241" s="455"/>
      <c r="DP241" s="455"/>
      <c r="DQ241" s="455"/>
      <c r="DR241" s="455"/>
      <c r="DS241" s="455"/>
      <c r="DT241" s="455"/>
      <c r="DU241" s="455"/>
      <c r="DV241" s="455"/>
      <c r="DW241" s="455"/>
      <c r="DX241" s="455"/>
      <c r="DY241" s="455"/>
      <c r="DZ241" s="455"/>
      <c r="EA241" s="455"/>
      <c r="EB241" s="455"/>
      <c r="EC241" s="455"/>
      <c r="ED241" s="455"/>
      <c r="EE241" s="455"/>
      <c r="EF241" s="455"/>
      <c r="EG241" s="455"/>
      <c r="EH241" s="455"/>
      <c r="EI241" s="455"/>
      <c r="EJ241" s="455"/>
      <c r="EK241" s="455"/>
      <c r="EL241" s="455"/>
      <c r="EM241" s="455"/>
      <c r="EN241" s="455"/>
      <c r="EO241" s="455"/>
      <c r="EP241" s="455"/>
      <c r="EQ241" s="455"/>
      <c r="ER241" s="455"/>
      <c r="ES241" s="455"/>
      <c r="ET241" s="455"/>
      <c r="EU241" s="455"/>
      <c r="EV241" s="455"/>
      <c r="EW241" s="455"/>
      <c r="EX241" s="455"/>
      <c r="EY241" s="455"/>
      <c r="EZ241" s="455"/>
      <c r="FA241" s="455"/>
      <c r="FB241" s="455"/>
      <c r="FC241" s="455"/>
      <c r="FD241" s="455"/>
      <c r="FE241" s="455"/>
      <c r="FF241" s="455"/>
      <c r="FG241" s="455"/>
      <c r="FH241" s="455"/>
      <c r="FI241" s="455"/>
      <c r="FJ241" s="455"/>
      <c r="FK241" s="455"/>
      <c r="FL241" s="455"/>
      <c r="FM241" s="455"/>
      <c r="FN241" s="455"/>
      <c r="FO241" s="455"/>
      <c r="FP241" s="455"/>
      <c r="FQ241" s="455"/>
      <c r="FR241" s="455"/>
      <c r="FS241" s="455"/>
      <c r="FT241" s="455"/>
      <c r="FU241" s="455"/>
      <c r="FV241" s="455"/>
      <c r="FW241" s="455"/>
      <c r="FX241" s="455"/>
      <c r="FY241" s="455"/>
      <c r="FZ241" s="455"/>
      <c r="GA241" s="455"/>
      <c r="GB241" s="455"/>
      <c r="GC241" s="455"/>
      <c r="GD241" s="455"/>
      <c r="GE241" s="455"/>
      <c r="GF241" s="455"/>
      <c r="GG241" s="455"/>
      <c r="GH241" s="455"/>
      <c r="GI241" s="455"/>
      <c r="GJ241" s="455"/>
      <c r="GK241" s="455"/>
      <c r="GL241" s="455"/>
      <c r="GM241" s="455"/>
      <c r="GN241" s="455"/>
      <c r="GO241" s="455"/>
      <c r="GP241" s="455"/>
      <c r="GQ241" s="455"/>
      <c r="GR241" s="455"/>
      <c r="GS241" s="455"/>
      <c r="GT241" s="455"/>
      <c r="GU241" s="455"/>
      <c r="GV241" s="455"/>
      <c r="GW241" s="455"/>
      <c r="GX241" s="455"/>
      <c r="GY241" s="455"/>
      <c r="GZ241" s="455"/>
      <c r="HA241" s="455"/>
      <c r="HB241" s="455"/>
      <c r="HC241" s="455"/>
      <c r="HD241" s="455"/>
      <c r="HE241" s="455"/>
      <c r="HF241" s="455"/>
      <c r="HG241" s="455"/>
      <c r="HH241" s="455"/>
      <c r="HI241" s="455"/>
      <c r="HJ241" s="455"/>
      <c r="HK241" s="455"/>
      <c r="HL241" s="455"/>
      <c r="HM241" s="455"/>
      <c r="HN241" s="455"/>
      <c r="HO241" s="455"/>
      <c r="HP241" s="455"/>
      <c r="HQ241" s="455"/>
      <c r="HR241" s="455"/>
      <c r="HS241" s="455"/>
      <c r="HT241" s="455"/>
      <c r="HU241" s="455"/>
      <c r="HV241" s="455"/>
      <c r="HW241" s="455"/>
      <c r="HX241" s="455"/>
      <c r="HY241" s="455"/>
      <c r="HZ241" s="455"/>
      <c r="IA241" s="455"/>
      <c r="IB241" s="455"/>
      <c r="IC241" s="455"/>
      <c r="ID241" s="455"/>
      <c r="IE241" s="455"/>
      <c r="IF241" s="455"/>
      <c r="IG241" s="455"/>
      <c r="IH241" s="455"/>
      <c r="II241" s="455"/>
      <c r="IJ241" s="455"/>
      <c r="IK241" s="455"/>
      <c r="IL241" s="455"/>
      <c r="IM241" s="455"/>
      <c r="IN241" s="455"/>
      <c r="IO241" s="455"/>
      <c r="IP241" s="455"/>
      <c r="IQ241" s="455"/>
      <c r="IR241" s="455"/>
      <c r="IS241" s="455"/>
    </row>
    <row r="242" spans="1:253" s="458" customFormat="1" ht="56.25" x14ac:dyDescent="0.2">
      <c r="A242" s="444">
        <v>2917</v>
      </c>
      <c r="B242" s="445" t="s">
        <v>51</v>
      </c>
      <c r="C242" s="445" t="s">
        <v>52</v>
      </c>
      <c r="D242" s="445" t="s">
        <v>91</v>
      </c>
      <c r="E242" s="445"/>
      <c r="F242" s="445"/>
      <c r="G242" s="446">
        <v>63</v>
      </c>
      <c r="H242" s="445">
        <v>56</v>
      </c>
      <c r="I242" s="445"/>
      <c r="J242" s="445">
        <v>1</v>
      </c>
      <c r="K242" s="447">
        <v>3</v>
      </c>
      <c r="L242" s="445"/>
      <c r="M242" s="445">
        <v>3</v>
      </c>
      <c r="N242" s="445" t="s">
        <v>206</v>
      </c>
      <c r="O242" s="449" t="s">
        <v>1248</v>
      </c>
      <c r="P242" s="450">
        <v>3.0790000000000002</v>
      </c>
      <c r="Q242" s="451">
        <f t="shared" si="5"/>
        <v>3.0790000000000002</v>
      </c>
      <c r="R242" s="451">
        <f>SUMIF('Wege im Detail'!$A:$A,"2917",'Wege im Detail'!$P:$P)</f>
        <v>11.577999999999999</v>
      </c>
      <c r="S242" s="452" t="s">
        <v>1249</v>
      </c>
      <c r="T242" s="453">
        <v>43282</v>
      </c>
      <c r="U242" s="448"/>
      <c r="W242" s="448"/>
    </row>
    <row r="243" spans="1:253" s="458" customFormat="1" ht="56.25" x14ac:dyDescent="0.2">
      <c r="A243" s="444">
        <v>2917</v>
      </c>
      <c r="B243" s="445" t="s">
        <v>51</v>
      </c>
      <c r="C243" s="445" t="s">
        <v>52</v>
      </c>
      <c r="D243" s="445" t="s">
        <v>91</v>
      </c>
      <c r="E243" s="445"/>
      <c r="F243" s="445"/>
      <c r="G243" s="446">
        <v>63</v>
      </c>
      <c r="H243" s="445">
        <v>56</v>
      </c>
      <c r="I243" s="445"/>
      <c r="J243" s="445">
        <v>2</v>
      </c>
      <c r="K243" s="447">
        <v>3</v>
      </c>
      <c r="L243" s="445"/>
      <c r="M243" s="445">
        <v>3</v>
      </c>
      <c r="N243" s="445" t="s">
        <v>351</v>
      </c>
      <c r="O243" s="449" t="s">
        <v>1250</v>
      </c>
      <c r="P243" s="450">
        <v>3.8149999999999999</v>
      </c>
      <c r="Q243" s="451">
        <f t="shared" si="5"/>
        <v>3.8149999999999999</v>
      </c>
      <c r="R243" s="451">
        <f>SUMIF('Wege im Detail'!$A:$A,"2917",'Wege im Detail'!$P:$P)</f>
        <v>11.577999999999999</v>
      </c>
      <c r="S243" s="452" t="s">
        <v>1249</v>
      </c>
      <c r="T243" s="453">
        <v>43282</v>
      </c>
      <c r="U243" s="448"/>
      <c r="W243" s="448"/>
    </row>
    <row r="244" spans="1:253" s="458" customFormat="1" ht="45" x14ac:dyDescent="0.2">
      <c r="A244" s="444">
        <v>2917</v>
      </c>
      <c r="B244" s="445" t="s">
        <v>51</v>
      </c>
      <c r="C244" s="445" t="s">
        <v>52</v>
      </c>
      <c r="D244" s="445" t="s">
        <v>91</v>
      </c>
      <c r="E244" s="445"/>
      <c r="F244" s="445"/>
      <c r="G244" s="446">
        <v>63</v>
      </c>
      <c r="H244" s="445">
        <v>56</v>
      </c>
      <c r="I244" s="445"/>
      <c r="J244" s="445">
        <v>3</v>
      </c>
      <c r="K244" s="447">
        <v>3</v>
      </c>
      <c r="L244" s="445"/>
      <c r="M244" s="445">
        <v>3</v>
      </c>
      <c r="N244" s="445" t="s">
        <v>303</v>
      </c>
      <c r="O244" s="449" t="s">
        <v>1251</v>
      </c>
      <c r="P244" s="450">
        <v>4.6840000000000002</v>
      </c>
      <c r="Q244" s="451">
        <f t="shared" si="5"/>
        <v>4.6840000000000002</v>
      </c>
      <c r="R244" s="451">
        <f>SUMIF('Wege im Detail'!$A:$A,"2917",'Wege im Detail'!$P:$P)</f>
        <v>11.577999999999999</v>
      </c>
      <c r="S244" s="452" t="s">
        <v>1249</v>
      </c>
      <c r="T244" s="453">
        <v>43282</v>
      </c>
      <c r="U244" s="448"/>
      <c r="W244" s="448"/>
    </row>
    <row r="245" spans="1:253" s="458" customFormat="1" ht="33.75" x14ac:dyDescent="0.2">
      <c r="A245" s="444">
        <v>2971</v>
      </c>
      <c r="B245" s="445" t="s">
        <v>51</v>
      </c>
      <c r="C245" s="445" t="s">
        <v>52</v>
      </c>
      <c r="D245" s="445" t="s">
        <v>52</v>
      </c>
      <c r="E245" s="445"/>
      <c r="F245" s="445"/>
      <c r="G245" s="446">
        <v>25</v>
      </c>
      <c r="H245" s="445">
        <v>4</v>
      </c>
      <c r="I245" s="445"/>
      <c r="J245" s="445">
        <v>1</v>
      </c>
      <c r="K245" s="447">
        <v>8</v>
      </c>
      <c r="L245" s="445" t="s">
        <v>306</v>
      </c>
      <c r="M245" s="445">
        <v>3</v>
      </c>
      <c r="N245" s="445" t="s">
        <v>93</v>
      </c>
      <c r="O245" s="461" t="s">
        <v>1252</v>
      </c>
      <c r="P245" s="450">
        <v>14.167999999999999</v>
      </c>
      <c r="Q245" s="451">
        <f t="shared" si="5"/>
        <v>14.167999999999999</v>
      </c>
      <c r="R245" s="451">
        <f>SUMIF('Wege im Detail'!$A:$A,"2971",'Wege im Detail'!$P:$P)</f>
        <v>75.032999999999987</v>
      </c>
      <c r="S245" s="452" t="s">
        <v>308</v>
      </c>
      <c r="T245" s="453">
        <v>42795</v>
      </c>
      <c r="U245" s="448"/>
      <c r="V245" s="462"/>
      <c r="W245" s="448"/>
    </row>
    <row r="246" spans="1:253" s="458" customFormat="1" ht="33.75" x14ac:dyDescent="0.2">
      <c r="A246" s="444">
        <v>2971</v>
      </c>
      <c r="B246" s="445" t="s">
        <v>51</v>
      </c>
      <c r="C246" s="445" t="s">
        <v>52</v>
      </c>
      <c r="D246" s="445" t="s">
        <v>52</v>
      </c>
      <c r="E246" s="445"/>
      <c r="F246" s="445"/>
      <c r="G246" s="446">
        <v>25</v>
      </c>
      <c r="H246" s="445">
        <v>4</v>
      </c>
      <c r="I246" s="445"/>
      <c r="J246" s="445">
        <v>2</v>
      </c>
      <c r="K246" s="447">
        <v>8</v>
      </c>
      <c r="L246" s="445" t="s">
        <v>306</v>
      </c>
      <c r="M246" s="445">
        <v>3</v>
      </c>
      <c r="N246" s="445" t="s">
        <v>303</v>
      </c>
      <c r="O246" s="461" t="s">
        <v>1253</v>
      </c>
      <c r="P246" s="450">
        <v>6.0860000000000003</v>
      </c>
      <c r="Q246" s="451">
        <f t="shared" si="5"/>
        <v>6.0860000000000003</v>
      </c>
      <c r="R246" s="451">
        <f>SUMIF('Wege im Detail'!$A:$A,"2971",'Wege im Detail'!$P:$P)</f>
        <v>75.032999999999987</v>
      </c>
      <c r="S246" s="452" t="s">
        <v>308</v>
      </c>
      <c r="T246" s="453">
        <v>42795</v>
      </c>
      <c r="U246" s="448"/>
      <c r="V246" s="457"/>
      <c r="W246" s="448"/>
    </row>
    <row r="247" spans="1:253" s="458" customFormat="1" ht="33.75" x14ac:dyDescent="0.2">
      <c r="A247" s="444">
        <v>2971</v>
      </c>
      <c r="B247" s="445" t="s">
        <v>51</v>
      </c>
      <c r="C247" s="445" t="s">
        <v>52</v>
      </c>
      <c r="D247" s="445" t="s">
        <v>52</v>
      </c>
      <c r="E247" s="445"/>
      <c r="F247" s="445"/>
      <c r="G247" s="446">
        <v>25</v>
      </c>
      <c r="H247" s="445">
        <v>4</v>
      </c>
      <c r="I247" s="445"/>
      <c r="J247" s="445">
        <v>3</v>
      </c>
      <c r="K247" s="447">
        <v>8</v>
      </c>
      <c r="L247" s="445" t="s">
        <v>306</v>
      </c>
      <c r="M247" s="445">
        <v>3</v>
      </c>
      <c r="N247" s="445" t="s">
        <v>206</v>
      </c>
      <c r="O247" s="461" t="s">
        <v>1254</v>
      </c>
      <c r="P247" s="450">
        <v>7.9560000000000004</v>
      </c>
      <c r="Q247" s="451">
        <f t="shared" si="5"/>
        <v>7.9560000000000004</v>
      </c>
      <c r="R247" s="451">
        <f>SUMIF('Wege im Detail'!$A:$A,"2971",'Wege im Detail'!$P:$P)</f>
        <v>75.032999999999987</v>
      </c>
      <c r="S247" s="452" t="s">
        <v>308</v>
      </c>
      <c r="T247" s="453">
        <v>42795</v>
      </c>
      <c r="U247" s="448"/>
      <c r="V247" s="457"/>
      <c r="W247" s="448"/>
    </row>
    <row r="248" spans="1:253" s="458" customFormat="1" ht="33.75" x14ac:dyDescent="0.2">
      <c r="A248" s="444">
        <v>2971</v>
      </c>
      <c r="B248" s="445" t="s">
        <v>51</v>
      </c>
      <c r="C248" s="445" t="s">
        <v>52</v>
      </c>
      <c r="D248" s="445" t="s">
        <v>52</v>
      </c>
      <c r="E248" s="445"/>
      <c r="F248" s="445"/>
      <c r="G248" s="446">
        <v>25</v>
      </c>
      <c r="H248" s="445">
        <v>4</v>
      </c>
      <c r="I248" s="445"/>
      <c r="J248" s="445">
        <v>4</v>
      </c>
      <c r="K248" s="447">
        <v>8</v>
      </c>
      <c r="L248" s="445" t="s">
        <v>306</v>
      </c>
      <c r="M248" s="445">
        <v>3</v>
      </c>
      <c r="N248" s="445" t="s">
        <v>220</v>
      </c>
      <c r="O248" s="461" t="s">
        <v>1255</v>
      </c>
      <c r="P248" s="450">
        <v>10.034000000000001</v>
      </c>
      <c r="Q248" s="451">
        <f t="shared" si="5"/>
        <v>10.034000000000001</v>
      </c>
      <c r="R248" s="451">
        <f>SUMIF('Wege im Detail'!$A:$A,"2971",'Wege im Detail'!$P:$P)</f>
        <v>75.032999999999987</v>
      </c>
      <c r="S248" s="452" t="s">
        <v>308</v>
      </c>
      <c r="T248" s="453">
        <v>42795</v>
      </c>
      <c r="U248" s="448"/>
      <c r="V248" s="457"/>
      <c r="W248" s="448"/>
    </row>
    <row r="249" spans="1:253" s="458" customFormat="1" ht="33.75" x14ac:dyDescent="0.2">
      <c r="A249" s="444">
        <v>2971</v>
      </c>
      <c r="B249" s="445" t="s">
        <v>51</v>
      </c>
      <c r="C249" s="445" t="s">
        <v>52</v>
      </c>
      <c r="D249" s="445" t="s">
        <v>52</v>
      </c>
      <c r="E249" s="445"/>
      <c r="F249" s="445"/>
      <c r="G249" s="446">
        <v>25</v>
      </c>
      <c r="H249" s="445">
        <v>4</v>
      </c>
      <c r="I249" s="445"/>
      <c r="J249" s="445">
        <v>5</v>
      </c>
      <c r="K249" s="447">
        <v>8</v>
      </c>
      <c r="L249" s="445" t="s">
        <v>306</v>
      </c>
      <c r="M249" s="445">
        <v>2</v>
      </c>
      <c r="N249" s="445" t="s">
        <v>106</v>
      </c>
      <c r="O249" s="461" t="s">
        <v>1256</v>
      </c>
      <c r="P249" s="450">
        <v>4.1710000000000003</v>
      </c>
      <c r="Q249" s="451">
        <f t="shared" si="5"/>
        <v>4.1710000000000003</v>
      </c>
      <c r="R249" s="451">
        <f>SUMIF('Wege im Detail'!$A:$A,"2971",'Wege im Detail'!$P:$P)</f>
        <v>75.032999999999987</v>
      </c>
      <c r="S249" s="452" t="s">
        <v>308</v>
      </c>
      <c r="T249" s="453">
        <v>42795</v>
      </c>
      <c r="U249" s="448"/>
      <c r="V249" s="457"/>
      <c r="W249" s="448"/>
      <c r="X249" s="455"/>
      <c r="Y249" s="455"/>
      <c r="Z249" s="455"/>
      <c r="AA249" s="455"/>
      <c r="AB249" s="455"/>
      <c r="AC249" s="455"/>
      <c r="AD249" s="455"/>
      <c r="AE249" s="455"/>
      <c r="AF249" s="455"/>
      <c r="AG249" s="455"/>
      <c r="AH249" s="455"/>
      <c r="AI249" s="455"/>
      <c r="AJ249" s="455"/>
      <c r="AK249" s="455"/>
      <c r="AL249" s="455"/>
      <c r="AM249" s="455"/>
      <c r="AN249" s="455"/>
      <c r="AO249" s="455"/>
      <c r="AP249" s="455"/>
      <c r="AQ249" s="455"/>
      <c r="AR249" s="455"/>
      <c r="AS249" s="455"/>
      <c r="AT249" s="455"/>
      <c r="AU249" s="455"/>
      <c r="AV249" s="455"/>
      <c r="AW249" s="455"/>
      <c r="AX249" s="455"/>
      <c r="AY249" s="455"/>
      <c r="AZ249" s="455"/>
      <c r="BA249" s="455"/>
      <c r="BB249" s="455"/>
      <c r="BC249" s="455"/>
      <c r="BD249" s="455"/>
      <c r="BE249" s="455"/>
      <c r="BF249" s="455"/>
      <c r="BG249" s="455"/>
      <c r="BH249" s="455"/>
      <c r="BI249" s="455"/>
      <c r="BJ249" s="455"/>
      <c r="BK249" s="455"/>
      <c r="BL249" s="455"/>
      <c r="BM249" s="455"/>
      <c r="BN249" s="455"/>
      <c r="BO249" s="455"/>
      <c r="BP249" s="455"/>
      <c r="BQ249" s="455"/>
      <c r="BR249" s="455"/>
      <c r="BS249" s="455"/>
      <c r="BT249" s="455"/>
      <c r="BU249" s="455"/>
      <c r="BV249" s="455"/>
      <c r="BW249" s="455"/>
      <c r="BX249" s="455"/>
      <c r="BY249" s="455"/>
      <c r="BZ249" s="455"/>
      <c r="CA249" s="455"/>
      <c r="CB249" s="455"/>
      <c r="CC249" s="455"/>
      <c r="CD249" s="455"/>
      <c r="CE249" s="455"/>
      <c r="CF249" s="455"/>
      <c r="CG249" s="455"/>
      <c r="CH249" s="455"/>
      <c r="CI249" s="455"/>
      <c r="CJ249" s="455"/>
      <c r="CK249" s="455"/>
      <c r="CL249" s="455"/>
      <c r="CM249" s="455"/>
      <c r="CN249" s="455"/>
      <c r="CO249" s="455"/>
      <c r="CP249" s="455"/>
      <c r="CQ249" s="455"/>
      <c r="CR249" s="455"/>
      <c r="CS249" s="455"/>
      <c r="CT249" s="455"/>
      <c r="CU249" s="455"/>
      <c r="CV249" s="455"/>
      <c r="CW249" s="455"/>
      <c r="CX249" s="455"/>
      <c r="CY249" s="455"/>
      <c r="CZ249" s="455"/>
      <c r="DA249" s="455"/>
      <c r="DB249" s="455"/>
      <c r="DC249" s="455"/>
      <c r="DD249" s="455"/>
      <c r="DE249" s="455"/>
      <c r="DF249" s="455"/>
      <c r="DG249" s="455"/>
      <c r="DH249" s="455"/>
      <c r="DI249" s="455"/>
      <c r="DJ249" s="455"/>
      <c r="DK249" s="455"/>
      <c r="DL249" s="455"/>
      <c r="DM249" s="455"/>
      <c r="DN249" s="455"/>
      <c r="DO249" s="455"/>
      <c r="DP249" s="455"/>
      <c r="DQ249" s="455"/>
      <c r="DR249" s="455"/>
      <c r="DS249" s="455"/>
      <c r="DT249" s="455"/>
      <c r="DU249" s="455"/>
      <c r="DV249" s="455"/>
      <c r="DW249" s="455"/>
      <c r="DX249" s="455"/>
      <c r="DY249" s="455"/>
      <c r="DZ249" s="455"/>
      <c r="EA249" s="455"/>
      <c r="EB249" s="455"/>
      <c r="EC249" s="455"/>
      <c r="ED249" s="455"/>
      <c r="EE249" s="455"/>
      <c r="EF249" s="455"/>
      <c r="EG249" s="455"/>
      <c r="EH249" s="455"/>
      <c r="EI249" s="455"/>
      <c r="EJ249" s="455"/>
      <c r="EK249" s="455"/>
      <c r="EL249" s="455"/>
      <c r="EM249" s="455"/>
      <c r="EN249" s="455"/>
      <c r="EO249" s="455"/>
      <c r="EP249" s="455"/>
      <c r="EQ249" s="455"/>
      <c r="ER249" s="455"/>
      <c r="ES249" s="455"/>
      <c r="ET249" s="455"/>
      <c r="EU249" s="455"/>
      <c r="EV249" s="455"/>
      <c r="EW249" s="455"/>
      <c r="EX249" s="455"/>
      <c r="EY249" s="455"/>
      <c r="EZ249" s="455"/>
      <c r="FA249" s="455"/>
      <c r="FB249" s="455"/>
      <c r="FC249" s="455"/>
      <c r="FD249" s="455"/>
      <c r="FE249" s="455"/>
      <c r="FF249" s="455"/>
      <c r="FG249" s="455"/>
      <c r="FH249" s="455"/>
      <c r="FI249" s="455"/>
      <c r="FJ249" s="455"/>
      <c r="FK249" s="455"/>
      <c r="FL249" s="455"/>
      <c r="FM249" s="455"/>
      <c r="FN249" s="455"/>
      <c r="FO249" s="455"/>
      <c r="FP249" s="455"/>
      <c r="FQ249" s="455"/>
      <c r="FR249" s="455"/>
      <c r="FS249" s="455"/>
      <c r="FT249" s="455"/>
      <c r="FU249" s="455"/>
      <c r="FV249" s="455"/>
      <c r="FW249" s="455"/>
      <c r="FX249" s="455"/>
      <c r="FY249" s="455"/>
      <c r="FZ249" s="455"/>
      <c r="GA249" s="455"/>
      <c r="GB249" s="455"/>
      <c r="GC249" s="455"/>
      <c r="GD249" s="455"/>
      <c r="GE249" s="455"/>
      <c r="GF249" s="455"/>
      <c r="GG249" s="455"/>
      <c r="GH249" s="455"/>
      <c r="GI249" s="455"/>
      <c r="GJ249" s="455"/>
      <c r="GK249" s="455"/>
      <c r="GL249" s="455"/>
      <c r="GM249" s="455"/>
      <c r="GN249" s="455"/>
      <c r="GO249" s="455"/>
      <c r="GP249" s="455"/>
      <c r="GQ249" s="455"/>
      <c r="GR249" s="455"/>
      <c r="GS249" s="455"/>
      <c r="GT249" s="455"/>
      <c r="GU249" s="455"/>
      <c r="GV249" s="455"/>
      <c r="GW249" s="455"/>
      <c r="GX249" s="455"/>
      <c r="GY249" s="455"/>
      <c r="GZ249" s="455"/>
      <c r="HA249" s="455"/>
      <c r="HB249" s="455"/>
      <c r="HC249" s="455"/>
      <c r="HD249" s="455"/>
      <c r="HE249" s="455"/>
      <c r="HF249" s="455"/>
      <c r="HG249" s="455"/>
      <c r="HH249" s="455"/>
      <c r="HI249" s="455"/>
      <c r="HJ249" s="455"/>
      <c r="HK249" s="455"/>
      <c r="HL249" s="455"/>
      <c r="HM249" s="455"/>
      <c r="HN249" s="455"/>
      <c r="HO249" s="455"/>
      <c r="HP249" s="455"/>
      <c r="HQ249" s="455"/>
      <c r="HR249" s="455"/>
      <c r="HS249" s="455"/>
      <c r="HT249" s="455"/>
      <c r="HU249" s="455"/>
      <c r="HV249" s="455"/>
      <c r="HW249" s="455"/>
      <c r="HX249" s="455"/>
      <c r="HY249" s="455"/>
      <c r="HZ249" s="455"/>
      <c r="IA249" s="455"/>
      <c r="IB249" s="455"/>
      <c r="IC249" s="455"/>
      <c r="ID249" s="455"/>
      <c r="IE249" s="455"/>
      <c r="IF249" s="455"/>
      <c r="IG249" s="455"/>
      <c r="IH249" s="455"/>
      <c r="II249" s="455"/>
      <c r="IJ249" s="455"/>
      <c r="IK249" s="455"/>
      <c r="IL249" s="455"/>
      <c r="IM249" s="455"/>
      <c r="IN249" s="455"/>
      <c r="IO249" s="455"/>
      <c r="IP249" s="455"/>
      <c r="IQ249" s="455"/>
      <c r="IR249" s="455"/>
      <c r="IS249" s="455"/>
    </row>
    <row r="250" spans="1:253" s="458" customFormat="1" ht="45" x14ac:dyDescent="0.2">
      <c r="A250" s="444">
        <v>2971</v>
      </c>
      <c r="B250" s="445" t="s">
        <v>51</v>
      </c>
      <c r="C250" s="445" t="s">
        <v>52</v>
      </c>
      <c r="D250" s="445" t="s">
        <v>52</v>
      </c>
      <c r="E250" s="445"/>
      <c r="F250" s="445"/>
      <c r="G250" s="446">
        <v>25</v>
      </c>
      <c r="H250" s="445">
        <v>4</v>
      </c>
      <c r="I250" s="445"/>
      <c r="J250" s="445">
        <v>6</v>
      </c>
      <c r="K250" s="447">
        <v>8</v>
      </c>
      <c r="L250" s="445" t="s">
        <v>306</v>
      </c>
      <c r="M250" s="445">
        <v>2</v>
      </c>
      <c r="N250" s="445" t="s">
        <v>454</v>
      </c>
      <c r="O250" s="461" t="s">
        <v>1257</v>
      </c>
      <c r="P250" s="450">
        <v>8.5860000000000003</v>
      </c>
      <c r="Q250" s="451">
        <f t="shared" si="5"/>
        <v>8.5860000000000003</v>
      </c>
      <c r="R250" s="451">
        <f>SUMIF('Wege im Detail'!$A:$A,"2971",'Wege im Detail'!$P:$P)</f>
        <v>75.032999999999987</v>
      </c>
      <c r="S250" s="452" t="s">
        <v>308</v>
      </c>
      <c r="T250" s="453">
        <v>42795</v>
      </c>
      <c r="U250" s="448"/>
      <c r="V250" s="457"/>
      <c r="W250" s="448"/>
    </row>
    <row r="251" spans="1:253" s="458" customFormat="1" ht="45" x14ac:dyDescent="0.2">
      <c r="A251" s="444">
        <v>2971</v>
      </c>
      <c r="B251" s="445" t="s">
        <v>51</v>
      </c>
      <c r="C251" s="445" t="s">
        <v>52</v>
      </c>
      <c r="D251" s="445" t="s">
        <v>52</v>
      </c>
      <c r="E251" s="445"/>
      <c r="F251" s="445"/>
      <c r="G251" s="446">
        <v>25</v>
      </c>
      <c r="H251" s="445">
        <v>4</v>
      </c>
      <c r="I251" s="445"/>
      <c r="J251" s="445">
        <v>7</v>
      </c>
      <c r="K251" s="447">
        <v>8</v>
      </c>
      <c r="L251" s="445" t="s">
        <v>306</v>
      </c>
      <c r="M251" s="445">
        <v>2</v>
      </c>
      <c r="N251" s="445" t="s">
        <v>446</v>
      </c>
      <c r="O251" s="461" t="s">
        <v>1258</v>
      </c>
      <c r="P251" s="450">
        <v>6.8609999999999998</v>
      </c>
      <c r="Q251" s="451">
        <f t="shared" si="5"/>
        <v>6.8609999999999998</v>
      </c>
      <c r="R251" s="451">
        <f>SUMIF('Wege im Detail'!$A:$A,"2971",'Wege im Detail'!$P:$P)</f>
        <v>75.032999999999987</v>
      </c>
      <c r="S251" s="452" t="s">
        <v>308</v>
      </c>
      <c r="T251" s="453">
        <v>42795</v>
      </c>
      <c r="U251" s="448"/>
      <c r="V251" s="462"/>
      <c r="W251" s="448"/>
      <c r="X251" s="455"/>
      <c r="Y251" s="455"/>
      <c r="Z251" s="455"/>
      <c r="AA251" s="455"/>
      <c r="AB251" s="455"/>
      <c r="AC251" s="455"/>
      <c r="AD251" s="455"/>
      <c r="AE251" s="455"/>
      <c r="AF251" s="455"/>
      <c r="AG251" s="455"/>
      <c r="AH251" s="455"/>
      <c r="AI251" s="455"/>
      <c r="AJ251" s="455"/>
      <c r="AK251" s="455"/>
      <c r="AL251" s="455"/>
      <c r="AM251" s="455"/>
      <c r="AN251" s="455"/>
      <c r="AO251" s="455"/>
      <c r="AP251" s="455"/>
      <c r="AQ251" s="455"/>
      <c r="AR251" s="455"/>
      <c r="AS251" s="455"/>
      <c r="AT251" s="455"/>
      <c r="AU251" s="455"/>
      <c r="AV251" s="455"/>
      <c r="AW251" s="455"/>
      <c r="AX251" s="455"/>
      <c r="AY251" s="455"/>
      <c r="AZ251" s="455"/>
      <c r="BA251" s="455"/>
      <c r="BB251" s="455"/>
      <c r="BC251" s="455"/>
      <c r="BD251" s="455"/>
      <c r="BE251" s="455"/>
      <c r="BF251" s="455"/>
      <c r="BG251" s="455"/>
      <c r="BH251" s="455"/>
      <c r="BI251" s="455"/>
      <c r="BJ251" s="455"/>
      <c r="BK251" s="455"/>
      <c r="BL251" s="455"/>
      <c r="BM251" s="455"/>
      <c r="BN251" s="455"/>
      <c r="BO251" s="455"/>
      <c r="BP251" s="455"/>
      <c r="BQ251" s="455"/>
      <c r="BR251" s="455"/>
      <c r="BS251" s="455"/>
      <c r="BT251" s="455"/>
      <c r="BU251" s="455"/>
      <c r="BV251" s="455"/>
      <c r="BW251" s="455"/>
      <c r="BX251" s="455"/>
      <c r="BY251" s="455"/>
      <c r="BZ251" s="455"/>
      <c r="CA251" s="455"/>
      <c r="CB251" s="455"/>
      <c r="CC251" s="455"/>
      <c r="CD251" s="455"/>
      <c r="CE251" s="455"/>
      <c r="CF251" s="455"/>
      <c r="CG251" s="455"/>
      <c r="CH251" s="455"/>
      <c r="CI251" s="455"/>
      <c r="CJ251" s="455"/>
      <c r="CK251" s="455"/>
      <c r="CL251" s="455"/>
      <c r="CM251" s="455"/>
      <c r="CN251" s="455"/>
      <c r="CO251" s="455"/>
      <c r="CP251" s="455"/>
      <c r="CQ251" s="455"/>
      <c r="CR251" s="455"/>
      <c r="CS251" s="455"/>
      <c r="CT251" s="455"/>
      <c r="CU251" s="455"/>
      <c r="CV251" s="455"/>
      <c r="CW251" s="455"/>
      <c r="CX251" s="455"/>
      <c r="CY251" s="455"/>
      <c r="CZ251" s="455"/>
      <c r="DA251" s="455"/>
      <c r="DB251" s="455"/>
      <c r="DC251" s="455"/>
      <c r="DD251" s="455"/>
      <c r="DE251" s="455"/>
      <c r="DF251" s="455"/>
      <c r="DG251" s="455"/>
      <c r="DH251" s="455"/>
      <c r="DI251" s="455"/>
      <c r="DJ251" s="455"/>
      <c r="DK251" s="455"/>
      <c r="DL251" s="455"/>
      <c r="DM251" s="455"/>
      <c r="DN251" s="455"/>
      <c r="DO251" s="455"/>
      <c r="DP251" s="455"/>
      <c r="DQ251" s="455"/>
      <c r="DR251" s="455"/>
      <c r="DS251" s="455"/>
      <c r="DT251" s="455"/>
      <c r="DU251" s="455"/>
      <c r="DV251" s="455"/>
      <c r="DW251" s="455"/>
      <c r="DX251" s="455"/>
      <c r="DY251" s="455"/>
      <c r="DZ251" s="455"/>
      <c r="EA251" s="455"/>
      <c r="EB251" s="455"/>
      <c r="EC251" s="455"/>
      <c r="ED251" s="455"/>
      <c r="EE251" s="455"/>
      <c r="EF251" s="455"/>
      <c r="EG251" s="455"/>
      <c r="EH251" s="455"/>
      <c r="EI251" s="455"/>
      <c r="EJ251" s="455"/>
      <c r="EK251" s="455"/>
      <c r="EL251" s="455"/>
      <c r="EM251" s="455"/>
      <c r="EN251" s="455"/>
      <c r="EO251" s="455"/>
      <c r="EP251" s="455"/>
      <c r="EQ251" s="455"/>
      <c r="ER251" s="455"/>
      <c r="ES251" s="455"/>
      <c r="ET251" s="455"/>
      <c r="EU251" s="455"/>
      <c r="EV251" s="455"/>
      <c r="EW251" s="455"/>
      <c r="EX251" s="455"/>
      <c r="EY251" s="455"/>
      <c r="EZ251" s="455"/>
      <c r="FA251" s="455"/>
      <c r="FB251" s="455"/>
      <c r="FC251" s="455"/>
      <c r="FD251" s="455"/>
      <c r="FE251" s="455"/>
      <c r="FF251" s="455"/>
      <c r="FG251" s="455"/>
      <c r="FH251" s="455"/>
      <c r="FI251" s="455"/>
      <c r="FJ251" s="455"/>
      <c r="FK251" s="455"/>
      <c r="FL251" s="455"/>
      <c r="FM251" s="455"/>
      <c r="FN251" s="455"/>
      <c r="FO251" s="455"/>
      <c r="FP251" s="455"/>
      <c r="FQ251" s="455"/>
      <c r="FR251" s="455"/>
      <c r="FS251" s="455"/>
      <c r="FT251" s="455"/>
      <c r="FU251" s="455"/>
      <c r="FV251" s="455"/>
      <c r="FW251" s="455"/>
      <c r="FX251" s="455"/>
      <c r="FY251" s="455"/>
      <c r="FZ251" s="455"/>
      <c r="GA251" s="455"/>
      <c r="GB251" s="455"/>
      <c r="GC251" s="455"/>
      <c r="GD251" s="455"/>
      <c r="GE251" s="455"/>
      <c r="GF251" s="455"/>
      <c r="GG251" s="455"/>
      <c r="GH251" s="455"/>
      <c r="GI251" s="455"/>
      <c r="GJ251" s="455"/>
      <c r="GK251" s="455"/>
      <c r="GL251" s="455"/>
      <c r="GM251" s="455"/>
      <c r="GN251" s="455"/>
      <c r="GO251" s="455"/>
      <c r="GP251" s="455"/>
      <c r="GQ251" s="455"/>
      <c r="GR251" s="455"/>
      <c r="GS251" s="455"/>
      <c r="GT251" s="455"/>
      <c r="GU251" s="455"/>
      <c r="GV251" s="455"/>
      <c r="GW251" s="455"/>
      <c r="GX251" s="455"/>
      <c r="GY251" s="455"/>
      <c r="GZ251" s="455"/>
      <c r="HA251" s="455"/>
      <c r="HB251" s="455"/>
      <c r="HC251" s="455"/>
      <c r="HD251" s="455"/>
      <c r="HE251" s="455"/>
      <c r="HF251" s="455"/>
      <c r="HG251" s="455"/>
      <c r="HH251" s="455"/>
      <c r="HI251" s="455"/>
      <c r="HJ251" s="455"/>
      <c r="HK251" s="455"/>
      <c r="HL251" s="455"/>
      <c r="HM251" s="455"/>
      <c r="HN251" s="455"/>
      <c r="HO251" s="455"/>
      <c r="HP251" s="455"/>
      <c r="HQ251" s="455"/>
      <c r="HR251" s="455"/>
      <c r="HS251" s="455"/>
      <c r="HT251" s="455"/>
      <c r="HU251" s="455"/>
      <c r="HV251" s="455"/>
      <c r="HW251" s="455"/>
      <c r="HX251" s="455"/>
      <c r="HY251" s="455"/>
      <c r="HZ251" s="455"/>
      <c r="IA251" s="455"/>
      <c r="IB251" s="455"/>
      <c r="IC251" s="455"/>
      <c r="ID251" s="455"/>
      <c r="IE251" s="455"/>
      <c r="IF251" s="455"/>
      <c r="IG251" s="455"/>
      <c r="IH251" s="455"/>
      <c r="II251" s="455"/>
      <c r="IJ251" s="455"/>
      <c r="IK251" s="455"/>
      <c r="IL251" s="455"/>
      <c r="IM251" s="455"/>
      <c r="IN251" s="455"/>
      <c r="IO251" s="455"/>
      <c r="IP251" s="455"/>
      <c r="IQ251" s="455"/>
      <c r="IR251" s="455"/>
      <c r="IS251" s="455"/>
    </row>
    <row r="252" spans="1:253" s="458" customFormat="1" ht="45" x14ac:dyDescent="0.2">
      <c r="A252" s="444">
        <v>2971</v>
      </c>
      <c r="B252" s="445" t="s">
        <v>51</v>
      </c>
      <c r="C252" s="445" t="s">
        <v>52</v>
      </c>
      <c r="D252" s="445" t="s">
        <v>52</v>
      </c>
      <c r="E252" s="445"/>
      <c r="F252" s="445"/>
      <c r="G252" s="446">
        <v>25</v>
      </c>
      <c r="H252" s="445">
        <v>4</v>
      </c>
      <c r="I252" s="445"/>
      <c r="J252" s="445">
        <v>8</v>
      </c>
      <c r="K252" s="447">
        <v>8</v>
      </c>
      <c r="L252" s="445" t="s">
        <v>306</v>
      </c>
      <c r="M252" s="445">
        <v>2</v>
      </c>
      <c r="N252" s="445" t="s">
        <v>1259</v>
      </c>
      <c r="O252" s="461" t="s">
        <v>1260</v>
      </c>
      <c r="P252" s="450">
        <v>17.170999999999999</v>
      </c>
      <c r="Q252" s="451">
        <f t="shared" si="5"/>
        <v>17.170999999999999</v>
      </c>
      <c r="R252" s="451">
        <f>SUMIF('Wege im Detail'!$A:$A,"2971",'Wege im Detail'!$P:$P)</f>
        <v>75.032999999999987</v>
      </c>
      <c r="S252" s="452" t="s">
        <v>308</v>
      </c>
      <c r="T252" s="453">
        <v>42795</v>
      </c>
      <c r="U252" s="448"/>
      <c r="V252" s="457"/>
      <c r="W252" s="448"/>
    </row>
    <row r="253" spans="1:253" s="458" customFormat="1" ht="56.25" x14ac:dyDescent="0.2">
      <c r="A253" s="444">
        <v>2977</v>
      </c>
      <c r="B253" s="445" t="s">
        <v>84</v>
      </c>
      <c r="C253" s="445" t="s">
        <v>85</v>
      </c>
      <c r="D253" s="445"/>
      <c r="E253" s="445"/>
      <c r="F253" s="445"/>
      <c r="G253" s="446">
        <v>211</v>
      </c>
      <c r="H253" s="445" t="s">
        <v>310</v>
      </c>
      <c r="I253" s="445"/>
      <c r="J253" s="445"/>
      <c r="K253" s="447"/>
      <c r="L253" s="445" t="s">
        <v>311</v>
      </c>
      <c r="M253" s="445">
        <v>3</v>
      </c>
      <c r="N253" s="445" t="s">
        <v>187</v>
      </c>
      <c r="O253" s="449" t="s">
        <v>1261</v>
      </c>
      <c r="P253" s="450">
        <v>8.3309999999999995</v>
      </c>
      <c r="Q253" s="451">
        <f t="shared" si="5"/>
        <v>8.3309999999999995</v>
      </c>
      <c r="R253" s="451">
        <f>SUMIF('Wege im Detail'!$A:$A,"2977",'Wege im Detail'!$P:$P)</f>
        <v>8.3309999999999995</v>
      </c>
      <c r="S253" s="452" t="s">
        <v>312</v>
      </c>
      <c r="T253" s="453">
        <v>42917</v>
      </c>
      <c r="U253" s="448"/>
      <c r="V253" s="468"/>
      <c r="W253" s="448"/>
    </row>
    <row r="254" spans="1:253" s="458" customFormat="1" ht="45" x14ac:dyDescent="0.2">
      <c r="A254" s="444">
        <v>2979</v>
      </c>
      <c r="B254" s="445" t="s">
        <v>84</v>
      </c>
      <c r="C254" s="445" t="s">
        <v>85</v>
      </c>
      <c r="D254" s="445"/>
      <c r="E254" s="445"/>
      <c r="F254" s="445"/>
      <c r="G254" s="446">
        <v>212</v>
      </c>
      <c r="H254" s="445" t="s">
        <v>313</v>
      </c>
      <c r="I254" s="445"/>
      <c r="J254" s="445"/>
      <c r="K254" s="447"/>
      <c r="L254" s="445" t="s">
        <v>314</v>
      </c>
      <c r="M254" s="445">
        <v>3</v>
      </c>
      <c r="N254" s="445" t="s">
        <v>187</v>
      </c>
      <c r="O254" s="449" t="s">
        <v>1262</v>
      </c>
      <c r="P254" s="450">
        <v>6.0780000000000003</v>
      </c>
      <c r="Q254" s="451">
        <f t="shared" si="5"/>
        <v>6.0780000000000003</v>
      </c>
      <c r="R254" s="451">
        <f>SUMIF('Wege im Detail'!$A:$A,"2979",'Wege im Detail'!$P:$P)</f>
        <v>6.0780000000000003</v>
      </c>
      <c r="S254" s="452" t="s">
        <v>315</v>
      </c>
      <c r="T254" s="453">
        <v>42917</v>
      </c>
      <c r="U254" s="448"/>
      <c r="V254" s="476"/>
      <c r="W254" s="448"/>
    </row>
    <row r="255" spans="1:253" s="458" customFormat="1" ht="45" x14ac:dyDescent="0.2">
      <c r="A255" s="444">
        <v>2980</v>
      </c>
      <c r="B255" s="445" t="s">
        <v>84</v>
      </c>
      <c r="C255" s="445" t="s">
        <v>85</v>
      </c>
      <c r="D255" s="445"/>
      <c r="E255" s="445"/>
      <c r="F255" s="445"/>
      <c r="G255" s="446">
        <v>213</v>
      </c>
      <c r="H255" s="445" t="s">
        <v>317</v>
      </c>
      <c r="I255" s="445"/>
      <c r="J255" s="445"/>
      <c r="K255" s="447"/>
      <c r="L255" s="445" t="s">
        <v>318</v>
      </c>
      <c r="M255" s="445">
        <v>3</v>
      </c>
      <c r="N255" s="445" t="s">
        <v>187</v>
      </c>
      <c r="O255" s="449" t="s">
        <v>1263</v>
      </c>
      <c r="P255" s="450">
        <v>6.7220000000000004</v>
      </c>
      <c r="Q255" s="451">
        <f t="shared" si="5"/>
        <v>6.7220000000000004</v>
      </c>
      <c r="R255" s="451">
        <f>SUMIF('Wege im Detail'!$A:$A,"2980",'Wege im Detail'!$P:$P)</f>
        <v>6.7220000000000004</v>
      </c>
      <c r="S255" s="452" t="s">
        <v>319</v>
      </c>
      <c r="T255" s="453">
        <v>42917</v>
      </c>
      <c r="U255" s="448"/>
      <c r="V255" s="476"/>
      <c r="W255" s="448"/>
      <c r="X255" s="455"/>
      <c r="Y255" s="455"/>
      <c r="Z255" s="455"/>
      <c r="AA255" s="455"/>
      <c r="AB255" s="455"/>
      <c r="AC255" s="455"/>
      <c r="AD255" s="455"/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5"/>
      <c r="AQ255" s="455"/>
      <c r="AR255" s="455"/>
      <c r="AS255" s="455"/>
      <c r="AT255" s="455"/>
      <c r="AU255" s="455"/>
      <c r="AV255" s="455"/>
      <c r="AW255" s="455"/>
      <c r="AX255" s="455"/>
      <c r="AY255" s="455"/>
      <c r="AZ255" s="455"/>
      <c r="BA255" s="455"/>
      <c r="BB255" s="455"/>
      <c r="BC255" s="455"/>
      <c r="BD255" s="455"/>
      <c r="BE255" s="455"/>
      <c r="BF255" s="455"/>
      <c r="BG255" s="455"/>
      <c r="BH255" s="455"/>
      <c r="BI255" s="455"/>
      <c r="BJ255" s="455"/>
      <c r="BK255" s="455"/>
      <c r="BL255" s="455"/>
      <c r="BM255" s="455"/>
      <c r="BN255" s="455"/>
      <c r="BO255" s="455"/>
      <c r="BP255" s="455"/>
      <c r="BQ255" s="455"/>
      <c r="BR255" s="455"/>
      <c r="BS255" s="455"/>
      <c r="BT255" s="455"/>
      <c r="BU255" s="455"/>
      <c r="BV255" s="455"/>
      <c r="BW255" s="455"/>
      <c r="BX255" s="455"/>
      <c r="BY255" s="455"/>
      <c r="BZ255" s="455"/>
      <c r="CA255" s="455"/>
      <c r="CB255" s="455"/>
      <c r="CC255" s="455"/>
      <c r="CD255" s="455"/>
      <c r="CE255" s="455"/>
      <c r="CF255" s="455"/>
      <c r="CG255" s="455"/>
      <c r="CH255" s="455"/>
      <c r="CI255" s="455"/>
      <c r="CJ255" s="455"/>
      <c r="CK255" s="455"/>
      <c r="CL255" s="455"/>
      <c r="CM255" s="455"/>
      <c r="CN255" s="455"/>
      <c r="CO255" s="455"/>
      <c r="CP255" s="455"/>
      <c r="CQ255" s="455"/>
      <c r="CR255" s="455"/>
      <c r="CS255" s="455"/>
      <c r="CT255" s="455"/>
      <c r="CU255" s="455"/>
      <c r="CV255" s="455"/>
      <c r="CW255" s="455"/>
      <c r="CX255" s="455"/>
      <c r="CY255" s="455"/>
      <c r="CZ255" s="455"/>
      <c r="DA255" s="455"/>
      <c r="DB255" s="455"/>
      <c r="DC255" s="455"/>
      <c r="DD255" s="455"/>
      <c r="DE255" s="455"/>
      <c r="DF255" s="455"/>
      <c r="DG255" s="455"/>
      <c r="DH255" s="455"/>
      <c r="DI255" s="455"/>
      <c r="DJ255" s="455"/>
      <c r="DK255" s="455"/>
      <c r="DL255" s="455"/>
      <c r="DM255" s="455"/>
      <c r="DN255" s="455"/>
      <c r="DO255" s="455"/>
      <c r="DP255" s="455"/>
      <c r="DQ255" s="455"/>
      <c r="DR255" s="455"/>
      <c r="DS255" s="455"/>
      <c r="DT255" s="455"/>
      <c r="DU255" s="455"/>
      <c r="DV255" s="455"/>
      <c r="DW255" s="455"/>
      <c r="DX255" s="455"/>
      <c r="DY255" s="455"/>
      <c r="DZ255" s="455"/>
      <c r="EA255" s="455"/>
      <c r="EB255" s="455"/>
      <c r="EC255" s="455"/>
      <c r="ED255" s="455"/>
      <c r="EE255" s="455"/>
      <c r="EF255" s="455"/>
      <c r="EG255" s="455"/>
      <c r="EH255" s="455"/>
      <c r="EI255" s="455"/>
      <c r="EJ255" s="455"/>
      <c r="EK255" s="455"/>
      <c r="EL255" s="455"/>
      <c r="EM255" s="455"/>
      <c r="EN255" s="455"/>
      <c r="EO255" s="455"/>
      <c r="EP255" s="455"/>
      <c r="EQ255" s="455"/>
      <c r="ER255" s="455"/>
      <c r="ES255" s="455"/>
      <c r="ET255" s="455"/>
      <c r="EU255" s="455"/>
      <c r="EV255" s="455"/>
      <c r="EW255" s="455"/>
      <c r="EX255" s="455"/>
      <c r="EY255" s="455"/>
      <c r="EZ255" s="455"/>
      <c r="FA255" s="455"/>
      <c r="FB255" s="455"/>
      <c r="FC255" s="455"/>
      <c r="FD255" s="455"/>
      <c r="FE255" s="455"/>
      <c r="FF255" s="455"/>
      <c r="FG255" s="455"/>
      <c r="FH255" s="455"/>
      <c r="FI255" s="455"/>
      <c r="FJ255" s="455"/>
      <c r="FK255" s="455"/>
      <c r="FL255" s="455"/>
      <c r="FM255" s="455"/>
      <c r="FN255" s="455"/>
      <c r="FO255" s="455"/>
      <c r="FP255" s="455"/>
      <c r="FQ255" s="455"/>
      <c r="FR255" s="455"/>
      <c r="FS255" s="455"/>
      <c r="FT255" s="455"/>
      <c r="FU255" s="455"/>
      <c r="FV255" s="455"/>
      <c r="FW255" s="455"/>
      <c r="FX255" s="455"/>
      <c r="FY255" s="455"/>
      <c r="FZ255" s="455"/>
      <c r="GA255" s="455"/>
      <c r="GB255" s="455"/>
      <c r="GC255" s="455"/>
      <c r="GD255" s="455"/>
      <c r="GE255" s="455"/>
      <c r="GF255" s="455"/>
      <c r="GG255" s="455"/>
      <c r="GH255" s="455"/>
      <c r="GI255" s="455"/>
      <c r="GJ255" s="455"/>
      <c r="GK255" s="455"/>
      <c r="GL255" s="455"/>
      <c r="GM255" s="455"/>
      <c r="GN255" s="455"/>
      <c r="GO255" s="455"/>
      <c r="GP255" s="455"/>
      <c r="GQ255" s="455"/>
      <c r="GR255" s="455"/>
      <c r="GS255" s="455"/>
      <c r="GT255" s="455"/>
      <c r="GU255" s="455"/>
      <c r="GV255" s="455"/>
      <c r="GW255" s="455"/>
      <c r="GX255" s="455"/>
      <c r="GY255" s="455"/>
      <c r="GZ255" s="455"/>
      <c r="HA255" s="455"/>
      <c r="HB255" s="455"/>
      <c r="HC255" s="455"/>
      <c r="HD255" s="455"/>
      <c r="HE255" s="455"/>
      <c r="HF255" s="455"/>
      <c r="HG255" s="455"/>
      <c r="HH255" s="455"/>
      <c r="HI255" s="455"/>
      <c r="HJ255" s="455"/>
      <c r="HK255" s="455"/>
      <c r="HL255" s="455"/>
      <c r="HM255" s="455"/>
      <c r="HN255" s="455"/>
      <c r="HO255" s="455"/>
      <c r="HP255" s="455"/>
      <c r="HQ255" s="455"/>
      <c r="HR255" s="455"/>
      <c r="HS255" s="455"/>
      <c r="HT255" s="455"/>
      <c r="HU255" s="455"/>
      <c r="HV255" s="455"/>
      <c r="HW255" s="455"/>
      <c r="HX255" s="455"/>
      <c r="HY255" s="455"/>
      <c r="HZ255" s="455"/>
      <c r="IA255" s="455"/>
      <c r="IB255" s="455"/>
      <c r="IC255" s="455"/>
      <c r="ID255" s="455"/>
      <c r="IE255" s="455"/>
      <c r="IF255" s="455"/>
      <c r="IG255" s="455"/>
      <c r="IH255" s="455"/>
      <c r="II255" s="455"/>
      <c r="IJ255" s="455"/>
      <c r="IK255" s="455"/>
      <c r="IL255" s="455"/>
      <c r="IM255" s="455"/>
      <c r="IN255" s="455"/>
      <c r="IO255" s="455"/>
      <c r="IP255" s="455"/>
      <c r="IQ255" s="455"/>
      <c r="IR255" s="455"/>
      <c r="IS255" s="455"/>
    </row>
    <row r="256" spans="1:253" s="458" customFormat="1" ht="67.5" x14ac:dyDescent="0.2">
      <c r="A256" s="444">
        <v>2982</v>
      </c>
      <c r="B256" s="445" t="s">
        <v>84</v>
      </c>
      <c r="C256" s="445" t="s">
        <v>52</v>
      </c>
      <c r="D256" s="445" t="s">
        <v>214</v>
      </c>
      <c r="E256" s="445"/>
      <c r="F256" s="484"/>
      <c r="G256" s="446">
        <v>37</v>
      </c>
      <c r="H256" s="445" t="s">
        <v>322</v>
      </c>
      <c r="I256" s="445"/>
      <c r="J256" s="445"/>
      <c r="K256" s="447"/>
      <c r="L256" s="445" t="s">
        <v>323</v>
      </c>
      <c r="M256" s="445">
        <v>3</v>
      </c>
      <c r="N256" s="445" t="s">
        <v>187</v>
      </c>
      <c r="O256" s="449" t="s">
        <v>1264</v>
      </c>
      <c r="P256" s="450">
        <v>7.4969999999999999</v>
      </c>
      <c r="Q256" s="451">
        <f t="shared" ref="Q256:Q319" si="6">P256</f>
        <v>7.4969999999999999</v>
      </c>
      <c r="R256" s="451">
        <f>SUMIF('Wege im Detail'!$A:$A,"2982",'Wege im Detail'!$P:$P)</f>
        <v>7.4969999999999999</v>
      </c>
      <c r="S256" s="452" t="s">
        <v>324</v>
      </c>
      <c r="T256" s="453">
        <v>43952</v>
      </c>
      <c r="U256" s="448"/>
      <c r="V256" s="400"/>
      <c r="W256" s="448"/>
    </row>
    <row r="257" spans="1:253" s="458" customFormat="1" ht="56.25" x14ac:dyDescent="0.2">
      <c r="A257" s="438">
        <v>2985</v>
      </c>
      <c r="B257" s="445" t="s">
        <v>84</v>
      </c>
      <c r="C257" s="445" t="s">
        <v>85</v>
      </c>
      <c r="D257" s="445" t="s">
        <v>320</v>
      </c>
      <c r="E257" s="445"/>
      <c r="F257" s="445"/>
      <c r="G257" s="446">
        <v>102</v>
      </c>
      <c r="H257" s="445" t="s">
        <v>326</v>
      </c>
      <c r="I257" s="445"/>
      <c r="J257" s="445"/>
      <c r="K257" s="447"/>
      <c r="L257" s="445" t="s">
        <v>1265</v>
      </c>
      <c r="M257" s="445">
        <v>3</v>
      </c>
      <c r="N257" s="445" t="s">
        <v>187</v>
      </c>
      <c r="O257" s="449" t="s">
        <v>1266</v>
      </c>
      <c r="P257" s="532">
        <v>6.5869999999999997</v>
      </c>
      <c r="Q257" s="451">
        <f t="shared" si="6"/>
        <v>6.5869999999999997</v>
      </c>
      <c r="R257" s="451">
        <f>SUMIF('Wege im Detail'!$A:$A,"2985",'Wege im Detail'!$P:$P)</f>
        <v>6.5869999999999997</v>
      </c>
      <c r="S257" s="452" t="s">
        <v>328</v>
      </c>
      <c r="T257" s="453">
        <v>42917</v>
      </c>
      <c r="U257" s="400" t="s">
        <v>1267</v>
      </c>
      <c r="W257" s="400"/>
      <c r="X257" s="455"/>
      <c r="Y257" s="455"/>
      <c r="Z257" s="455"/>
      <c r="AA257" s="455"/>
      <c r="AB257" s="455"/>
      <c r="AC257" s="455"/>
      <c r="AD257" s="455"/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5"/>
      <c r="AQ257" s="455"/>
      <c r="AR257" s="455"/>
      <c r="AS257" s="455"/>
      <c r="AT257" s="455"/>
      <c r="AU257" s="455"/>
      <c r="AV257" s="455"/>
      <c r="AW257" s="455"/>
      <c r="AX257" s="455"/>
      <c r="AY257" s="455"/>
      <c r="AZ257" s="455"/>
      <c r="BA257" s="455"/>
      <c r="BB257" s="455"/>
      <c r="BC257" s="455"/>
      <c r="BD257" s="455"/>
      <c r="BE257" s="455"/>
      <c r="BF257" s="455"/>
      <c r="BG257" s="455"/>
      <c r="BH257" s="455"/>
      <c r="BI257" s="455"/>
      <c r="BJ257" s="455"/>
      <c r="BK257" s="455"/>
      <c r="BL257" s="455"/>
      <c r="BM257" s="455"/>
      <c r="BN257" s="455"/>
      <c r="BO257" s="455"/>
      <c r="BP257" s="455"/>
      <c r="BQ257" s="455"/>
      <c r="BR257" s="455"/>
      <c r="BS257" s="455"/>
      <c r="BT257" s="455"/>
      <c r="BU257" s="455"/>
      <c r="BV257" s="455"/>
      <c r="BW257" s="455"/>
      <c r="BX257" s="455"/>
      <c r="BY257" s="455"/>
      <c r="BZ257" s="455"/>
      <c r="CA257" s="455"/>
      <c r="CB257" s="455"/>
      <c r="CC257" s="455"/>
      <c r="CD257" s="455"/>
      <c r="CE257" s="455"/>
      <c r="CF257" s="455"/>
      <c r="CG257" s="455"/>
      <c r="CH257" s="455"/>
      <c r="CI257" s="455"/>
      <c r="CJ257" s="455"/>
      <c r="CK257" s="455"/>
      <c r="CL257" s="455"/>
      <c r="CM257" s="455"/>
      <c r="CN257" s="455"/>
      <c r="CO257" s="455"/>
      <c r="CP257" s="455"/>
      <c r="CQ257" s="455"/>
      <c r="CR257" s="455"/>
      <c r="CS257" s="455"/>
      <c r="CT257" s="455"/>
      <c r="CU257" s="455"/>
      <c r="CV257" s="455"/>
      <c r="CW257" s="455"/>
      <c r="CX257" s="455"/>
      <c r="CY257" s="455"/>
      <c r="CZ257" s="455"/>
      <c r="DA257" s="455"/>
      <c r="DB257" s="455"/>
      <c r="DC257" s="455"/>
      <c r="DD257" s="455"/>
      <c r="DE257" s="455"/>
      <c r="DF257" s="455"/>
      <c r="DG257" s="455"/>
      <c r="DH257" s="455"/>
      <c r="DI257" s="455"/>
      <c r="DJ257" s="455"/>
      <c r="DK257" s="455"/>
      <c r="DL257" s="455"/>
      <c r="DM257" s="455"/>
      <c r="DN257" s="455"/>
      <c r="DO257" s="455"/>
      <c r="DP257" s="455"/>
      <c r="DQ257" s="455"/>
      <c r="DR257" s="455"/>
      <c r="DS257" s="455"/>
      <c r="DT257" s="455"/>
      <c r="DU257" s="455"/>
      <c r="DV257" s="455"/>
      <c r="DW257" s="455"/>
      <c r="DX257" s="455"/>
      <c r="DY257" s="455"/>
      <c r="DZ257" s="455"/>
      <c r="EA257" s="455"/>
      <c r="EB257" s="455"/>
      <c r="EC257" s="455"/>
      <c r="ED257" s="455"/>
      <c r="EE257" s="455"/>
      <c r="EF257" s="455"/>
      <c r="EG257" s="455"/>
      <c r="EH257" s="455"/>
      <c r="EI257" s="455"/>
      <c r="EJ257" s="455"/>
      <c r="EK257" s="455"/>
      <c r="EL257" s="455"/>
      <c r="EM257" s="455"/>
      <c r="EN257" s="455"/>
      <c r="EO257" s="455"/>
      <c r="EP257" s="455"/>
      <c r="EQ257" s="455"/>
      <c r="ER257" s="455"/>
      <c r="ES257" s="455"/>
      <c r="ET257" s="455"/>
      <c r="EU257" s="455"/>
      <c r="EV257" s="455"/>
      <c r="EW257" s="455"/>
      <c r="EX257" s="455"/>
      <c r="EY257" s="455"/>
      <c r="EZ257" s="455"/>
      <c r="FA257" s="455"/>
      <c r="FB257" s="455"/>
      <c r="FC257" s="455"/>
      <c r="FD257" s="455"/>
      <c r="FE257" s="455"/>
      <c r="FF257" s="455"/>
      <c r="FG257" s="455"/>
      <c r="FH257" s="455"/>
      <c r="FI257" s="455"/>
      <c r="FJ257" s="455"/>
      <c r="FK257" s="455"/>
      <c r="FL257" s="455"/>
      <c r="FM257" s="455"/>
      <c r="FN257" s="455"/>
      <c r="FO257" s="455"/>
      <c r="FP257" s="455"/>
      <c r="FQ257" s="455"/>
      <c r="FR257" s="455"/>
      <c r="FS257" s="455"/>
      <c r="FT257" s="455"/>
      <c r="FU257" s="455"/>
      <c r="FV257" s="455"/>
      <c r="FW257" s="455"/>
      <c r="FX257" s="455"/>
      <c r="FY257" s="455"/>
      <c r="FZ257" s="455"/>
      <c r="GA257" s="455"/>
      <c r="GB257" s="455"/>
      <c r="GC257" s="455"/>
      <c r="GD257" s="455"/>
      <c r="GE257" s="455"/>
      <c r="GF257" s="455"/>
      <c r="GG257" s="455"/>
      <c r="GH257" s="455"/>
      <c r="GI257" s="455"/>
      <c r="GJ257" s="455"/>
      <c r="GK257" s="455"/>
      <c r="GL257" s="455"/>
      <c r="GM257" s="455"/>
      <c r="GN257" s="455"/>
      <c r="GO257" s="455"/>
      <c r="GP257" s="455"/>
      <c r="GQ257" s="455"/>
      <c r="GR257" s="455"/>
      <c r="GS257" s="455"/>
      <c r="GT257" s="455"/>
      <c r="GU257" s="455"/>
      <c r="GV257" s="455"/>
      <c r="GW257" s="455"/>
      <c r="GX257" s="455"/>
      <c r="GY257" s="455"/>
      <c r="GZ257" s="455"/>
      <c r="HA257" s="455"/>
      <c r="HB257" s="455"/>
      <c r="HC257" s="455"/>
      <c r="HD257" s="455"/>
      <c r="HE257" s="455"/>
      <c r="HF257" s="455"/>
      <c r="HG257" s="455"/>
      <c r="HH257" s="455"/>
      <c r="HI257" s="455"/>
      <c r="HJ257" s="455"/>
      <c r="HK257" s="455"/>
      <c r="HL257" s="455"/>
      <c r="HM257" s="455"/>
      <c r="HN257" s="455"/>
      <c r="HO257" s="455"/>
      <c r="HP257" s="455"/>
      <c r="HQ257" s="455"/>
      <c r="HR257" s="455"/>
      <c r="HS257" s="455"/>
      <c r="HT257" s="455"/>
      <c r="HU257" s="455"/>
      <c r="HV257" s="455"/>
      <c r="HW257" s="455"/>
      <c r="HX257" s="455"/>
      <c r="HY257" s="455"/>
      <c r="HZ257" s="455"/>
      <c r="IA257" s="455"/>
      <c r="IB257" s="455"/>
      <c r="IC257" s="455"/>
      <c r="ID257" s="455"/>
      <c r="IE257" s="455"/>
      <c r="IF257" s="455"/>
      <c r="IG257" s="455"/>
      <c r="IH257" s="455"/>
      <c r="II257" s="455"/>
      <c r="IJ257" s="455"/>
      <c r="IK257" s="455"/>
      <c r="IL257" s="455"/>
      <c r="IM257" s="455"/>
      <c r="IN257" s="455"/>
      <c r="IO257" s="455"/>
      <c r="IP257" s="455"/>
      <c r="IQ257" s="455"/>
      <c r="IR257" s="455"/>
      <c r="IS257" s="455"/>
    </row>
    <row r="258" spans="1:253" s="458" customFormat="1" ht="67.5" x14ac:dyDescent="0.2">
      <c r="A258" s="444">
        <v>2987</v>
      </c>
      <c r="B258" s="445" t="s">
        <v>84</v>
      </c>
      <c r="C258" s="445" t="s">
        <v>85</v>
      </c>
      <c r="D258" s="445" t="s">
        <v>320</v>
      </c>
      <c r="E258" s="445"/>
      <c r="F258" s="479"/>
      <c r="G258" s="446">
        <v>102</v>
      </c>
      <c r="H258" s="445" t="s">
        <v>329</v>
      </c>
      <c r="I258" s="445"/>
      <c r="J258" s="445"/>
      <c r="K258" s="447"/>
      <c r="L258" s="445" t="s">
        <v>330</v>
      </c>
      <c r="M258" s="445">
        <v>3</v>
      </c>
      <c r="N258" s="445" t="s">
        <v>206</v>
      </c>
      <c r="O258" s="449" t="s">
        <v>1268</v>
      </c>
      <c r="P258" s="450">
        <v>4.4640000000000004</v>
      </c>
      <c r="Q258" s="451">
        <f t="shared" si="6"/>
        <v>4.4640000000000004</v>
      </c>
      <c r="R258" s="451">
        <f>SUMIF('Wege im Detail'!$A:$A,"2987",'Wege im Detail'!$P:$P)</f>
        <v>4.4640000000000004</v>
      </c>
      <c r="S258" s="452" t="s">
        <v>331</v>
      </c>
      <c r="T258" s="453">
        <v>42917</v>
      </c>
      <c r="U258" s="448"/>
      <c r="V258" s="475" t="s">
        <v>1205</v>
      </c>
      <c r="W258" s="448"/>
      <c r="X258" s="455"/>
      <c r="Y258" s="455"/>
      <c r="Z258" s="455"/>
      <c r="AA258" s="455"/>
      <c r="AB258" s="455"/>
      <c r="AC258" s="455"/>
      <c r="AD258" s="455"/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  <c r="AO258" s="455"/>
      <c r="AP258" s="455"/>
      <c r="AQ258" s="455"/>
      <c r="AR258" s="455"/>
      <c r="AS258" s="455"/>
      <c r="AT258" s="455"/>
      <c r="AU258" s="455"/>
      <c r="AV258" s="455"/>
      <c r="AW258" s="455"/>
      <c r="AX258" s="455"/>
      <c r="AY258" s="455"/>
      <c r="AZ258" s="455"/>
      <c r="BA258" s="455"/>
      <c r="BB258" s="455"/>
      <c r="BC258" s="455"/>
      <c r="BD258" s="455"/>
      <c r="BE258" s="455"/>
      <c r="BF258" s="455"/>
      <c r="BG258" s="455"/>
      <c r="BH258" s="455"/>
      <c r="BI258" s="455"/>
      <c r="BJ258" s="455"/>
      <c r="BK258" s="455"/>
      <c r="BL258" s="455"/>
      <c r="BM258" s="455"/>
      <c r="BN258" s="455"/>
      <c r="BO258" s="455"/>
      <c r="BP258" s="455"/>
      <c r="BQ258" s="455"/>
      <c r="BR258" s="455"/>
      <c r="BS258" s="455"/>
      <c r="BT258" s="455"/>
      <c r="BU258" s="455"/>
      <c r="BV258" s="455"/>
      <c r="BW258" s="455"/>
      <c r="BX258" s="455"/>
      <c r="BY258" s="455"/>
      <c r="BZ258" s="455"/>
      <c r="CA258" s="455"/>
      <c r="CB258" s="455"/>
      <c r="CC258" s="455"/>
      <c r="CD258" s="455"/>
      <c r="CE258" s="455"/>
      <c r="CF258" s="455"/>
      <c r="CG258" s="455"/>
      <c r="CH258" s="455"/>
      <c r="CI258" s="455"/>
      <c r="CJ258" s="455"/>
      <c r="CK258" s="455"/>
      <c r="CL258" s="455"/>
      <c r="CM258" s="455"/>
      <c r="CN258" s="455"/>
      <c r="CO258" s="455"/>
      <c r="CP258" s="455"/>
      <c r="CQ258" s="455"/>
      <c r="CR258" s="455"/>
      <c r="CS258" s="455"/>
      <c r="CT258" s="455"/>
      <c r="CU258" s="455"/>
      <c r="CV258" s="455"/>
      <c r="CW258" s="455"/>
      <c r="CX258" s="455"/>
      <c r="CY258" s="455"/>
      <c r="CZ258" s="455"/>
      <c r="DA258" s="455"/>
      <c r="DB258" s="455"/>
      <c r="DC258" s="455"/>
      <c r="DD258" s="455"/>
      <c r="DE258" s="455"/>
      <c r="DF258" s="455"/>
      <c r="DG258" s="455"/>
      <c r="DH258" s="455"/>
      <c r="DI258" s="455"/>
      <c r="DJ258" s="455"/>
      <c r="DK258" s="455"/>
      <c r="DL258" s="455"/>
      <c r="DM258" s="455"/>
      <c r="DN258" s="455"/>
      <c r="DO258" s="455"/>
      <c r="DP258" s="455"/>
      <c r="DQ258" s="455"/>
      <c r="DR258" s="455"/>
      <c r="DS258" s="455"/>
      <c r="DT258" s="455"/>
      <c r="DU258" s="455"/>
      <c r="DV258" s="455"/>
      <c r="DW258" s="455"/>
      <c r="DX258" s="455"/>
      <c r="DY258" s="455"/>
      <c r="DZ258" s="455"/>
      <c r="EA258" s="455"/>
      <c r="EB258" s="455"/>
      <c r="EC258" s="455"/>
      <c r="ED258" s="455"/>
      <c r="EE258" s="455"/>
      <c r="EF258" s="455"/>
      <c r="EG258" s="455"/>
      <c r="EH258" s="455"/>
      <c r="EI258" s="455"/>
      <c r="EJ258" s="455"/>
      <c r="EK258" s="455"/>
      <c r="EL258" s="455"/>
      <c r="EM258" s="455"/>
      <c r="EN258" s="455"/>
      <c r="EO258" s="455"/>
      <c r="EP258" s="455"/>
      <c r="EQ258" s="455"/>
      <c r="ER258" s="455"/>
      <c r="ES258" s="455"/>
      <c r="ET258" s="455"/>
      <c r="EU258" s="455"/>
      <c r="EV258" s="455"/>
      <c r="EW258" s="455"/>
      <c r="EX258" s="455"/>
      <c r="EY258" s="455"/>
      <c r="EZ258" s="455"/>
      <c r="FA258" s="455"/>
      <c r="FB258" s="455"/>
      <c r="FC258" s="455"/>
      <c r="FD258" s="455"/>
      <c r="FE258" s="455"/>
      <c r="FF258" s="455"/>
      <c r="FG258" s="455"/>
      <c r="FH258" s="455"/>
      <c r="FI258" s="455"/>
      <c r="FJ258" s="455"/>
      <c r="FK258" s="455"/>
      <c r="FL258" s="455"/>
      <c r="FM258" s="455"/>
      <c r="FN258" s="455"/>
      <c r="FO258" s="455"/>
      <c r="FP258" s="455"/>
      <c r="FQ258" s="455"/>
      <c r="FR258" s="455"/>
      <c r="FS258" s="455"/>
      <c r="FT258" s="455"/>
      <c r="FU258" s="455"/>
      <c r="FV258" s="455"/>
      <c r="FW258" s="455"/>
      <c r="FX258" s="455"/>
      <c r="FY258" s="455"/>
      <c r="FZ258" s="455"/>
      <c r="GA258" s="455"/>
      <c r="GB258" s="455"/>
      <c r="GC258" s="455"/>
      <c r="GD258" s="455"/>
      <c r="GE258" s="455"/>
      <c r="GF258" s="455"/>
      <c r="GG258" s="455"/>
      <c r="GH258" s="455"/>
      <c r="GI258" s="455"/>
      <c r="GJ258" s="455"/>
      <c r="GK258" s="455"/>
      <c r="GL258" s="455"/>
      <c r="GM258" s="455"/>
      <c r="GN258" s="455"/>
      <c r="GO258" s="455"/>
      <c r="GP258" s="455"/>
      <c r="GQ258" s="455"/>
      <c r="GR258" s="455"/>
      <c r="GS258" s="455"/>
      <c r="GT258" s="455"/>
      <c r="GU258" s="455"/>
      <c r="GV258" s="455"/>
      <c r="GW258" s="455"/>
      <c r="GX258" s="455"/>
      <c r="GY258" s="455"/>
      <c r="GZ258" s="455"/>
      <c r="HA258" s="455"/>
      <c r="HB258" s="455"/>
      <c r="HC258" s="455"/>
      <c r="HD258" s="455"/>
      <c r="HE258" s="455"/>
      <c r="HF258" s="455"/>
      <c r="HG258" s="455"/>
      <c r="HH258" s="455"/>
      <c r="HI258" s="455"/>
      <c r="HJ258" s="455"/>
      <c r="HK258" s="455"/>
      <c r="HL258" s="455"/>
      <c r="HM258" s="455"/>
      <c r="HN258" s="455"/>
      <c r="HO258" s="455"/>
      <c r="HP258" s="455"/>
      <c r="HQ258" s="455"/>
      <c r="HR258" s="455"/>
      <c r="HS258" s="455"/>
      <c r="HT258" s="455"/>
      <c r="HU258" s="455"/>
      <c r="HV258" s="455"/>
      <c r="HW258" s="455"/>
      <c r="HX258" s="455"/>
      <c r="HY258" s="455"/>
      <c r="HZ258" s="455"/>
      <c r="IA258" s="455"/>
      <c r="IB258" s="455"/>
      <c r="IC258" s="455"/>
      <c r="ID258" s="455"/>
      <c r="IE258" s="455"/>
      <c r="IF258" s="455"/>
      <c r="IG258" s="455"/>
      <c r="IH258" s="455"/>
      <c r="II258" s="455"/>
      <c r="IJ258" s="455"/>
      <c r="IK258" s="455"/>
      <c r="IL258" s="455"/>
      <c r="IM258" s="455"/>
      <c r="IN258" s="455"/>
      <c r="IO258" s="455"/>
      <c r="IP258" s="455"/>
      <c r="IQ258" s="455"/>
      <c r="IR258" s="455"/>
      <c r="IS258" s="455"/>
    </row>
    <row r="259" spans="1:253" s="458" customFormat="1" ht="56.25" x14ac:dyDescent="0.2">
      <c r="A259" s="444">
        <v>2988</v>
      </c>
      <c r="B259" s="445" t="s">
        <v>84</v>
      </c>
      <c r="C259" s="445" t="s">
        <v>85</v>
      </c>
      <c r="D259" s="445"/>
      <c r="E259" s="445"/>
      <c r="F259" s="445"/>
      <c r="G259" s="446">
        <v>265</v>
      </c>
      <c r="H259" s="445" t="s">
        <v>333</v>
      </c>
      <c r="I259" s="445"/>
      <c r="J259" s="445"/>
      <c r="K259" s="447"/>
      <c r="L259" s="445" t="s">
        <v>88</v>
      </c>
      <c r="M259" s="445">
        <v>3</v>
      </c>
      <c r="N259" s="445" t="s">
        <v>206</v>
      </c>
      <c r="O259" s="449" t="s">
        <v>1269</v>
      </c>
      <c r="P259" s="450">
        <v>4.8390000000000004</v>
      </c>
      <c r="Q259" s="451">
        <f t="shared" si="6"/>
        <v>4.8390000000000004</v>
      </c>
      <c r="R259" s="451">
        <f>SUMIF('Wege im Detail'!$A:$A,"2988",'Wege im Detail'!$P:$P)</f>
        <v>4.8390000000000004</v>
      </c>
      <c r="S259" s="452" t="s">
        <v>334</v>
      </c>
      <c r="T259" s="453">
        <v>42917</v>
      </c>
      <c r="U259" s="448"/>
      <c r="V259" s="475" t="s">
        <v>1205</v>
      </c>
      <c r="W259" s="448"/>
    </row>
    <row r="260" spans="1:253" s="458" customFormat="1" ht="52.5" customHeight="1" x14ac:dyDescent="0.2">
      <c r="A260" s="444">
        <v>2989</v>
      </c>
      <c r="B260" s="445" t="s">
        <v>84</v>
      </c>
      <c r="C260" s="445" t="s">
        <v>85</v>
      </c>
      <c r="D260" s="445"/>
      <c r="E260" s="445"/>
      <c r="F260" s="445"/>
      <c r="G260" s="446">
        <v>261</v>
      </c>
      <c r="H260" s="445" t="s">
        <v>335</v>
      </c>
      <c r="I260" s="445"/>
      <c r="J260" s="445"/>
      <c r="K260" s="447"/>
      <c r="L260" s="445" t="s">
        <v>142</v>
      </c>
      <c r="M260" s="445">
        <v>3</v>
      </c>
      <c r="N260" s="445" t="s">
        <v>206</v>
      </c>
      <c r="O260" s="449" t="s">
        <v>1270</v>
      </c>
      <c r="P260" s="450">
        <v>5.0359999999999996</v>
      </c>
      <c r="Q260" s="451">
        <f t="shared" si="6"/>
        <v>5.0359999999999996</v>
      </c>
      <c r="R260" s="451">
        <f>SUMIF('Wege im Detail'!$A:$A,"2989",'Wege im Detail'!$P:$P)</f>
        <v>5.0359999999999996</v>
      </c>
      <c r="S260" s="452" t="s">
        <v>336</v>
      </c>
      <c r="T260" s="453">
        <v>42917</v>
      </c>
      <c r="U260" s="448"/>
      <c r="V260" s="475" t="s">
        <v>1205</v>
      </c>
      <c r="W260" s="448"/>
    </row>
    <row r="261" spans="1:253" s="458" customFormat="1" ht="78.75" x14ac:dyDescent="0.2">
      <c r="A261" s="444">
        <v>2990</v>
      </c>
      <c r="B261" s="445" t="s">
        <v>84</v>
      </c>
      <c r="C261" s="445" t="s">
        <v>85</v>
      </c>
      <c r="D261" s="445"/>
      <c r="E261" s="445"/>
      <c r="F261" s="445"/>
      <c r="G261" s="446">
        <v>262</v>
      </c>
      <c r="H261" s="445" t="s">
        <v>337</v>
      </c>
      <c r="I261" s="445"/>
      <c r="J261" s="445"/>
      <c r="K261" s="447"/>
      <c r="L261" s="445" t="s">
        <v>147</v>
      </c>
      <c r="M261" s="445">
        <v>3</v>
      </c>
      <c r="N261" s="445" t="s">
        <v>206</v>
      </c>
      <c r="O261" s="449" t="s">
        <v>1271</v>
      </c>
      <c r="P261" s="450">
        <v>9.077</v>
      </c>
      <c r="Q261" s="451">
        <f t="shared" si="6"/>
        <v>9.077</v>
      </c>
      <c r="R261" s="451">
        <f>SUMIF('Wege im Detail'!$A:$A,"2990",'Wege im Detail'!$P:$P)</f>
        <v>9.077</v>
      </c>
      <c r="S261" s="452" t="s">
        <v>338</v>
      </c>
      <c r="T261" s="453">
        <v>42917</v>
      </c>
      <c r="U261" s="448"/>
      <c r="V261" s="475" t="s">
        <v>1205</v>
      </c>
      <c r="W261" s="448"/>
    </row>
    <row r="262" spans="1:253" s="458" customFormat="1" ht="67.5" x14ac:dyDescent="0.2">
      <c r="A262" s="444">
        <v>2991</v>
      </c>
      <c r="B262" s="445" t="s">
        <v>84</v>
      </c>
      <c r="C262" s="445" t="s">
        <v>85</v>
      </c>
      <c r="D262" s="445"/>
      <c r="E262" s="445"/>
      <c r="F262" s="445"/>
      <c r="G262" s="446">
        <v>263</v>
      </c>
      <c r="H262" s="445" t="s">
        <v>339</v>
      </c>
      <c r="I262" s="445"/>
      <c r="J262" s="445"/>
      <c r="K262" s="447"/>
      <c r="L262" s="445" t="s">
        <v>133</v>
      </c>
      <c r="M262" s="445">
        <v>3</v>
      </c>
      <c r="N262" s="445" t="s">
        <v>206</v>
      </c>
      <c r="O262" s="449" t="s">
        <v>1272</v>
      </c>
      <c r="P262" s="450">
        <v>5.992</v>
      </c>
      <c r="Q262" s="451">
        <f t="shared" si="6"/>
        <v>5.992</v>
      </c>
      <c r="R262" s="451">
        <f>SUMIF('Wege im Detail'!$A:$A,"2991",'Wege im Detail'!$P:$P)</f>
        <v>5.992</v>
      </c>
      <c r="S262" s="452" t="s">
        <v>340</v>
      </c>
      <c r="T262" s="453">
        <v>42917</v>
      </c>
      <c r="U262" s="448"/>
      <c r="V262" s="475" t="s">
        <v>1205</v>
      </c>
      <c r="W262" s="448"/>
      <c r="X262" s="455"/>
      <c r="Y262" s="455"/>
      <c r="Z262" s="455"/>
      <c r="AA262" s="455"/>
      <c r="AB262" s="455"/>
      <c r="AC262" s="455"/>
      <c r="AD262" s="455"/>
      <c r="AE262" s="455"/>
      <c r="AF262" s="455"/>
      <c r="AG262" s="455"/>
      <c r="AH262" s="455"/>
      <c r="AI262" s="455"/>
      <c r="AJ262" s="455"/>
      <c r="AK262" s="455"/>
      <c r="AL262" s="455"/>
      <c r="AM262" s="455"/>
      <c r="AN262" s="455"/>
      <c r="AO262" s="455"/>
      <c r="AP262" s="455"/>
      <c r="AQ262" s="455"/>
      <c r="AR262" s="455"/>
      <c r="AS262" s="455"/>
      <c r="AT262" s="455"/>
      <c r="AU262" s="455"/>
      <c r="AV262" s="455"/>
      <c r="AW262" s="455"/>
      <c r="AX262" s="455"/>
      <c r="AY262" s="455"/>
      <c r="AZ262" s="455"/>
      <c r="BA262" s="455"/>
      <c r="BB262" s="455"/>
      <c r="BC262" s="455"/>
      <c r="BD262" s="455"/>
      <c r="BE262" s="455"/>
      <c r="BF262" s="455"/>
      <c r="BG262" s="455"/>
      <c r="BH262" s="455"/>
      <c r="BI262" s="455"/>
      <c r="BJ262" s="455"/>
      <c r="BK262" s="455"/>
      <c r="BL262" s="455"/>
      <c r="BM262" s="455"/>
      <c r="BN262" s="455"/>
      <c r="BO262" s="455"/>
      <c r="BP262" s="455"/>
      <c r="BQ262" s="455"/>
      <c r="BR262" s="455"/>
      <c r="BS262" s="455"/>
      <c r="BT262" s="455"/>
      <c r="BU262" s="455"/>
      <c r="BV262" s="455"/>
      <c r="BW262" s="455"/>
      <c r="BX262" s="455"/>
      <c r="BY262" s="455"/>
      <c r="BZ262" s="455"/>
      <c r="CA262" s="455"/>
      <c r="CB262" s="455"/>
      <c r="CC262" s="455"/>
      <c r="CD262" s="455"/>
      <c r="CE262" s="455"/>
      <c r="CF262" s="455"/>
      <c r="CG262" s="455"/>
      <c r="CH262" s="455"/>
      <c r="CI262" s="455"/>
      <c r="CJ262" s="455"/>
      <c r="CK262" s="455"/>
      <c r="CL262" s="455"/>
      <c r="CM262" s="455"/>
      <c r="CN262" s="455"/>
      <c r="CO262" s="455"/>
      <c r="CP262" s="455"/>
      <c r="CQ262" s="455"/>
      <c r="CR262" s="455"/>
      <c r="CS262" s="455"/>
      <c r="CT262" s="455"/>
      <c r="CU262" s="455"/>
      <c r="CV262" s="455"/>
      <c r="CW262" s="455"/>
      <c r="CX262" s="455"/>
      <c r="CY262" s="455"/>
      <c r="CZ262" s="455"/>
      <c r="DA262" s="455"/>
      <c r="DB262" s="455"/>
      <c r="DC262" s="455"/>
      <c r="DD262" s="455"/>
      <c r="DE262" s="455"/>
      <c r="DF262" s="455"/>
      <c r="DG262" s="455"/>
      <c r="DH262" s="455"/>
      <c r="DI262" s="455"/>
      <c r="DJ262" s="455"/>
      <c r="DK262" s="455"/>
      <c r="DL262" s="455"/>
      <c r="DM262" s="455"/>
      <c r="DN262" s="455"/>
      <c r="DO262" s="455"/>
      <c r="DP262" s="455"/>
      <c r="DQ262" s="455"/>
      <c r="DR262" s="455"/>
      <c r="DS262" s="455"/>
      <c r="DT262" s="455"/>
      <c r="DU262" s="455"/>
      <c r="DV262" s="455"/>
      <c r="DW262" s="455"/>
      <c r="DX262" s="455"/>
      <c r="DY262" s="455"/>
      <c r="DZ262" s="455"/>
      <c r="EA262" s="455"/>
      <c r="EB262" s="455"/>
      <c r="EC262" s="455"/>
      <c r="ED262" s="455"/>
      <c r="EE262" s="455"/>
      <c r="EF262" s="455"/>
      <c r="EG262" s="455"/>
      <c r="EH262" s="455"/>
      <c r="EI262" s="455"/>
      <c r="EJ262" s="455"/>
      <c r="EK262" s="455"/>
      <c r="EL262" s="455"/>
      <c r="EM262" s="455"/>
      <c r="EN262" s="455"/>
      <c r="EO262" s="455"/>
      <c r="EP262" s="455"/>
      <c r="EQ262" s="455"/>
      <c r="ER262" s="455"/>
      <c r="ES262" s="455"/>
      <c r="ET262" s="455"/>
      <c r="EU262" s="455"/>
      <c r="EV262" s="455"/>
      <c r="EW262" s="455"/>
      <c r="EX262" s="455"/>
      <c r="EY262" s="455"/>
      <c r="EZ262" s="455"/>
      <c r="FA262" s="455"/>
      <c r="FB262" s="455"/>
      <c r="FC262" s="455"/>
      <c r="FD262" s="455"/>
      <c r="FE262" s="455"/>
      <c r="FF262" s="455"/>
      <c r="FG262" s="455"/>
      <c r="FH262" s="455"/>
      <c r="FI262" s="455"/>
      <c r="FJ262" s="455"/>
      <c r="FK262" s="455"/>
      <c r="FL262" s="455"/>
      <c r="FM262" s="455"/>
      <c r="FN262" s="455"/>
      <c r="FO262" s="455"/>
      <c r="FP262" s="455"/>
      <c r="FQ262" s="455"/>
      <c r="FR262" s="455"/>
      <c r="FS262" s="455"/>
      <c r="FT262" s="455"/>
      <c r="FU262" s="455"/>
      <c r="FV262" s="455"/>
      <c r="FW262" s="455"/>
      <c r="FX262" s="455"/>
      <c r="FY262" s="455"/>
      <c r="FZ262" s="455"/>
      <c r="GA262" s="455"/>
      <c r="GB262" s="455"/>
      <c r="GC262" s="455"/>
      <c r="GD262" s="455"/>
      <c r="GE262" s="455"/>
      <c r="GF262" s="455"/>
      <c r="GG262" s="455"/>
      <c r="GH262" s="455"/>
      <c r="GI262" s="455"/>
      <c r="GJ262" s="455"/>
      <c r="GK262" s="455"/>
      <c r="GL262" s="455"/>
      <c r="GM262" s="455"/>
      <c r="GN262" s="455"/>
      <c r="GO262" s="455"/>
      <c r="GP262" s="455"/>
      <c r="GQ262" s="455"/>
      <c r="GR262" s="455"/>
      <c r="GS262" s="455"/>
      <c r="GT262" s="455"/>
      <c r="GU262" s="455"/>
      <c r="GV262" s="455"/>
      <c r="GW262" s="455"/>
      <c r="GX262" s="455"/>
      <c r="GY262" s="455"/>
      <c r="GZ262" s="455"/>
      <c r="HA262" s="455"/>
      <c r="HB262" s="455"/>
      <c r="HC262" s="455"/>
      <c r="HD262" s="455"/>
      <c r="HE262" s="455"/>
      <c r="HF262" s="455"/>
      <c r="HG262" s="455"/>
      <c r="HH262" s="455"/>
      <c r="HI262" s="455"/>
      <c r="HJ262" s="455"/>
      <c r="HK262" s="455"/>
      <c r="HL262" s="455"/>
      <c r="HM262" s="455"/>
      <c r="HN262" s="455"/>
      <c r="HO262" s="455"/>
      <c r="HP262" s="455"/>
      <c r="HQ262" s="455"/>
      <c r="HR262" s="455"/>
      <c r="HS262" s="455"/>
      <c r="HT262" s="455"/>
      <c r="HU262" s="455"/>
      <c r="HV262" s="455"/>
      <c r="HW262" s="455"/>
      <c r="HX262" s="455"/>
      <c r="HY262" s="455"/>
      <c r="HZ262" s="455"/>
      <c r="IA262" s="455"/>
      <c r="IB262" s="455"/>
      <c r="IC262" s="455"/>
      <c r="ID262" s="455"/>
      <c r="IE262" s="455"/>
      <c r="IF262" s="455"/>
      <c r="IG262" s="455"/>
      <c r="IH262" s="455"/>
      <c r="II262" s="455"/>
      <c r="IJ262" s="455"/>
      <c r="IK262" s="455"/>
      <c r="IL262" s="455"/>
      <c r="IM262" s="455"/>
      <c r="IN262" s="455"/>
      <c r="IO262" s="455"/>
      <c r="IP262" s="455"/>
      <c r="IQ262" s="455"/>
      <c r="IR262" s="455"/>
      <c r="IS262" s="455"/>
    </row>
    <row r="263" spans="1:253" s="458" customFormat="1" ht="56.25" x14ac:dyDescent="0.2">
      <c r="A263" s="444">
        <v>2992</v>
      </c>
      <c r="B263" s="445" t="s">
        <v>84</v>
      </c>
      <c r="C263" s="445" t="s">
        <v>85</v>
      </c>
      <c r="D263" s="445"/>
      <c r="E263" s="445"/>
      <c r="F263" s="445"/>
      <c r="G263" s="446">
        <v>264</v>
      </c>
      <c r="H263" s="445" t="s">
        <v>341</v>
      </c>
      <c r="I263" s="445"/>
      <c r="J263" s="445"/>
      <c r="K263" s="447"/>
      <c r="L263" s="445" t="s">
        <v>138</v>
      </c>
      <c r="M263" s="445">
        <v>3</v>
      </c>
      <c r="N263" s="445" t="s">
        <v>206</v>
      </c>
      <c r="O263" s="449" t="s">
        <v>1273</v>
      </c>
      <c r="P263" s="450">
        <v>4.6920000000000002</v>
      </c>
      <c r="Q263" s="451">
        <f t="shared" si="6"/>
        <v>4.6920000000000002</v>
      </c>
      <c r="R263" s="451">
        <f>SUMIF('Wege im Detail'!$A:$A,"2992",'Wege im Detail'!$P:$P)</f>
        <v>4.6920000000000002</v>
      </c>
      <c r="S263" s="452" t="s">
        <v>342</v>
      </c>
      <c r="T263" s="453">
        <v>42917</v>
      </c>
      <c r="U263" s="448"/>
      <c r="V263" s="475" t="s">
        <v>1205</v>
      </c>
      <c r="W263" s="448"/>
      <c r="X263" s="455"/>
      <c r="Y263" s="455"/>
      <c r="Z263" s="455"/>
      <c r="AA263" s="455"/>
      <c r="AB263" s="455"/>
      <c r="AC263" s="455"/>
      <c r="AD263" s="455"/>
      <c r="AE263" s="455"/>
      <c r="AF263" s="455"/>
      <c r="AG263" s="455"/>
      <c r="AH263" s="455"/>
      <c r="AI263" s="455"/>
      <c r="AJ263" s="455"/>
      <c r="AK263" s="455"/>
      <c r="AL263" s="455"/>
      <c r="AM263" s="455"/>
      <c r="AN263" s="455"/>
      <c r="AO263" s="455"/>
      <c r="AP263" s="455"/>
      <c r="AQ263" s="455"/>
      <c r="AR263" s="455"/>
      <c r="AS263" s="455"/>
      <c r="AT263" s="455"/>
      <c r="AU263" s="455"/>
      <c r="AV263" s="455"/>
      <c r="AW263" s="455"/>
      <c r="AX263" s="455"/>
      <c r="AY263" s="455"/>
      <c r="AZ263" s="455"/>
      <c r="BA263" s="455"/>
      <c r="BB263" s="455"/>
      <c r="BC263" s="455"/>
      <c r="BD263" s="455"/>
      <c r="BE263" s="455"/>
      <c r="BF263" s="455"/>
      <c r="BG263" s="455"/>
      <c r="BH263" s="455"/>
      <c r="BI263" s="455"/>
      <c r="BJ263" s="455"/>
      <c r="BK263" s="455"/>
      <c r="BL263" s="455"/>
      <c r="BM263" s="455"/>
      <c r="BN263" s="455"/>
      <c r="BO263" s="455"/>
      <c r="BP263" s="455"/>
      <c r="BQ263" s="455"/>
      <c r="BR263" s="455"/>
      <c r="BS263" s="455"/>
      <c r="BT263" s="455"/>
      <c r="BU263" s="455"/>
      <c r="BV263" s="455"/>
      <c r="BW263" s="455"/>
      <c r="BX263" s="455"/>
      <c r="BY263" s="455"/>
      <c r="BZ263" s="455"/>
      <c r="CA263" s="455"/>
      <c r="CB263" s="455"/>
      <c r="CC263" s="455"/>
      <c r="CD263" s="455"/>
      <c r="CE263" s="455"/>
      <c r="CF263" s="455"/>
      <c r="CG263" s="455"/>
      <c r="CH263" s="455"/>
      <c r="CI263" s="455"/>
      <c r="CJ263" s="455"/>
      <c r="CK263" s="455"/>
      <c r="CL263" s="455"/>
      <c r="CM263" s="455"/>
      <c r="CN263" s="455"/>
      <c r="CO263" s="455"/>
      <c r="CP263" s="455"/>
      <c r="CQ263" s="455"/>
      <c r="CR263" s="455"/>
      <c r="CS263" s="455"/>
      <c r="CT263" s="455"/>
      <c r="CU263" s="455"/>
      <c r="CV263" s="455"/>
      <c r="CW263" s="455"/>
      <c r="CX263" s="455"/>
      <c r="CY263" s="455"/>
      <c r="CZ263" s="455"/>
      <c r="DA263" s="455"/>
      <c r="DB263" s="455"/>
      <c r="DC263" s="455"/>
      <c r="DD263" s="455"/>
      <c r="DE263" s="455"/>
      <c r="DF263" s="455"/>
      <c r="DG263" s="455"/>
      <c r="DH263" s="455"/>
      <c r="DI263" s="455"/>
      <c r="DJ263" s="455"/>
      <c r="DK263" s="455"/>
      <c r="DL263" s="455"/>
      <c r="DM263" s="455"/>
      <c r="DN263" s="455"/>
      <c r="DO263" s="455"/>
      <c r="DP263" s="455"/>
      <c r="DQ263" s="455"/>
      <c r="DR263" s="455"/>
      <c r="DS263" s="455"/>
      <c r="DT263" s="455"/>
      <c r="DU263" s="455"/>
      <c r="DV263" s="455"/>
      <c r="DW263" s="455"/>
      <c r="DX263" s="455"/>
      <c r="DY263" s="455"/>
      <c r="DZ263" s="455"/>
      <c r="EA263" s="455"/>
      <c r="EB263" s="455"/>
      <c r="EC263" s="455"/>
      <c r="ED263" s="455"/>
      <c r="EE263" s="455"/>
      <c r="EF263" s="455"/>
      <c r="EG263" s="455"/>
      <c r="EH263" s="455"/>
      <c r="EI263" s="455"/>
      <c r="EJ263" s="455"/>
      <c r="EK263" s="455"/>
      <c r="EL263" s="455"/>
      <c r="EM263" s="455"/>
      <c r="EN263" s="455"/>
      <c r="EO263" s="455"/>
      <c r="EP263" s="455"/>
      <c r="EQ263" s="455"/>
      <c r="ER263" s="455"/>
      <c r="ES263" s="455"/>
      <c r="ET263" s="455"/>
      <c r="EU263" s="455"/>
      <c r="EV263" s="455"/>
      <c r="EW263" s="455"/>
      <c r="EX263" s="455"/>
      <c r="EY263" s="455"/>
      <c r="EZ263" s="455"/>
      <c r="FA263" s="455"/>
      <c r="FB263" s="455"/>
      <c r="FC263" s="455"/>
      <c r="FD263" s="455"/>
      <c r="FE263" s="455"/>
      <c r="FF263" s="455"/>
      <c r="FG263" s="455"/>
      <c r="FH263" s="455"/>
      <c r="FI263" s="455"/>
      <c r="FJ263" s="455"/>
      <c r="FK263" s="455"/>
      <c r="FL263" s="455"/>
      <c r="FM263" s="455"/>
      <c r="FN263" s="455"/>
      <c r="FO263" s="455"/>
      <c r="FP263" s="455"/>
      <c r="FQ263" s="455"/>
      <c r="FR263" s="455"/>
      <c r="FS263" s="455"/>
      <c r="FT263" s="455"/>
      <c r="FU263" s="455"/>
      <c r="FV263" s="455"/>
      <c r="FW263" s="455"/>
      <c r="FX263" s="455"/>
      <c r="FY263" s="455"/>
      <c r="FZ263" s="455"/>
      <c r="GA263" s="455"/>
      <c r="GB263" s="455"/>
      <c r="GC263" s="455"/>
      <c r="GD263" s="455"/>
      <c r="GE263" s="455"/>
      <c r="GF263" s="455"/>
      <c r="GG263" s="455"/>
      <c r="GH263" s="455"/>
      <c r="GI263" s="455"/>
      <c r="GJ263" s="455"/>
      <c r="GK263" s="455"/>
      <c r="GL263" s="455"/>
      <c r="GM263" s="455"/>
      <c r="GN263" s="455"/>
      <c r="GO263" s="455"/>
      <c r="GP263" s="455"/>
      <c r="GQ263" s="455"/>
      <c r="GR263" s="455"/>
      <c r="GS263" s="455"/>
      <c r="GT263" s="455"/>
      <c r="GU263" s="455"/>
      <c r="GV263" s="455"/>
      <c r="GW263" s="455"/>
      <c r="GX263" s="455"/>
      <c r="GY263" s="455"/>
      <c r="GZ263" s="455"/>
      <c r="HA263" s="455"/>
      <c r="HB263" s="455"/>
      <c r="HC263" s="455"/>
      <c r="HD263" s="455"/>
      <c r="HE263" s="455"/>
      <c r="HF263" s="455"/>
      <c r="HG263" s="455"/>
      <c r="HH263" s="455"/>
      <c r="HI263" s="455"/>
      <c r="HJ263" s="455"/>
      <c r="HK263" s="455"/>
      <c r="HL263" s="455"/>
      <c r="HM263" s="455"/>
      <c r="HN263" s="455"/>
      <c r="HO263" s="455"/>
      <c r="HP263" s="455"/>
      <c r="HQ263" s="455"/>
      <c r="HR263" s="455"/>
      <c r="HS263" s="455"/>
      <c r="HT263" s="455"/>
      <c r="HU263" s="455"/>
      <c r="HV263" s="455"/>
      <c r="HW263" s="455"/>
      <c r="HX263" s="455"/>
      <c r="HY263" s="455"/>
      <c r="HZ263" s="455"/>
      <c r="IA263" s="455"/>
      <c r="IB263" s="455"/>
      <c r="IC263" s="455"/>
      <c r="ID263" s="455"/>
      <c r="IE263" s="455"/>
      <c r="IF263" s="455"/>
      <c r="IG263" s="455"/>
      <c r="IH263" s="455"/>
      <c r="II263" s="455"/>
      <c r="IJ263" s="455"/>
      <c r="IK263" s="455"/>
      <c r="IL263" s="455"/>
      <c r="IM263" s="455"/>
      <c r="IN263" s="455"/>
      <c r="IO263" s="455"/>
      <c r="IP263" s="455"/>
      <c r="IQ263" s="455"/>
      <c r="IR263" s="455"/>
      <c r="IS263" s="455"/>
    </row>
    <row r="264" spans="1:253" s="458" customFormat="1" ht="45" x14ac:dyDescent="0.2">
      <c r="A264" s="444">
        <v>3033</v>
      </c>
      <c r="B264" s="445" t="s">
        <v>84</v>
      </c>
      <c r="C264" s="445" t="s">
        <v>85</v>
      </c>
      <c r="D264" s="445"/>
      <c r="E264" s="445"/>
      <c r="F264" s="482" t="s">
        <v>281</v>
      </c>
      <c r="G264" s="446">
        <v>196</v>
      </c>
      <c r="H264" s="445" t="s">
        <v>343</v>
      </c>
      <c r="I264" s="445"/>
      <c r="J264" s="445"/>
      <c r="K264" s="447"/>
      <c r="L264" s="445" t="s">
        <v>1274</v>
      </c>
      <c r="M264" s="445">
        <v>5</v>
      </c>
      <c r="N264" s="445" t="s">
        <v>181</v>
      </c>
      <c r="O264" s="449" t="s">
        <v>1275</v>
      </c>
      <c r="P264" s="450">
        <v>4.2519999999999998</v>
      </c>
      <c r="Q264" s="451">
        <f t="shared" si="6"/>
        <v>4.2519999999999998</v>
      </c>
      <c r="R264" s="451">
        <f>SUMIF('Wege im Detail'!$A:$A,"2646",'Wege im Detail'!$P:$P)</f>
        <v>4.3959999999999999</v>
      </c>
      <c r="S264" s="452" t="s">
        <v>344</v>
      </c>
      <c r="T264" s="453">
        <v>43313</v>
      </c>
      <c r="U264" s="448"/>
      <c r="V264" s="476"/>
      <c r="W264" s="448"/>
    </row>
    <row r="265" spans="1:253" s="458" customFormat="1" ht="56.25" x14ac:dyDescent="0.2">
      <c r="A265" s="444">
        <v>3034</v>
      </c>
      <c r="B265" s="445" t="s">
        <v>84</v>
      </c>
      <c r="C265" s="445" t="s">
        <v>85</v>
      </c>
      <c r="D265" s="445"/>
      <c r="E265" s="445"/>
      <c r="F265" s="482" t="s">
        <v>281</v>
      </c>
      <c r="G265" s="446">
        <v>197</v>
      </c>
      <c r="H265" s="445" t="s">
        <v>345</v>
      </c>
      <c r="I265" s="445"/>
      <c r="J265" s="445"/>
      <c r="K265" s="447"/>
      <c r="L265" s="445" t="s">
        <v>1276</v>
      </c>
      <c r="M265" s="445">
        <v>5</v>
      </c>
      <c r="N265" s="445" t="s">
        <v>181</v>
      </c>
      <c r="O265" s="449" t="s">
        <v>1277</v>
      </c>
      <c r="P265" s="450">
        <v>4.9139999999999997</v>
      </c>
      <c r="Q265" s="451">
        <f t="shared" si="6"/>
        <v>4.9139999999999997</v>
      </c>
      <c r="R265" s="451">
        <f>SUMIF('Wege im Detail'!$A:$A,"003034",'Wege im Detail'!$P:$P)</f>
        <v>4.9139999999999997</v>
      </c>
      <c r="S265" s="452" t="s">
        <v>346</v>
      </c>
      <c r="T265" s="453">
        <v>43313</v>
      </c>
      <c r="U265" s="448"/>
      <c r="V265" s="476" t="s">
        <v>1222</v>
      </c>
      <c r="W265" s="448"/>
      <c r="X265" s="455"/>
      <c r="Y265" s="455"/>
      <c r="Z265" s="455"/>
      <c r="AA265" s="455"/>
      <c r="AB265" s="455"/>
      <c r="AC265" s="455"/>
      <c r="AD265" s="455"/>
      <c r="AE265" s="455"/>
      <c r="AF265" s="455"/>
      <c r="AG265" s="455"/>
      <c r="AH265" s="455"/>
      <c r="AI265" s="455"/>
      <c r="AJ265" s="455"/>
      <c r="AK265" s="455"/>
      <c r="AL265" s="455"/>
      <c r="AM265" s="455"/>
      <c r="AN265" s="455"/>
      <c r="AO265" s="455"/>
      <c r="AP265" s="455"/>
      <c r="AQ265" s="455"/>
      <c r="AR265" s="455"/>
      <c r="AS265" s="455"/>
      <c r="AT265" s="455"/>
      <c r="AU265" s="455"/>
      <c r="AV265" s="455"/>
      <c r="AW265" s="455"/>
      <c r="AX265" s="455"/>
      <c r="AY265" s="455"/>
      <c r="AZ265" s="455"/>
      <c r="BA265" s="455"/>
      <c r="BB265" s="455"/>
      <c r="BC265" s="455"/>
      <c r="BD265" s="455"/>
      <c r="BE265" s="455"/>
      <c r="BF265" s="455"/>
      <c r="BG265" s="455"/>
      <c r="BH265" s="455"/>
      <c r="BI265" s="455"/>
      <c r="BJ265" s="455"/>
      <c r="BK265" s="455"/>
      <c r="BL265" s="455"/>
      <c r="BM265" s="455"/>
      <c r="BN265" s="455"/>
      <c r="BO265" s="455"/>
      <c r="BP265" s="455"/>
      <c r="BQ265" s="455"/>
      <c r="BR265" s="455"/>
      <c r="BS265" s="455"/>
      <c r="BT265" s="455"/>
      <c r="BU265" s="455"/>
      <c r="BV265" s="455"/>
      <c r="BW265" s="455"/>
      <c r="BX265" s="455"/>
      <c r="BY265" s="455"/>
      <c r="BZ265" s="455"/>
      <c r="CA265" s="455"/>
      <c r="CB265" s="455"/>
      <c r="CC265" s="455"/>
      <c r="CD265" s="455"/>
      <c r="CE265" s="455"/>
      <c r="CF265" s="455"/>
      <c r="CG265" s="455"/>
      <c r="CH265" s="455"/>
      <c r="CI265" s="455"/>
      <c r="CJ265" s="455"/>
      <c r="CK265" s="455"/>
      <c r="CL265" s="455"/>
      <c r="CM265" s="455"/>
      <c r="CN265" s="455"/>
      <c r="CO265" s="455"/>
      <c r="CP265" s="455"/>
      <c r="CQ265" s="455"/>
      <c r="CR265" s="455"/>
      <c r="CS265" s="455"/>
      <c r="CT265" s="455"/>
      <c r="CU265" s="455"/>
      <c r="CV265" s="455"/>
      <c r="CW265" s="455"/>
      <c r="CX265" s="455"/>
      <c r="CY265" s="455"/>
      <c r="CZ265" s="455"/>
      <c r="DA265" s="455"/>
      <c r="DB265" s="455"/>
      <c r="DC265" s="455"/>
      <c r="DD265" s="455"/>
      <c r="DE265" s="455"/>
      <c r="DF265" s="455"/>
      <c r="DG265" s="455"/>
      <c r="DH265" s="455"/>
      <c r="DI265" s="455"/>
      <c r="DJ265" s="455"/>
      <c r="DK265" s="455"/>
      <c r="DL265" s="455"/>
      <c r="DM265" s="455"/>
      <c r="DN265" s="455"/>
      <c r="DO265" s="455"/>
      <c r="DP265" s="455"/>
      <c r="DQ265" s="455"/>
      <c r="DR265" s="455"/>
      <c r="DS265" s="455"/>
      <c r="DT265" s="455"/>
      <c r="DU265" s="455"/>
      <c r="DV265" s="455"/>
      <c r="DW265" s="455"/>
      <c r="DX265" s="455"/>
      <c r="DY265" s="455"/>
      <c r="DZ265" s="455"/>
      <c r="EA265" s="455"/>
      <c r="EB265" s="455"/>
      <c r="EC265" s="455"/>
      <c r="ED265" s="455"/>
      <c r="EE265" s="455"/>
      <c r="EF265" s="455"/>
      <c r="EG265" s="455"/>
      <c r="EH265" s="455"/>
      <c r="EI265" s="455"/>
      <c r="EJ265" s="455"/>
      <c r="EK265" s="455"/>
      <c r="EL265" s="455"/>
      <c r="EM265" s="455"/>
      <c r="EN265" s="455"/>
      <c r="EO265" s="455"/>
      <c r="EP265" s="455"/>
      <c r="EQ265" s="455"/>
      <c r="ER265" s="455"/>
      <c r="ES265" s="455"/>
      <c r="ET265" s="455"/>
      <c r="EU265" s="455"/>
      <c r="EV265" s="455"/>
      <c r="EW265" s="455"/>
      <c r="EX265" s="455"/>
      <c r="EY265" s="455"/>
      <c r="EZ265" s="455"/>
      <c r="FA265" s="455"/>
      <c r="FB265" s="455"/>
      <c r="FC265" s="455"/>
      <c r="FD265" s="455"/>
      <c r="FE265" s="455"/>
      <c r="FF265" s="455"/>
      <c r="FG265" s="455"/>
      <c r="FH265" s="455"/>
      <c r="FI265" s="455"/>
      <c r="FJ265" s="455"/>
      <c r="FK265" s="455"/>
      <c r="FL265" s="455"/>
      <c r="FM265" s="455"/>
      <c r="FN265" s="455"/>
      <c r="FO265" s="455"/>
      <c r="FP265" s="455"/>
      <c r="FQ265" s="455"/>
      <c r="FR265" s="455"/>
      <c r="FS265" s="455"/>
      <c r="FT265" s="455"/>
      <c r="FU265" s="455"/>
      <c r="FV265" s="455"/>
      <c r="FW265" s="455"/>
      <c r="FX265" s="455"/>
      <c r="FY265" s="455"/>
      <c r="FZ265" s="455"/>
      <c r="GA265" s="455"/>
      <c r="GB265" s="455"/>
      <c r="GC265" s="455"/>
      <c r="GD265" s="455"/>
      <c r="GE265" s="455"/>
      <c r="GF265" s="455"/>
      <c r="GG265" s="455"/>
      <c r="GH265" s="455"/>
      <c r="GI265" s="455"/>
      <c r="GJ265" s="455"/>
      <c r="GK265" s="455"/>
      <c r="GL265" s="455"/>
      <c r="GM265" s="455"/>
      <c r="GN265" s="455"/>
      <c r="GO265" s="455"/>
      <c r="GP265" s="455"/>
      <c r="GQ265" s="455"/>
      <c r="GR265" s="455"/>
      <c r="GS265" s="455"/>
      <c r="GT265" s="455"/>
      <c r="GU265" s="455"/>
      <c r="GV265" s="455"/>
      <c r="GW265" s="455"/>
      <c r="GX265" s="455"/>
      <c r="GY265" s="455"/>
      <c r="GZ265" s="455"/>
      <c r="HA265" s="455"/>
      <c r="HB265" s="455"/>
      <c r="HC265" s="455"/>
      <c r="HD265" s="455"/>
      <c r="HE265" s="455"/>
      <c r="HF265" s="455"/>
      <c r="HG265" s="455"/>
      <c r="HH265" s="455"/>
      <c r="HI265" s="455"/>
      <c r="HJ265" s="455"/>
      <c r="HK265" s="455"/>
      <c r="HL265" s="455"/>
      <c r="HM265" s="455"/>
      <c r="HN265" s="455"/>
      <c r="HO265" s="455"/>
      <c r="HP265" s="455"/>
      <c r="HQ265" s="455"/>
      <c r="HR265" s="455"/>
      <c r="HS265" s="455"/>
      <c r="HT265" s="455"/>
      <c r="HU265" s="455"/>
      <c r="HV265" s="455"/>
      <c r="HW265" s="455"/>
      <c r="HX265" s="455"/>
      <c r="HY265" s="455"/>
      <c r="HZ265" s="455"/>
      <c r="IA265" s="455"/>
      <c r="IB265" s="455"/>
      <c r="IC265" s="455"/>
      <c r="ID265" s="455"/>
      <c r="IE265" s="455"/>
      <c r="IF265" s="455"/>
      <c r="IG265" s="455"/>
      <c r="IH265" s="455"/>
      <c r="II265" s="455"/>
      <c r="IJ265" s="455"/>
      <c r="IK265" s="455"/>
      <c r="IL265" s="455"/>
      <c r="IM265" s="455"/>
      <c r="IN265" s="455"/>
      <c r="IO265" s="455"/>
      <c r="IP265" s="455"/>
      <c r="IQ265" s="455"/>
      <c r="IR265" s="455"/>
      <c r="IS265" s="455"/>
    </row>
    <row r="266" spans="1:253" s="458" customFormat="1" ht="56.25" x14ac:dyDescent="0.2">
      <c r="A266" s="444">
        <v>3035</v>
      </c>
      <c r="B266" s="445" t="s">
        <v>84</v>
      </c>
      <c r="C266" s="445" t="s">
        <v>85</v>
      </c>
      <c r="D266" s="445"/>
      <c r="E266" s="445"/>
      <c r="F266" s="482" t="s">
        <v>281</v>
      </c>
      <c r="G266" s="446">
        <v>198</v>
      </c>
      <c r="H266" s="445" t="s">
        <v>347</v>
      </c>
      <c r="I266" s="445"/>
      <c r="J266" s="445"/>
      <c r="K266" s="447"/>
      <c r="L266" s="445" t="s">
        <v>133</v>
      </c>
      <c r="M266" s="445">
        <v>5</v>
      </c>
      <c r="N266" s="445" t="s">
        <v>181</v>
      </c>
      <c r="O266" s="449" t="s">
        <v>1278</v>
      </c>
      <c r="P266" s="450">
        <v>6.9989999999999997</v>
      </c>
      <c r="Q266" s="451">
        <f t="shared" si="6"/>
        <v>6.9989999999999997</v>
      </c>
      <c r="R266" s="451">
        <f>SUMIF('Wege im Detail'!$A:$A,"003035",'Wege im Detail'!$P:$P)</f>
        <v>6.9989999999999997</v>
      </c>
      <c r="S266" s="452" t="s">
        <v>348</v>
      </c>
      <c r="T266" s="453">
        <v>43313</v>
      </c>
      <c r="U266" s="448"/>
      <c r="V266" s="476" t="s">
        <v>1222</v>
      </c>
      <c r="W266" s="448"/>
    </row>
    <row r="267" spans="1:253" s="458" customFormat="1" ht="67.5" x14ac:dyDescent="0.2">
      <c r="A267" s="444">
        <v>3140</v>
      </c>
      <c r="B267" s="445" t="s">
        <v>84</v>
      </c>
      <c r="C267" s="445" t="s">
        <v>85</v>
      </c>
      <c r="D267" s="445"/>
      <c r="E267" s="445"/>
      <c r="F267" s="445"/>
      <c r="G267" s="446">
        <v>201</v>
      </c>
      <c r="H267" s="445" t="s">
        <v>350</v>
      </c>
      <c r="I267" s="445"/>
      <c r="J267" s="445"/>
      <c r="K267" s="447"/>
      <c r="L267" s="445" t="s">
        <v>142</v>
      </c>
      <c r="M267" s="445">
        <v>3</v>
      </c>
      <c r="N267" s="445" t="s">
        <v>351</v>
      </c>
      <c r="O267" s="449" t="s">
        <v>1279</v>
      </c>
      <c r="P267" s="450">
        <v>8.6059999999999999</v>
      </c>
      <c r="Q267" s="451">
        <f t="shared" si="6"/>
        <v>8.6059999999999999</v>
      </c>
      <c r="R267" s="451">
        <f>SUMIF('Wege im Detail'!$A:$A,"3140",'Wege im Detail'!$P:$P)</f>
        <v>8.6059999999999999</v>
      </c>
      <c r="S267" s="452" t="s">
        <v>352</v>
      </c>
      <c r="T267" s="453">
        <v>43313</v>
      </c>
      <c r="U267" s="448"/>
      <c r="V267" s="476"/>
      <c r="W267" s="448"/>
    </row>
    <row r="268" spans="1:253" s="458" customFormat="1" ht="56.25" x14ac:dyDescent="0.2">
      <c r="A268" s="444">
        <v>3141</v>
      </c>
      <c r="B268" s="445" t="s">
        <v>84</v>
      </c>
      <c r="C268" s="445" t="s">
        <v>85</v>
      </c>
      <c r="D268" s="445"/>
      <c r="E268" s="445"/>
      <c r="F268" s="445"/>
      <c r="G268" s="446">
        <v>202</v>
      </c>
      <c r="H268" s="445" t="s">
        <v>354</v>
      </c>
      <c r="I268" s="445"/>
      <c r="J268" s="445"/>
      <c r="K268" s="447"/>
      <c r="L268" s="445" t="s">
        <v>147</v>
      </c>
      <c r="M268" s="445">
        <v>3</v>
      </c>
      <c r="N268" s="445" t="s">
        <v>351</v>
      </c>
      <c r="O268" s="449" t="s">
        <v>1280</v>
      </c>
      <c r="P268" s="450">
        <v>6.9210000000000003</v>
      </c>
      <c r="Q268" s="451">
        <f t="shared" si="6"/>
        <v>6.9210000000000003</v>
      </c>
      <c r="R268" s="451">
        <f>SUMIF('Wege im Detail'!$A:$A,"3141",'Wege im Detail'!$P:$P)</f>
        <v>6.9210000000000003</v>
      </c>
      <c r="S268" s="452" t="s">
        <v>355</v>
      </c>
      <c r="T268" s="453">
        <v>43313</v>
      </c>
      <c r="U268" s="448"/>
      <c r="V268" s="476"/>
      <c r="W268" s="448"/>
      <c r="X268" s="455"/>
      <c r="Y268" s="455"/>
      <c r="Z268" s="455"/>
      <c r="AA268" s="455"/>
      <c r="AB268" s="455"/>
      <c r="AC268" s="455"/>
      <c r="AD268" s="455"/>
      <c r="AE268" s="455"/>
      <c r="AF268" s="455"/>
      <c r="AG268" s="455"/>
      <c r="AH268" s="455"/>
      <c r="AI268" s="455"/>
      <c r="AJ268" s="455"/>
      <c r="AK268" s="455"/>
      <c r="AL268" s="455"/>
      <c r="AM268" s="455"/>
      <c r="AN268" s="455"/>
      <c r="AO268" s="455"/>
      <c r="AP268" s="455"/>
      <c r="AQ268" s="455"/>
      <c r="AR268" s="455"/>
      <c r="AS268" s="455"/>
      <c r="AT268" s="455"/>
      <c r="AU268" s="455"/>
      <c r="AV268" s="455"/>
      <c r="AW268" s="455"/>
      <c r="AX268" s="455"/>
      <c r="AY268" s="455"/>
      <c r="AZ268" s="455"/>
      <c r="BA268" s="455"/>
      <c r="BB268" s="455"/>
      <c r="BC268" s="455"/>
      <c r="BD268" s="455"/>
      <c r="BE268" s="455"/>
      <c r="BF268" s="455"/>
      <c r="BG268" s="455"/>
      <c r="BH268" s="455"/>
      <c r="BI268" s="455"/>
      <c r="BJ268" s="455"/>
      <c r="BK268" s="455"/>
      <c r="BL268" s="455"/>
      <c r="BM268" s="455"/>
      <c r="BN268" s="455"/>
      <c r="BO268" s="455"/>
      <c r="BP268" s="455"/>
      <c r="BQ268" s="455"/>
      <c r="BR268" s="455"/>
      <c r="BS268" s="455"/>
      <c r="BT268" s="455"/>
      <c r="BU268" s="455"/>
      <c r="BV268" s="455"/>
      <c r="BW268" s="455"/>
      <c r="BX268" s="455"/>
      <c r="BY268" s="455"/>
      <c r="BZ268" s="455"/>
      <c r="CA268" s="455"/>
      <c r="CB268" s="455"/>
      <c r="CC268" s="455"/>
      <c r="CD268" s="455"/>
      <c r="CE268" s="455"/>
      <c r="CF268" s="455"/>
      <c r="CG268" s="455"/>
      <c r="CH268" s="455"/>
      <c r="CI268" s="455"/>
      <c r="CJ268" s="455"/>
      <c r="CK268" s="455"/>
      <c r="CL268" s="455"/>
      <c r="CM268" s="455"/>
      <c r="CN268" s="455"/>
      <c r="CO268" s="455"/>
      <c r="CP268" s="455"/>
      <c r="CQ268" s="455"/>
      <c r="CR268" s="455"/>
      <c r="CS268" s="455"/>
      <c r="CT268" s="455"/>
      <c r="CU268" s="455"/>
      <c r="CV268" s="455"/>
      <c r="CW268" s="455"/>
      <c r="CX268" s="455"/>
      <c r="CY268" s="455"/>
      <c r="CZ268" s="455"/>
      <c r="DA268" s="455"/>
      <c r="DB268" s="455"/>
      <c r="DC268" s="455"/>
      <c r="DD268" s="455"/>
      <c r="DE268" s="455"/>
      <c r="DF268" s="455"/>
      <c r="DG268" s="455"/>
      <c r="DH268" s="455"/>
      <c r="DI268" s="455"/>
      <c r="DJ268" s="455"/>
      <c r="DK268" s="455"/>
      <c r="DL268" s="455"/>
      <c r="DM268" s="455"/>
      <c r="DN268" s="455"/>
      <c r="DO268" s="455"/>
      <c r="DP268" s="455"/>
      <c r="DQ268" s="455"/>
      <c r="DR268" s="455"/>
      <c r="DS268" s="455"/>
      <c r="DT268" s="455"/>
      <c r="DU268" s="455"/>
      <c r="DV268" s="455"/>
      <c r="DW268" s="455"/>
      <c r="DX268" s="455"/>
      <c r="DY268" s="455"/>
      <c r="DZ268" s="455"/>
      <c r="EA268" s="455"/>
      <c r="EB268" s="455"/>
      <c r="EC268" s="455"/>
      <c r="ED268" s="455"/>
      <c r="EE268" s="455"/>
      <c r="EF268" s="455"/>
      <c r="EG268" s="455"/>
      <c r="EH268" s="455"/>
      <c r="EI268" s="455"/>
      <c r="EJ268" s="455"/>
      <c r="EK268" s="455"/>
      <c r="EL268" s="455"/>
      <c r="EM268" s="455"/>
      <c r="EN268" s="455"/>
      <c r="EO268" s="455"/>
      <c r="EP268" s="455"/>
      <c r="EQ268" s="455"/>
      <c r="ER268" s="455"/>
      <c r="ES268" s="455"/>
      <c r="ET268" s="455"/>
      <c r="EU268" s="455"/>
      <c r="EV268" s="455"/>
      <c r="EW268" s="455"/>
      <c r="EX268" s="455"/>
      <c r="EY268" s="455"/>
      <c r="EZ268" s="455"/>
      <c r="FA268" s="455"/>
      <c r="FB268" s="455"/>
      <c r="FC268" s="455"/>
      <c r="FD268" s="455"/>
      <c r="FE268" s="455"/>
      <c r="FF268" s="455"/>
      <c r="FG268" s="455"/>
      <c r="FH268" s="455"/>
      <c r="FI268" s="455"/>
      <c r="FJ268" s="455"/>
      <c r="FK268" s="455"/>
      <c r="FL268" s="455"/>
      <c r="FM268" s="455"/>
      <c r="FN268" s="455"/>
      <c r="FO268" s="455"/>
      <c r="FP268" s="455"/>
      <c r="FQ268" s="455"/>
      <c r="FR268" s="455"/>
      <c r="FS268" s="455"/>
      <c r="FT268" s="455"/>
      <c r="FU268" s="455"/>
      <c r="FV268" s="455"/>
      <c r="FW268" s="455"/>
      <c r="FX268" s="455"/>
      <c r="FY268" s="455"/>
      <c r="FZ268" s="455"/>
      <c r="GA268" s="455"/>
      <c r="GB268" s="455"/>
      <c r="GC268" s="455"/>
      <c r="GD268" s="455"/>
      <c r="GE268" s="455"/>
      <c r="GF268" s="455"/>
      <c r="GG268" s="455"/>
      <c r="GH268" s="455"/>
      <c r="GI268" s="455"/>
      <c r="GJ268" s="455"/>
      <c r="GK268" s="455"/>
      <c r="GL268" s="455"/>
      <c r="GM268" s="455"/>
      <c r="GN268" s="455"/>
      <c r="GO268" s="455"/>
      <c r="GP268" s="455"/>
      <c r="GQ268" s="455"/>
      <c r="GR268" s="455"/>
      <c r="GS268" s="455"/>
      <c r="GT268" s="455"/>
      <c r="GU268" s="455"/>
      <c r="GV268" s="455"/>
      <c r="GW268" s="455"/>
      <c r="GX268" s="455"/>
      <c r="GY268" s="455"/>
      <c r="GZ268" s="455"/>
      <c r="HA268" s="455"/>
      <c r="HB268" s="455"/>
      <c r="HC268" s="455"/>
      <c r="HD268" s="455"/>
      <c r="HE268" s="455"/>
      <c r="HF268" s="455"/>
      <c r="HG268" s="455"/>
      <c r="HH268" s="455"/>
      <c r="HI268" s="455"/>
      <c r="HJ268" s="455"/>
      <c r="HK268" s="455"/>
      <c r="HL268" s="455"/>
      <c r="HM268" s="455"/>
      <c r="HN268" s="455"/>
      <c r="HO268" s="455"/>
      <c r="HP268" s="455"/>
      <c r="HQ268" s="455"/>
      <c r="HR268" s="455"/>
      <c r="HS268" s="455"/>
      <c r="HT268" s="455"/>
      <c r="HU268" s="455"/>
      <c r="HV268" s="455"/>
      <c r="HW268" s="455"/>
      <c r="HX268" s="455"/>
      <c r="HY268" s="455"/>
      <c r="HZ268" s="455"/>
      <c r="IA268" s="455"/>
      <c r="IB268" s="455"/>
      <c r="IC268" s="455"/>
      <c r="ID268" s="455"/>
      <c r="IE268" s="455"/>
      <c r="IF268" s="455"/>
      <c r="IG268" s="455"/>
      <c r="IH268" s="455"/>
      <c r="II268" s="455"/>
      <c r="IJ268" s="455"/>
      <c r="IK268" s="455"/>
      <c r="IL268" s="455"/>
      <c r="IM268" s="455"/>
      <c r="IN268" s="455"/>
      <c r="IO268" s="455"/>
      <c r="IP268" s="455"/>
      <c r="IQ268" s="455"/>
      <c r="IR268" s="455"/>
      <c r="IS268" s="455"/>
    </row>
    <row r="269" spans="1:253" s="458" customFormat="1" ht="67.5" x14ac:dyDescent="0.2">
      <c r="A269" s="444">
        <v>3143</v>
      </c>
      <c r="B269" s="445" t="s">
        <v>84</v>
      </c>
      <c r="C269" s="445" t="s">
        <v>85</v>
      </c>
      <c r="D269" s="445"/>
      <c r="E269" s="445"/>
      <c r="F269" s="445"/>
      <c r="G269" s="446">
        <v>204</v>
      </c>
      <c r="H269" s="445" t="s">
        <v>357</v>
      </c>
      <c r="I269" s="445"/>
      <c r="J269" s="445"/>
      <c r="K269" s="447"/>
      <c r="L269" s="445" t="s">
        <v>138</v>
      </c>
      <c r="M269" s="445">
        <v>3</v>
      </c>
      <c r="N269" s="445" t="s">
        <v>351</v>
      </c>
      <c r="O269" s="449" t="s">
        <v>1281</v>
      </c>
      <c r="P269" s="450">
        <v>10.923</v>
      </c>
      <c r="Q269" s="451">
        <f t="shared" si="6"/>
        <v>10.923</v>
      </c>
      <c r="R269" s="451">
        <f>SUMIF('Wege im Detail'!$A:$A,"3143",'Wege im Detail'!$P:$P)</f>
        <v>10.923</v>
      </c>
      <c r="S269" s="452" t="s">
        <v>358</v>
      </c>
      <c r="T269" s="453">
        <v>43313</v>
      </c>
      <c r="U269" s="448"/>
      <c r="V269" s="476"/>
      <c r="W269" s="448"/>
      <c r="X269" s="455"/>
      <c r="Y269" s="455"/>
      <c r="Z269" s="455"/>
      <c r="AA269" s="455"/>
      <c r="AB269" s="455"/>
      <c r="AC269" s="455"/>
      <c r="AD269" s="455"/>
      <c r="AE269" s="455"/>
      <c r="AF269" s="455"/>
      <c r="AG269" s="455"/>
      <c r="AH269" s="455"/>
      <c r="AI269" s="455"/>
      <c r="AJ269" s="455"/>
      <c r="AK269" s="455"/>
      <c r="AL269" s="455"/>
      <c r="AM269" s="455"/>
      <c r="AN269" s="455"/>
      <c r="AO269" s="455"/>
      <c r="AP269" s="455"/>
      <c r="AQ269" s="455"/>
      <c r="AR269" s="455"/>
      <c r="AS269" s="455"/>
      <c r="AT269" s="455"/>
      <c r="AU269" s="455"/>
      <c r="AV269" s="455"/>
      <c r="AW269" s="455"/>
      <c r="AX269" s="455"/>
      <c r="AY269" s="455"/>
      <c r="AZ269" s="455"/>
      <c r="BA269" s="455"/>
      <c r="BB269" s="455"/>
      <c r="BC269" s="455"/>
      <c r="BD269" s="455"/>
      <c r="BE269" s="455"/>
      <c r="BF269" s="455"/>
      <c r="BG269" s="455"/>
      <c r="BH269" s="455"/>
      <c r="BI269" s="455"/>
      <c r="BJ269" s="455"/>
      <c r="BK269" s="455"/>
      <c r="BL269" s="455"/>
      <c r="BM269" s="455"/>
      <c r="BN269" s="455"/>
      <c r="BO269" s="455"/>
      <c r="BP269" s="455"/>
      <c r="BQ269" s="455"/>
      <c r="BR269" s="455"/>
      <c r="BS269" s="455"/>
      <c r="BT269" s="455"/>
      <c r="BU269" s="455"/>
      <c r="BV269" s="455"/>
      <c r="BW269" s="455"/>
      <c r="BX269" s="455"/>
      <c r="BY269" s="455"/>
      <c r="BZ269" s="455"/>
      <c r="CA269" s="455"/>
      <c r="CB269" s="455"/>
      <c r="CC269" s="455"/>
      <c r="CD269" s="455"/>
      <c r="CE269" s="455"/>
      <c r="CF269" s="455"/>
      <c r="CG269" s="455"/>
      <c r="CH269" s="455"/>
      <c r="CI269" s="455"/>
      <c r="CJ269" s="455"/>
      <c r="CK269" s="455"/>
      <c r="CL269" s="455"/>
      <c r="CM269" s="455"/>
      <c r="CN269" s="455"/>
      <c r="CO269" s="455"/>
      <c r="CP269" s="455"/>
      <c r="CQ269" s="455"/>
      <c r="CR269" s="455"/>
      <c r="CS269" s="455"/>
      <c r="CT269" s="455"/>
      <c r="CU269" s="455"/>
      <c r="CV269" s="455"/>
      <c r="CW269" s="455"/>
      <c r="CX269" s="455"/>
      <c r="CY269" s="455"/>
      <c r="CZ269" s="455"/>
      <c r="DA269" s="455"/>
      <c r="DB269" s="455"/>
      <c r="DC269" s="455"/>
      <c r="DD269" s="455"/>
      <c r="DE269" s="455"/>
      <c r="DF269" s="455"/>
      <c r="DG269" s="455"/>
      <c r="DH269" s="455"/>
      <c r="DI269" s="455"/>
      <c r="DJ269" s="455"/>
      <c r="DK269" s="455"/>
      <c r="DL269" s="455"/>
      <c r="DM269" s="455"/>
      <c r="DN269" s="455"/>
      <c r="DO269" s="455"/>
      <c r="DP269" s="455"/>
      <c r="DQ269" s="455"/>
      <c r="DR269" s="455"/>
      <c r="DS269" s="455"/>
      <c r="DT269" s="455"/>
      <c r="DU269" s="455"/>
      <c r="DV269" s="455"/>
      <c r="DW269" s="455"/>
      <c r="DX269" s="455"/>
      <c r="DY269" s="455"/>
      <c r="DZ269" s="455"/>
      <c r="EA269" s="455"/>
      <c r="EB269" s="455"/>
      <c r="EC269" s="455"/>
      <c r="ED269" s="455"/>
      <c r="EE269" s="455"/>
      <c r="EF269" s="455"/>
      <c r="EG269" s="455"/>
      <c r="EH269" s="455"/>
      <c r="EI269" s="455"/>
      <c r="EJ269" s="455"/>
      <c r="EK269" s="455"/>
      <c r="EL269" s="455"/>
      <c r="EM269" s="455"/>
      <c r="EN269" s="455"/>
      <c r="EO269" s="455"/>
      <c r="EP269" s="455"/>
      <c r="EQ269" s="455"/>
      <c r="ER269" s="455"/>
      <c r="ES269" s="455"/>
      <c r="ET269" s="455"/>
      <c r="EU269" s="455"/>
      <c r="EV269" s="455"/>
      <c r="EW269" s="455"/>
      <c r="EX269" s="455"/>
      <c r="EY269" s="455"/>
      <c r="EZ269" s="455"/>
      <c r="FA269" s="455"/>
      <c r="FB269" s="455"/>
      <c r="FC269" s="455"/>
      <c r="FD269" s="455"/>
      <c r="FE269" s="455"/>
      <c r="FF269" s="455"/>
      <c r="FG269" s="455"/>
      <c r="FH269" s="455"/>
      <c r="FI269" s="455"/>
      <c r="FJ269" s="455"/>
      <c r="FK269" s="455"/>
      <c r="FL269" s="455"/>
      <c r="FM269" s="455"/>
      <c r="FN269" s="455"/>
      <c r="FO269" s="455"/>
      <c r="FP269" s="455"/>
      <c r="FQ269" s="455"/>
      <c r="FR269" s="455"/>
      <c r="FS269" s="455"/>
      <c r="FT269" s="455"/>
      <c r="FU269" s="455"/>
      <c r="FV269" s="455"/>
      <c r="FW269" s="455"/>
      <c r="FX269" s="455"/>
      <c r="FY269" s="455"/>
      <c r="FZ269" s="455"/>
      <c r="GA269" s="455"/>
      <c r="GB269" s="455"/>
      <c r="GC269" s="455"/>
      <c r="GD269" s="455"/>
      <c r="GE269" s="455"/>
      <c r="GF269" s="455"/>
      <c r="GG269" s="455"/>
      <c r="GH269" s="455"/>
      <c r="GI269" s="455"/>
      <c r="GJ269" s="455"/>
      <c r="GK269" s="455"/>
      <c r="GL269" s="455"/>
      <c r="GM269" s="455"/>
      <c r="GN269" s="455"/>
      <c r="GO269" s="455"/>
      <c r="GP269" s="455"/>
      <c r="GQ269" s="455"/>
      <c r="GR269" s="455"/>
      <c r="GS269" s="455"/>
      <c r="GT269" s="455"/>
      <c r="GU269" s="455"/>
      <c r="GV269" s="455"/>
      <c r="GW269" s="455"/>
      <c r="GX269" s="455"/>
      <c r="GY269" s="455"/>
      <c r="GZ269" s="455"/>
      <c r="HA269" s="455"/>
      <c r="HB269" s="455"/>
      <c r="HC269" s="455"/>
      <c r="HD269" s="455"/>
      <c r="HE269" s="455"/>
      <c r="HF269" s="455"/>
      <c r="HG269" s="455"/>
      <c r="HH269" s="455"/>
      <c r="HI269" s="455"/>
      <c r="HJ269" s="455"/>
      <c r="HK269" s="455"/>
      <c r="HL269" s="455"/>
      <c r="HM269" s="455"/>
      <c r="HN269" s="455"/>
      <c r="HO269" s="455"/>
      <c r="HP269" s="455"/>
      <c r="HQ269" s="455"/>
      <c r="HR269" s="455"/>
      <c r="HS269" s="455"/>
      <c r="HT269" s="455"/>
      <c r="HU269" s="455"/>
      <c r="HV269" s="455"/>
      <c r="HW269" s="455"/>
      <c r="HX269" s="455"/>
      <c r="HY269" s="455"/>
      <c r="HZ269" s="455"/>
      <c r="IA269" s="455"/>
      <c r="IB269" s="455"/>
      <c r="IC269" s="455"/>
      <c r="ID269" s="455"/>
      <c r="IE269" s="455"/>
      <c r="IF269" s="455"/>
      <c r="IG269" s="455"/>
      <c r="IH269" s="455"/>
      <c r="II269" s="455"/>
      <c r="IJ269" s="455"/>
      <c r="IK269" s="455"/>
      <c r="IL269" s="455"/>
      <c r="IM269" s="455"/>
      <c r="IN269" s="455"/>
      <c r="IO269" s="455"/>
      <c r="IP269" s="455"/>
      <c r="IQ269" s="455"/>
      <c r="IR269" s="455"/>
      <c r="IS269" s="455"/>
    </row>
    <row r="270" spans="1:253" s="458" customFormat="1" ht="67.5" customHeight="1" x14ac:dyDescent="0.2">
      <c r="A270" s="444">
        <v>3144</v>
      </c>
      <c r="B270" s="445" t="s">
        <v>84</v>
      </c>
      <c r="C270" s="445" t="s">
        <v>85</v>
      </c>
      <c r="D270" s="445"/>
      <c r="E270" s="445"/>
      <c r="F270" s="445"/>
      <c r="G270" s="446">
        <v>203</v>
      </c>
      <c r="H270" s="445" t="s">
        <v>360</v>
      </c>
      <c r="I270" s="445"/>
      <c r="J270" s="445"/>
      <c r="K270" s="447"/>
      <c r="L270" s="445" t="s">
        <v>133</v>
      </c>
      <c r="M270" s="445">
        <v>3</v>
      </c>
      <c r="N270" s="445" t="s">
        <v>351</v>
      </c>
      <c r="O270" s="449" t="s">
        <v>1282</v>
      </c>
      <c r="P270" s="450">
        <v>10.566000000000001</v>
      </c>
      <c r="Q270" s="451">
        <f t="shared" si="6"/>
        <v>10.566000000000001</v>
      </c>
      <c r="R270" s="451">
        <f>SUMIF('Wege im Detail'!$A:$A,"3144",'Wege im Detail'!$P:$P)</f>
        <v>10.566000000000001</v>
      </c>
      <c r="S270" s="452" t="s">
        <v>361</v>
      </c>
      <c r="T270" s="453">
        <v>43313</v>
      </c>
      <c r="U270" s="448"/>
      <c r="V270" s="476"/>
      <c r="W270" s="448"/>
      <c r="X270" s="455"/>
      <c r="Y270" s="455"/>
      <c r="Z270" s="455"/>
      <c r="AA270" s="455"/>
      <c r="AB270" s="455"/>
      <c r="AC270" s="455"/>
      <c r="AD270" s="455"/>
      <c r="AE270" s="455"/>
      <c r="AF270" s="455"/>
      <c r="AG270" s="455"/>
      <c r="AH270" s="455"/>
      <c r="AI270" s="455"/>
      <c r="AJ270" s="455"/>
      <c r="AK270" s="455"/>
      <c r="AL270" s="455"/>
      <c r="AM270" s="455"/>
      <c r="AN270" s="455"/>
      <c r="AO270" s="455"/>
      <c r="AP270" s="455"/>
      <c r="AQ270" s="455"/>
      <c r="AR270" s="455"/>
      <c r="AS270" s="455"/>
      <c r="AT270" s="455"/>
      <c r="AU270" s="455"/>
      <c r="AV270" s="455"/>
      <c r="AW270" s="455"/>
      <c r="AX270" s="455"/>
      <c r="AY270" s="455"/>
      <c r="AZ270" s="455"/>
      <c r="BA270" s="455"/>
      <c r="BB270" s="455"/>
      <c r="BC270" s="455"/>
      <c r="BD270" s="455"/>
      <c r="BE270" s="455"/>
      <c r="BF270" s="455"/>
      <c r="BG270" s="455"/>
      <c r="BH270" s="455"/>
      <c r="BI270" s="455"/>
      <c r="BJ270" s="455"/>
      <c r="BK270" s="455"/>
      <c r="BL270" s="455"/>
      <c r="BM270" s="455"/>
      <c r="BN270" s="455"/>
      <c r="BO270" s="455"/>
      <c r="BP270" s="455"/>
      <c r="BQ270" s="455"/>
      <c r="BR270" s="455"/>
      <c r="BS270" s="455"/>
      <c r="BT270" s="455"/>
      <c r="BU270" s="455"/>
      <c r="BV270" s="455"/>
      <c r="BW270" s="455"/>
      <c r="BX270" s="455"/>
      <c r="BY270" s="455"/>
      <c r="BZ270" s="455"/>
      <c r="CA270" s="455"/>
      <c r="CB270" s="455"/>
      <c r="CC270" s="455"/>
      <c r="CD270" s="455"/>
      <c r="CE270" s="455"/>
      <c r="CF270" s="455"/>
      <c r="CG270" s="455"/>
      <c r="CH270" s="455"/>
      <c r="CI270" s="455"/>
      <c r="CJ270" s="455"/>
      <c r="CK270" s="455"/>
      <c r="CL270" s="455"/>
      <c r="CM270" s="455"/>
      <c r="CN270" s="455"/>
      <c r="CO270" s="455"/>
      <c r="CP270" s="455"/>
      <c r="CQ270" s="455"/>
      <c r="CR270" s="455"/>
      <c r="CS270" s="455"/>
      <c r="CT270" s="455"/>
      <c r="CU270" s="455"/>
      <c r="CV270" s="455"/>
      <c r="CW270" s="455"/>
      <c r="CX270" s="455"/>
      <c r="CY270" s="455"/>
      <c r="CZ270" s="455"/>
      <c r="DA270" s="455"/>
      <c r="DB270" s="455"/>
      <c r="DC270" s="455"/>
      <c r="DD270" s="455"/>
      <c r="DE270" s="455"/>
      <c r="DF270" s="455"/>
      <c r="DG270" s="455"/>
      <c r="DH270" s="455"/>
      <c r="DI270" s="455"/>
      <c r="DJ270" s="455"/>
      <c r="DK270" s="455"/>
      <c r="DL270" s="455"/>
      <c r="DM270" s="455"/>
      <c r="DN270" s="455"/>
      <c r="DO270" s="455"/>
      <c r="DP270" s="455"/>
      <c r="DQ270" s="455"/>
      <c r="DR270" s="455"/>
      <c r="DS270" s="455"/>
      <c r="DT270" s="455"/>
      <c r="DU270" s="455"/>
      <c r="DV270" s="455"/>
      <c r="DW270" s="455"/>
      <c r="DX270" s="455"/>
      <c r="DY270" s="455"/>
      <c r="DZ270" s="455"/>
      <c r="EA270" s="455"/>
      <c r="EB270" s="455"/>
      <c r="EC270" s="455"/>
      <c r="ED270" s="455"/>
      <c r="EE270" s="455"/>
      <c r="EF270" s="455"/>
      <c r="EG270" s="455"/>
      <c r="EH270" s="455"/>
      <c r="EI270" s="455"/>
      <c r="EJ270" s="455"/>
      <c r="EK270" s="455"/>
      <c r="EL270" s="455"/>
      <c r="EM270" s="455"/>
      <c r="EN270" s="455"/>
      <c r="EO270" s="455"/>
      <c r="EP270" s="455"/>
      <c r="EQ270" s="455"/>
      <c r="ER270" s="455"/>
      <c r="ES270" s="455"/>
      <c r="ET270" s="455"/>
      <c r="EU270" s="455"/>
      <c r="EV270" s="455"/>
      <c r="EW270" s="455"/>
      <c r="EX270" s="455"/>
      <c r="EY270" s="455"/>
      <c r="EZ270" s="455"/>
      <c r="FA270" s="455"/>
      <c r="FB270" s="455"/>
      <c r="FC270" s="455"/>
      <c r="FD270" s="455"/>
      <c r="FE270" s="455"/>
      <c r="FF270" s="455"/>
      <c r="FG270" s="455"/>
      <c r="FH270" s="455"/>
      <c r="FI270" s="455"/>
      <c r="FJ270" s="455"/>
      <c r="FK270" s="455"/>
      <c r="FL270" s="455"/>
      <c r="FM270" s="455"/>
      <c r="FN270" s="455"/>
      <c r="FO270" s="455"/>
      <c r="FP270" s="455"/>
      <c r="FQ270" s="455"/>
      <c r="FR270" s="455"/>
      <c r="FS270" s="455"/>
      <c r="FT270" s="455"/>
      <c r="FU270" s="455"/>
      <c r="FV270" s="455"/>
      <c r="FW270" s="455"/>
      <c r="FX270" s="455"/>
      <c r="FY270" s="455"/>
      <c r="FZ270" s="455"/>
      <c r="GA270" s="455"/>
      <c r="GB270" s="455"/>
      <c r="GC270" s="455"/>
      <c r="GD270" s="455"/>
      <c r="GE270" s="455"/>
      <c r="GF270" s="455"/>
      <c r="GG270" s="455"/>
      <c r="GH270" s="455"/>
      <c r="GI270" s="455"/>
      <c r="GJ270" s="455"/>
      <c r="GK270" s="455"/>
      <c r="GL270" s="455"/>
      <c r="GM270" s="455"/>
      <c r="GN270" s="455"/>
      <c r="GO270" s="455"/>
      <c r="GP270" s="455"/>
      <c r="GQ270" s="455"/>
      <c r="GR270" s="455"/>
      <c r="GS270" s="455"/>
      <c r="GT270" s="455"/>
      <c r="GU270" s="455"/>
      <c r="GV270" s="455"/>
      <c r="GW270" s="455"/>
      <c r="GX270" s="455"/>
      <c r="GY270" s="455"/>
      <c r="GZ270" s="455"/>
      <c r="HA270" s="455"/>
      <c r="HB270" s="455"/>
      <c r="HC270" s="455"/>
      <c r="HD270" s="455"/>
      <c r="HE270" s="455"/>
      <c r="HF270" s="455"/>
      <c r="HG270" s="455"/>
      <c r="HH270" s="455"/>
      <c r="HI270" s="455"/>
      <c r="HJ270" s="455"/>
      <c r="HK270" s="455"/>
      <c r="HL270" s="455"/>
      <c r="HM270" s="455"/>
      <c r="HN270" s="455"/>
      <c r="HO270" s="455"/>
      <c r="HP270" s="455"/>
      <c r="HQ270" s="455"/>
      <c r="HR270" s="455"/>
      <c r="HS270" s="455"/>
      <c r="HT270" s="455"/>
      <c r="HU270" s="455"/>
      <c r="HV270" s="455"/>
      <c r="HW270" s="455"/>
      <c r="HX270" s="455"/>
      <c r="HY270" s="455"/>
      <c r="HZ270" s="455"/>
      <c r="IA270" s="455"/>
      <c r="IB270" s="455"/>
      <c r="IC270" s="455"/>
      <c r="ID270" s="455"/>
      <c r="IE270" s="455"/>
      <c r="IF270" s="455"/>
      <c r="IG270" s="455"/>
      <c r="IH270" s="455"/>
      <c r="II270" s="455"/>
      <c r="IJ270" s="455"/>
      <c r="IK270" s="455"/>
      <c r="IL270" s="455"/>
      <c r="IM270" s="455"/>
      <c r="IN270" s="455"/>
      <c r="IO270" s="455"/>
      <c r="IP270" s="455"/>
      <c r="IQ270" s="455"/>
      <c r="IR270" s="455"/>
      <c r="IS270" s="455"/>
    </row>
    <row r="271" spans="1:253" s="458" customFormat="1" ht="45" customHeight="1" x14ac:dyDescent="0.25">
      <c r="A271" s="444">
        <v>3147</v>
      </c>
      <c r="B271" s="445" t="s">
        <v>84</v>
      </c>
      <c r="C271" s="445" t="s">
        <v>85</v>
      </c>
      <c r="D271" s="445"/>
      <c r="E271" s="445"/>
      <c r="F271" s="479"/>
      <c r="G271" s="446">
        <v>70</v>
      </c>
      <c r="H271" s="445" t="s">
        <v>363</v>
      </c>
      <c r="I271" s="445"/>
      <c r="J271" s="445"/>
      <c r="K271" s="447"/>
      <c r="L271" s="448" t="s">
        <v>364</v>
      </c>
      <c r="M271" s="445">
        <v>3</v>
      </c>
      <c r="N271" s="445" t="s">
        <v>93</v>
      </c>
      <c r="O271" s="449" t="s">
        <v>1283</v>
      </c>
      <c r="P271" s="450">
        <v>10.789</v>
      </c>
      <c r="Q271" s="451">
        <f t="shared" si="6"/>
        <v>10.789</v>
      </c>
      <c r="R271" s="451">
        <f>SUMIF('Wege im Detail'!$A:$A,"3147",'Wege im Detail'!$P:$P)</f>
        <v>10.789</v>
      </c>
      <c r="S271" s="452" t="s">
        <v>365</v>
      </c>
      <c r="T271" s="453">
        <v>43952</v>
      </c>
      <c r="U271" s="448"/>
      <c r="V271" s="485"/>
      <c r="W271" s="448"/>
      <c r="X271" s="455"/>
      <c r="Y271" s="455"/>
      <c r="Z271" s="455"/>
      <c r="AA271" s="455"/>
      <c r="AB271" s="455"/>
      <c r="AC271" s="455"/>
      <c r="AD271" s="455"/>
      <c r="AE271" s="455"/>
      <c r="AF271" s="455"/>
      <c r="AG271" s="455"/>
      <c r="AH271" s="455"/>
      <c r="AI271" s="455"/>
      <c r="AJ271" s="455"/>
      <c r="AK271" s="455"/>
      <c r="AL271" s="455"/>
      <c r="AM271" s="455"/>
      <c r="AN271" s="455"/>
      <c r="AO271" s="455"/>
      <c r="AP271" s="455"/>
      <c r="AQ271" s="455"/>
      <c r="AR271" s="455"/>
      <c r="AS271" s="455"/>
      <c r="AT271" s="455"/>
      <c r="AU271" s="455"/>
      <c r="AV271" s="455"/>
      <c r="AW271" s="455"/>
      <c r="AX271" s="455"/>
      <c r="AY271" s="455"/>
      <c r="AZ271" s="455"/>
      <c r="BA271" s="455"/>
      <c r="BB271" s="455"/>
      <c r="BC271" s="455"/>
      <c r="BD271" s="455"/>
      <c r="BE271" s="455"/>
      <c r="BF271" s="455"/>
      <c r="BG271" s="455"/>
      <c r="BH271" s="455"/>
      <c r="BI271" s="455"/>
      <c r="BJ271" s="455"/>
      <c r="BK271" s="455"/>
      <c r="BL271" s="455"/>
      <c r="BM271" s="455"/>
      <c r="BN271" s="455"/>
      <c r="BO271" s="455"/>
      <c r="BP271" s="455"/>
      <c r="BQ271" s="455"/>
      <c r="BR271" s="455"/>
      <c r="BS271" s="455"/>
      <c r="BT271" s="455"/>
      <c r="BU271" s="455"/>
      <c r="BV271" s="455"/>
      <c r="BW271" s="455"/>
      <c r="BX271" s="455"/>
      <c r="BY271" s="455"/>
      <c r="BZ271" s="455"/>
      <c r="CA271" s="455"/>
      <c r="CB271" s="455"/>
      <c r="CC271" s="455"/>
      <c r="CD271" s="455"/>
      <c r="CE271" s="455"/>
      <c r="CF271" s="455"/>
      <c r="CG271" s="455"/>
      <c r="CH271" s="455"/>
      <c r="CI271" s="455"/>
      <c r="CJ271" s="455"/>
      <c r="CK271" s="455"/>
      <c r="CL271" s="455"/>
      <c r="CM271" s="455"/>
      <c r="CN271" s="455"/>
      <c r="CO271" s="455"/>
      <c r="CP271" s="455"/>
      <c r="CQ271" s="455"/>
      <c r="CR271" s="455"/>
      <c r="CS271" s="455"/>
      <c r="CT271" s="455"/>
      <c r="CU271" s="455"/>
      <c r="CV271" s="455"/>
      <c r="CW271" s="455"/>
      <c r="CX271" s="455"/>
      <c r="CY271" s="455"/>
      <c r="CZ271" s="455"/>
      <c r="DA271" s="455"/>
      <c r="DB271" s="455"/>
      <c r="DC271" s="455"/>
      <c r="DD271" s="455"/>
      <c r="DE271" s="455"/>
      <c r="DF271" s="455"/>
      <c r="DG271" s="455"/>
      <c r="DH271" s="455"/>
      <c r="DI271" s="455"/>
      <c r="DJ271" s="455"/>
      <c r="DK271" s="455"/>
      <c r="DL271" s="455"/>
      <c r="DM271" s="455"/>
      <c r="DN271" s="455"/>
      <c r="DO271" s="455"/>
      <c r="DP271" s="455"/>
      <c r="DQ271" s="455"/>
      <c r="DR271" s="455"/>
      <c r="DS271" s="455"/>
      <c r="DT271" s="455"/>
      <c r="DU271" s="455"/>
      <c r="DV271" s="455"/>
      <c r="DW271" s="455"/>
      <c r="DX271" s="455"/>
      <c r="DY271" s="455"/>
      <c r="DZ271" s="455"/>
      <c r="EA271" s="455"/>
      <c r="EB271" s="455"/>
      <c r="EC271" s="455"/>
      <c r="ED271" s="455"/>
      <c r="EE271" s="455"/>
      <c r="EF271" s="455"/>
      <c r="EG271" s="455"/>
      <c r="EH271" s="455"/>
      <c r="EI271" s="455"/>
      <c r="EJ271" s="455"/>
      <c r="EK271" s="455"/>
      <c r="EL271" s="455"/>
      <c r="EM271" s="455"/>
      <c r="EN271" s="455"/>
      <c r="EO271" s="455"/>
      <c r="EP271" s="455"/>
      <c r="EQ271" s="455"/>
      <c r="ER271" s="455"/>
      <c r="ES271" s="455"/>
      <c r="ET271" s="455"/>
      <c r="EU271" s="455"/>
      <c r="EV271" s="455"/>
      <c r="EW271" s="455"/>
      <c r="EX271" s="455"/>
      <c r="EY271" s="455"/>
      <c r="EZ271" s="455"/>
      <c r="FA271" s="455"/>
      <c r="FB271" s="455"/>
      <c r="FC271" s="455"/>
      <c r="FD271" s="455"/>
      <c r="FE271" s="455"/>
      <c r="FF271" s="455"/>
      <c r="FG271" s="455"/>
      <c r="FH271" s="455"/>
      <c r="FI271" s="455"/>
      <c r="FJ271" s="455"/>
      <c r="FK271" s="455"/>
      <c r="FL271" s="455"/>
      <c r="FM271" s="455"/>
      <c r="FN271" s="455"/>
      <c r="FO271" s="455"/>
      <c r="FP271" s="455"/>
      <c r="FQ271" s="455"/>
      <c r="FR271" s="455"/>
      <c r="FS271" s="455"/>
      <c r="FT271" s="455"/>
      <c r="FU271" s="455"/>
      <c r="FV271" s="455"/>
      <c r="FW271" s="455"/>
      <c r="FX271" s="455"/>
      <c r="FY271" s="455"/>
      <c r="FZ271" s="455"/>
      <c r="GA271" s="455"/>
      <c r="GB271" s="455"/>
      <c r="GC271" s="455"/>
      <c r="GD271" s="455"/>
      <c r="GE271" s="455"/>
      <c r="GF271" s="455"/>
      <c r="GG271" s="455"/>
      <c r="GH271" s="455"/>
      <c r="GI271" s="455"/>
      <c r="GJ271" s="455"/>
      <c r="GK271" s="455"/>
      <c r="GL271" s="455"/>
      <c r="GM271" s="455"/>
      <c r="GN271" s="455"/>
      <c r="GO271" s="455"/>
      <c r="GP271" s="455"/>
      <c r="GQ271" s="455"/>
      <c r="GR271" s="455"/>
      <c r="GS271" s="455"/>
      <c r="GT271" s="455"/>
      <c r="GU271" s="455"/>
      <c r="GV271" s="455"/>
      <c r="GW271" s="455"/>
      <c r="GX271" s="455"/>
      <c r="GY271" s="455"/>
      <c r="GZ271" s="455"/>
      <c r="HA271" s="455"/>
      <c r="HB271" s="455"/>
      <c r="HC271" s="455"/>
      <c r="HD271" s="455"/>
      <c r="HE271" s="455"/>
      <c r="HF271" s="455"/>
      <c r="HG271" s="455"/>
      <c r="HH271" s="455"/>
      <c r="HI271" s="455"/>
      <c r="HJ271" s="455"/>
      <c r="HK271" s="455"/>
      <c r="HL271" s="455"/>
      <c r="HM271" s="455"/>
      <c r="HN271" s="455"/>
      <c r="HO271" s="455"/>
      <c r="HP271" s="455"/>
      <c r="HQ271" s="455"/>
      <c r="HR271" s="455"/>
      <c r="HS271" s="455"/>
      <c r="HT271" s="455"/>
      <c r="HU271" s="455"/>
      <c r="HV271" s="455"/>
      <c r="HW271" s="455"/>
      <c r="HX271" s="455"/>
      <c r="HY271" s="455"/>
      <c r="HZ271" s="455"/>
      <c r="IA271" s="455"/>
      <c r="IB271" s="455"/>
      <c r="IC271" s="455"/>
      <c r="ID271" s="455"/>
      <c r="IE271" s="455"/>
      <c r="IF271" s="455"/>
      <c r="IG271" s="455"/>
      <c r="IH271" s="455"/>
      <c r="II271" s="455"/>
      <c r="IJ271" s="455"/>
      <c r="IK271" s="455"/>
      <c r="IL271" s="455"/>
      <c r="IM271" s="455"/>
      <c r="IN271" s="455"/>
      <c r="IO271" s="455"/>
      <c r="IP271" s="455"/>
      <c r="IQ271" s="455"/>
      <c r="IR271" s="455"/>
      <c r="IS271" s="455"/>
    </row>
    <row r="272" spans="1:253" s="458" customFormat="1" ht="45" x14ac:dyDescent="0.2">
      <c r="A272" s="444">
        <v>3148</v>
      </c>
      <c r="B272" s="445" t="s">
        <v>84</v>
      </c>
      <c r="C272" s="445" t="s">
        <v>366</v>
      </c>
      <c r="D272" s="445" t="s">
        <v>366</v>
      </c>
      <c r="E272" s="445"/>
      <c r="F272" s="479"/>
      <c r="G272" s="446">
        <v>73</v>
      </c>
      <c r="H272" s="445" t="s">
        <v>368</v>
      </c>
      <c r="I272" s="445"/>
      <c r="J272" s="445"/>
      <c r="K272" s="447"/>
      <c r="L272" s="448" t="s">
        <v>369</v>
      </c>
      <c r="M272" s="445">
        <v>3</v>
      </c>
      <c r="N272" s="445" t="s">
        <v>93</v>
      </c>
      <c r="O272" s="449" t="s">
        <v>1284</v>
      </c>
      <c r="P272" s="450">
        <v>3.7440000000000002</v>
      </c>
      <c r="Q272" s="451">
        <f t="shared" si="6"/>
        <v>3.7440000000000002</v>
      </c>
      <c r="R272" s="451">
        <f>SUMIF('Wege im Detail'!$A:$A,"3148",'Wege im Detail'!$P:$P)</f>
        <v>3.7440000000000002</v>
      </c>
      <c r="S272" s="452" t="s">
        <v>370</v>
      </c>
      <c r="T272" s="453">
        <v>43313</v>
      </c>
      <c r="U272" s="448"/>
      <c r="W272" s="448"/>
    </row>
    <row r="273" spans="1:253" s="458" customFormat="1" ht="45" x14ac:dyDescent="0.2">
      <c r="A273" s="444">
        <v>3150</v>
      </c>
      <c r="B273" s="445" t="s">
        <v>84</v>
      </c>
      <c r="C273" s="445" t="s">
        <v>85</v>
      </c>
      <c r="D273" s="445"/>
      <c r="E273" s="445"/>
      <c r="F273" s="479"/>
      <c r="G273" s="446">
        <v>71</v>
      </c>
      <c r="H273" s="445" t="s">
        <v>372</v>
      </c>
      <c r="I273" s="445"/>
      <c r="J273" s="445"/>
      <c r="K273" s="447"/>
      <c r="L273" s="448" t="s">
        <v>373</v>
      </c>
      <c r="M273" s="445">
        <v>3</v>
      </c>
      <c r="N273" s="445" t="s">
        <v>93</v>
      </c>
      <c r="O273" s="449" t="s">
        <v>1285</v>
      </c>
      <c r="P273" s="450">
        <v>4.492</v>
      </c>
      <c r="Q273" s="451">
        <f t="shared" si="6"/>
        <v>4.492</v>
      </c>
      <c r="R273" s="451">
        <f>SUMIF('Wege im Detail'!$A:$A,"3150",'Wege im Detail'!$P:$P)</f>
        <v>4.492</v>
      </c>
      <c r="S273" s="452" t="s">
        <v>374</v>
      </c>
      <c r="T273" s="453">
        <v>43313</v>
      </c>
      <c r="U273" s="448"/>
      <c r="W273" s="448"/>
      <c r="X273" s="455"/>
      <c r="Y273" s="455"/>
      <c r="Z273" s="455"/>
      <c r="AA273" s="455"/>
      <c r="AB273" s="455"/>
      <c r="AC273" s="455"/>
      <c r="AD273" s="455"/>
      <c r="AE273" s="455"/>
      <c r="AF273" s="455"/>
      <c r="AG273" s="455"/>
      <c r="AH273" s="455"/>
      <c r="AI273" s="455"/>
      <c r="AJ273" s="455"/>
      <c r="AK273" s="455"/>
      <c r="AL273" s="455"/>
      <c r="AM273" s="455"/>
      <c r="AN273" s="455"/>
      <c r="AO273" s="455"/>
      <c r="AP273" s="455"/>
      <c r="AQ273" s="455"/>
      <c r="AR273" s="455"/>
      <c r="AS273" s="455"/>
      <c r="AT273" s="455"/>
      <c r="AU273" s="455"/>
      <c r="AV273" s="455"/>
      <c r="AW273" s="455"/>
      <c r="AX273" s="455"/>
      <c r="AY273" s="455"/>
      <c r="AZ273" s="455"/>
      <c r="BA273" s="455"/>
      <c r="BB273" s="455"/>
      <c r="BC273" s="455"/>
      <c r="BD273" s="455"/>
      <c r="BE273" s="455"/>
      <c r="BF273" s="455"/>
      <c r="BG273" s="455"/>
      <c r="BH273" s="455"/>
      <c r="BI273" s="455"/>
      <c r="BJ273" s="455"/>
      <c r="BK273" s="455"/>
      <c r="BL273" s="455"/>
      <c r="BM273" s="455"/>
      <c r="BN273" s="455"/>
      <c r="BO273" s="455"/>
      <c r="BP273" s="455"/>
      <c r="BQ273" s="455"/>
      <c r="BR273" s="455"/>
      <c r="BS273" s="455"/>
      <c r="BT273" s="455"/>
      <c r="BU273" s="455"/>
      <c r="BV273" s="455"/>
      <c r="BW273" s="455"/>
      <c r="BX273" s="455"/>
      <c r="BY273" s="455"/>
      <c r="BZ273" s="455"/>
      <c r="CA273" s="455"/>
      <c r="CB273" s="455"/>
      <c r="CC273" s="455"/>
      <c r="CD273" s="455"/>
      <c r="CE273" s="455"/>
      <c r="CF273" s="455"/>
      <c r="CG273" s="455"/>
      <c r="CH273" s="455"/>
      <c r="CI273" s="455"/>
      <c r="CJ273" s="455"/>
      <c r="CK273" s="455"/>
      <c r="CL273" s="455"/>
      <c r="CM273" s="455"/>
      <c r="CN273" s="455"/>
      <c r="CO273" s="455"/>
      <c r="CP273" s="455"/>
      <c r="CQ273" s="455"/>
      <c r="CR273" s="455"/>
      <c r="CS273" s="455"/>
      <c r="CT273" s="455"/>
      <c r="CU273" s="455"/>
      <c r="CV273" s="455"/>
      <c r="CW273" s="455"/>
      <c r="CX273" s="455"/>
      <c r="CY273" s="455"/>
      <c r="CZ273" s="455"/>
      <c r="DA273" s="455"/>
      <c r="DB273" s="455"/>
      <c r="DC273" s="455"/>
      <c r="DD273" s="455"/>
      <c r="DE273" s="455"/>
      <c r="DF273" s="455"/>
      <c r="DG273" s="455"/>
      <c r="DH273" s="455"/>
      <c r="DI273" s="455"/>
      <c r="DJ273" s="455"/>
      <c r="DK273" s="455"/>
      <c r="DL273" s="455"/>
      <c r="DM273" s="455"/>
      <c r="DN273" s="455"/>
      <c r="DO273" s="455"/>
      <c r="DP273" s="455"/>
      <c r="DQ273" s="455"/>
      <c r="DR273" s="455"/>
      <c r="DS273" s="455"/>
      <c r="DT273" s="455"/>
      <c r="DU273" s="455"/>
      <c r="DV273" s="455"/>
      <c r="DW273" s="455"/>
      <c r="DX273" s="455"/>
      <c r="DY273" s="455"/>
      <c r="DZ273" s="455"/>
      <c r="EA273" s="455"/>
      <c r="EB273" s="455"/>
      <c r="EC273" s="455"/>
      <c r="ED273" s="455"/>
      <c r="EE273" s="455"/>
      <c r="EF273" s="455"/>
      <c r="EG273" s="455"/>
      <c r="EH273" s="455"/>
      <c r="EI273" s="455"/>
      <c r="EJ273" s="455"/>
      <c r="EK273" s="455"/>
      <c r="EL273" s="455"/>
      <c r="EM273" s="455"/>
      <c r="EN273" s="455"/>
      <c r="EO273" s="455"/>
      <c r="EP273" s="455"/>
      <c r="EQ273" s="455"/>
      <c r="ER273" s="455"/>
      <c r="ES273" s="455"/>
      <c r="ET273" s="455"/>
      <c r="EU273" s="455"/>
      <c r="EV273" s="455"/>
      <c r="EW273" s="455"/>
      <c r="EX273" s="455"/>
      <c r="EY273" s="455"/>
      <c r="EZ273" s="455"/>
      <c r="FA273" s="455"/>
      <c r="FB273" s="455"/>
      <c r="FC273" s="455"/>
      <c r="FD273" s="455"/>
      <c r="FE273" s="455"/>
      <c r="FF273" s="455"/>
      <c r="FG273" s="455"/>
      <c r="FH273" s="455"/>
      <c r="FI273" s="455"/>
      <c r="FJ273" s="455"/>
      <c r="FK273" s="455"/>
      <c r="FL273" s="455"/>
      <c r="FM273" s="455"/>
      <c r="FN273" s="455"/>
      <c r="FO273" s="455"/>
      <c r="FP273" s="455"/>
      <c r="FQ273" s="455"/>
      <c r="FR273" s="455"/>
      <c r="FS273" s="455"/>
      <c r="FT273" s="455"/>
      <c r="FU273" s="455"/>
      <c r="FV273" s="455"/>
      <c r="FW273" s="455"/>
      <c r="FX273" s="455"/>
      <c r="FY273" s="455"/>
      <c r="FZ273" s="455"/>
      <c r="GA273" s="455"/>
      <c r="GB273" s="455"/>
      <c r="GC273" s="455"/>
      <c r="GD273" s="455"/>
      <c r="GE273" s="455"/>
      <c r="GF273" s="455"/>
      <c r="GG273" s="455"/>
      <c r="GH273" s="455"/>
      <c r="GI273" s="455"/>
      <c r="GJ273" s="455"/>
      <c r="GK273" s="455"/>
      <c r="GL273" s="455"/>
      <c r="GM273" s="455"/>
      <c r="GN273" s="455"/>
      <c r="GO273" s="455"/>
      <c r="GP273" s="455"/>
      <c r="GQ273" s="455"/>
      <c r="GR273" s="455"/>
      <c r="GS273" s="455"/>
      <c r="GT273" s="455"/>
      <c r="GU273" s="455"/>
      <c r="GV273" s="455"/>
      <c r="GW273" s="455"/>
      <c r="GX273" s="455"/>
      <c r="GY273" s="455"/>
      <c r="GZ273" s="455"/>
      <c r="HA273" s="455"/>
      <c r="HB273" s="455"/>
      <c r="HC273" s="455"/>
      <c r="HD273" s="455"/>
      <c r="HE273" s="455"/>
      <c r="HF273" s="455"/>
      <c r="HG273" s="455"/>
      <c r="HH273" s="455"/>
      <c r="HI273" s="455"/>
      <c r="HJ273" s="455"/>
      <c r="HK273" s="455"/>
      <c r="HL273" s="455"/>
      <c r="HM273" s="455"/>
      <c r="HN273" s="455"/>
      <c r="HO273" s="455"/>
      <c r="HP273" s="455"/>
      <c r="HQ273" s="455"/>
      <c r="HR273" s="455"/>
      <c r="HS273" s="455"/>
      <c r="HT273" s="455"/>
      <c r="HU273" s="455"/>
      <c r="HV273" s="455"/>
      <c r="HW273" s="455"/>
      <c r="HX273" s="455"/>
      <c r="HY273" s="455"/>
      <c r="HZ273" s="455"/>
      <c r="IA273" s="455"/>
      <c r="IB273" s="455"/>
      <c r="IC273" s="455"/>
      <c r="ID273" s="455"/>
      <c r="IE273" s="455"/>
      <c r="IF273" s="455"/>
      <c r="IG273" s="455"/>
      <c r="IH273" s="455"/>
      <c r="II273" s="455"/>
      <c r="IJ273" s="455"/>
      <c r="IK273" s="455"/>
      <c r="IL273" s="455"/>
      <c r="IM273" s="455"/>
      <c r="IN273" s="455"/>
      <c r="IO273" s="455"/>
      <c r="IP273" s="455"/>
      <c r="IQ273" s="455"/>
      <c r="IR273" s="455"/>
      <c r="IS273" s="455"/>
    </row>
    <row r="274" spans="1:253" s="458" customFormat="1" ht="56.25" x14ac:dyDescent="0.2">
      <c r="A274" s="444">
        <v>3151</v>
      </c>
      <c r="B274" s="445" t="s">
        <v>84</v>
      </c>
      <c r="C274" s="445" t="s">
        <v>85</v>
      </c>
      <c r="D274" s="445"/>
      <c r="E274" s="445"/>
      <c r="F274" s="445"/>
      <c r="G274" s="446">
        <v>221</v>
      </c>
      <c r="H274" s="445" t="s">
        <v>375</v>
      </c>
      <c r="I274" s="445"/>
      <c r="J274" s="445"/>
      <c r="K274" s="447"/>
      <c r="L274" s="445" t="s">
        <v>142</v>
      </c>
      <c r="M274" s="445">
        <v>5</v>
      </c>
      <c r="N274" s="445" t="s">
        <v>98</v>
      </c>
      <c r="O274" s="449" t="s">
        <v>1286</v>
      </c>
      <c r="P274" s="450">
        <v>4.7409999999999997</v>
      </c>
      <c r="Q274" s="451">
        <f t="shared" si="6"/>
        <v>4.7409999999999997</v>
      </c>
      <c r="R274" s="451">
        <f>SUMIF('Wege im Detail'!$A:$A,"3151",'Wege im Detail'!$P:$P)</f>
        <v>4.7409999999999997</v>
      </c>
      <c r="S274" s="452" t="s">
        <v>376</v>
      </c>
      <c r="T274" s="453">
        <v>43313</v>
      </c>
      <c r="U274" s="448"/>
      <c r="V274" s="476"/>
      <c r="W274" s="448"/>
    </row>
    <row r="275" spans="1:253" s="458" customFormat="1" ht="56.25" x14ac:dyDescent="0.2">
      <c r="A275" s="444">
        <v>3152</v>
      </c>
      <c r="B275" s="445" t="s">
        <v>84</v>
      </c>
      <c r="C275" s="445" t="s">
        <v>85</v>
      </c>
      <c r="D275" s="445"/>
      <c r="E275" s="445"/>
      <c r="F275" s="445"/>
      <c r="G275" s="446">
        <v>222</v>
      </c>
      <c r="H275" s="445" t="s">
        <v>377</v>
      </c>
      <c r="I275" s="445"/>
      <c r="J275" s="445"/>
      <c r="K275" s="447"/>
      <c r="L275" s="445" t="s">
        <v>147</v>
      </c>
      <c r="M275" s="445">
        <v>5</v>
      </c>
      <c r="N275" s="445" t="s">
        <v>98</v>
      </c>
      <c r="O275" s="449" t="s">
        <v>1287</v>
      </c>
      <c r="P275" s="450">
        <v>6.3579999999999997</v>
      </c>
      <c r="Q275" s="451">
        <f t="shared" si="6"/>
        <v>6.3579999999999997</v>
      </c>
      <c r="R275" s="451">
        <f>SUMIF('Wege im Detail'!$A:$A,"3152",'Wege im Detail'!$P:$P)</f>
        <v>6.3579999999999997</v>
      </c>
      <c r="S275" s="452" t="s">
        <v>378</v>
      </c>
      <c r="T275" s="453">
        <v>43313</v>
      </c>
      <c r="U275" s="448"/>
      <c r="V275" s="476"/>
      <c r="W275" s="448"/>
    </row>
    <row r="276" spans="1:253" s="458" customFormat="1" ht="56.25" x14ac:dyDescent="0.2">
      <c r="A276" s="444">
        <v>3153</v>
      </c>
      <c r="B276" s="445" t="s">
        <v>84</v>
      </c>
      <c r="C276" s="445" t="s">
        <v>85</v>
      </c>
      <c r="D276" s="445"/>
      <c r="E276" s="445"/>
      <c r="F276" s="445"/>
      <c r="G276" s="446">
        <v>223</v>
      </c>
      <c r="H276" s="445" t="s">
        <v>379</v>
      </c>
      <c r="I276" s="445"/>
      <c r="J276" s="445"/>
      <c r="K276" s="447"/>
      <c r="L276" s="445" t="s">
        <v>133</v>
      </c>
      <c r="M276" s="445">
        <v>5</v>
      </c>
      <c r="N276" s="445" t="s">
        <v>98</v>
      </c>
      <c r="O276" s="449" t="s">
        <v>1288</v>
      </c>
      <c r="P276" s="450">
        <v>6.8959999999999999</v>
      </c>
      <c r="Q276" s="451">
        <f t="shared" si="6"/>
        <v>6.8959999999999999</v>
      </c>
      <c r="R276" s="451">
        <f>SUMIF('Wege im Detail'!$A:$A,"3153",'Wege im Detail'!$P:$P)</f>
        <v>6.8959999999999999</v>
      </c>
      <c r="S276" s="452" t="s">
        <v>380</v>
      </c>
      <c r="T276" s="453">
        <v>43313</v>
      </c>
      <c r="U276" s="448"/>
      <c r="V276" s="476"/>
      <c r="W276" s="448"/>
    </row>
    <row r="277" spans="1:253" s="458" customFormat="1" ht="56.25" x14ac:dyDescent="0.2">
      <c r="A277" s="444">
        <v>3157</v>
      </c>
      <c r="B277" s="445" t="s">
        <v>84</v>
      </c>
      <c r="C277" s="445" t="s">
        <v>85</v>
      </c>
      <c r="D277" s="445"/>
      <c r="E277" s="445"/>
      <c r="F277" s="445"/>
      <c r="G277" s="446">
        <v>205</v>
      </c>
      <c r="H277" s="445" t="s">
        <v>382</v>
      </c>
      <c r="I277" s="445"/>
      <c r="J277" s="445"/>
      <c r="K277" s="447"/>
      <c r="L277" s="445" t="s">
        <v>88</v>
      </c>
      <c r="M277" s="445">
        <v>3</v>
      </c>
      <c r="N277" s="445" t="s">
        <v>351</v>
      </c>
      <c r="O277" s="449" t="s">
        <v>1289</v>
      </c>
      <c r="P277" s="450">
        <v>8.3420000000000005</v>
      </c>
      <c r="Q277" s="451">
        <f t="shared" si="6"/>
        <v>8.3420000000000005</v>
      </c>
      <c r="R277" s="451">
        <f>SUMIF('Wege im Detail'!$A:$A,"3157",'Wege im Detail'!$P:$P)</f>
        <v>8.3420000000000005</v>
      </c>
      <c r="S277" s="452" t="s">
        <v>383</v>
      </c>
      <c r="T277" s="453">
        <v>43313</v>
      </c>
      <c r="U277" s="448"/>
      <c r="V277" s="476"/>
      <c r="W277" s="448"/>
      <c r="X277" s="455"/>
      <c r="Y277" s="455"/>
      <c r="Z277" s="455"/>
      <c r="AA277" s="455"/>
      <c r="AB277" s="455"/>
      <c r="AC277" s="455"/>
      <c r="AD277" s="455"/>
      <c r="AE277" s="455"/>
      <c r="AF277" s="455"/>
      <c r="AG277" s="455"/>
      <c r="AH277" s="455"/>
      <c r="AI277" s="455"/>
      <c r="AJ277" s="455"/>
      <c r="AK277" s="455"/>
      <c r="AL277" s="455"/>
      <c r="AM277" s="455"/>
      <c r="AN277" s="455"/>
      <c r="AO277" s="455"/>
      <c r="AP277" s="455"/>
      <c r="AQ277" s="455"/>
      <c r="AR277" s="455"/>
      <c r="AS277" s="455"/>
      <c r="AT277" s="455"/>
      <c r="AU277" s="455"/>
      <c r="AV277" s="455"/>
      <c r="AW277" s="455"/>
      <c r="AX277" s="455"/>
      <c r="AY277" s="455"/>
      <c r="AZ277" s="455"/>
      <c r="BA277" s="455"/>
      <c r="BB277" s="455"/>
      <c r="BC277" s="455"/>
      <c r="BD277" s="455"/>
      <c r="BE277" s="455"/>
      <c r="BF277" s="455"/>
      <c r="BG277" s="455"/>
      <c r="BH277" s="455"/>
      <c r="BI277" s="455"/>
      <c r="BJ277" s="455"/>
      <c r="BK277" s="455"/>
      <c r="BL277" s="455"/>
      <c r="BM277" s="455"/>
      <c r="BN277" s="455"/>
      <c r="BO277" s="455"/>
      <c r="BP277" s="455"/>
      <c r="BQ277" s="455"/>
      <c r="BR277" s="455"/>
      <c r="BS277" s="455"/>
      <c r="BT277" s="455"/>
      <c r="BU277" s="455"/>
      <c r="BV277" s="455"/>
      <c r="BW277" s="455"/>
      <c r="BX277" s="455"/>
      <c r="BY277" s="455"/>
      <c r="BZ277" s="455"/>
      <c r="CA277" s="455"/>
      <c r="CB277" s="455"/>
      <c r="CC277" s="455"/>
      <c r="CD277" s="455"/>
      <c r="CE277" s="455"/>
      <c r="CF277" s="455"/>
      <c r="CG277" s="455"/>
      <c r="CH277" s="455"/>
      <c r="CI277" s="455"/>
      <c r="CJ277" s="455"/>
      <c r="CK277" s="455"/>
      <c r="CL277" s="455"/>
      <c r="CM277" s="455"/>
      <c r="CN277" s="455"/>
      <c r="CO277" s="455"/>
      <c r="CP277" s="455"/>
      <c r="CQ277" s="455"/>
      <c r="CR277" s="455"/>
      <c r="CS277" s="455"/>
      <c r="CT277" s="455"/>
      <c r="CU277" s="455"/>
      <c r="CV277" s="455"/>
      <c r="CW277" s="455"/>
      <c r="CX277" s="455"/>
      <c r="CY277" s="455"/>
      <c r="CZ277" s="455"/>
      <c r="DA277" s="455"/>
      <c r="DB277" s="455"/>
      <c r="DC277" s="455"/>
      <c r="DD277" s="455"/>
      <c r="DE277" s="455"/>
      <c r="DF277" s="455"/>
      <c r="DG277" s="455"/>
      <c r="DH277" s="455"/>
      <c r="DI277" s="455"/>
      <c r="DJ277" s="455"/>
      <c r="DK277" s="455"/>
      <c r="DL277" s="455"/>
      <c r="DM277" s="455"/>
      <c r="DN277" s="455"/>
      <c r="DO277" s="455"/>
      <c r="DP277" s="455"/>
      <c r="DQ277" s="455"/>
      <c r="DR277" s="455"/>
      <c r="DS277" s="455"/>
      <c r="DT277" s="455"/>
      <c r="DU277" s="455"/>
      <c r="DV277" s="455"/>
      <c r="DW277" s="455"/>
      <c r="DX277" s="455"/>
      <c r="DY277" s="455"/>
      <c r="DZ277" s="455"/>
      <c r="EA277" s="455"/>
      <c r="EB277" s="455"/>
      <c r="EC277" s="455"/>
      <c r="ED277" s="455"/>
      <c r="EE277" s="455"/>
      <c r="EF277" s="455"/>
      <c r="EG277" s="455"/>
      <c r="EH277" s="455"/>
      <c r="EI277" s="455"/>
      <c r="EJ277" s="455"/>
      <c r="EK277" s="455"/>
      <c r="EL277" s="455"/>
      <c r="EM277" s="455"/>
      <c r="EN277" s="455"/>
      <c r="EO277" s="455"/>
      <c r="EP277" s="455"/>
      <c r="EQ277" s="455"/>
      <c r="ER277" s="455"/>
      <c r="ES277" s="455"/>
      <c r="ET277" s="455"/>
      <c r="EU277" s="455"/>
      <c r="EV277" s="455"/>
      <c r="EW277" s="455"/>
      <c r="EX277" s="455"/>
      <c r="EY277" s="455"/>
      <c r="EZ277" s="455"/>
      <c r="FA277" s="455"/>
      <c r="FB277" s="455"/>
      <c r="FC277" s="455"/>
      <c r="FD277" s="455"/>
      <c r="FE277" s="455"/>
      <c r="FF277" s="455"/>
      <c r="FG277" s="455"/>
      <c r="FH277" s="455"/>
      <c r="FI277" s="455"/>
      <c r="FJ277" s="455"/>
      <c r="FK277" s="455"/>
      <c r="FL277" s="455"/>
      <c r="FM277" s="455"/>
      <c r="FN277" s="455"/>
      <c r="FO277" s="455"/>
      <c r="FP277" s="455"/>
      <c r="FQ277" s="455"/>
      <c r="FR277" s="455"/>
      <c r="FS277" s="455"/>
      <c r="FT277" s="455"/>
      <c r="FU277" s="455"/>
      <c r="FV277" s="455"/>
      <c r="FW277" s="455"/>
      <c r="FX277" s="455"/>
      <c r="FY277" s="455"/>
      <c r="FZ277" s="455"/>
      <c r="GA277" s="455"/>
      <c r="GB277" s="455"/>
      <c r="GC277" s="455"/>
      <c r="GD277" s="455"/>
      <c r="GE277" s="455"/>
      <c r="GF277" s="455"/>
      <c r="GG277" s="455"/>
      <c r="GH277" s="455"/>
      <c r="GI277" s="455"/>
      <c r="GJ277" s="455"/>
      <c r="GK277" s="455"/>
      <c r="GL277" s="455"/>
      <c r="GM277" s="455"/>
      <c r="GN277" s="455"/>
      <c r="GO277" s="455"/>
      <c r="GP277" s="455"/>
      <c r="GQ277" s="455"/>
      <c r="GR277" s="455"/>
      <c r="GS277" s="455"/>
      <c r="GT277" s="455"/>
      <c r="GU277" s="455"/>
      <c r="GV277" s="455"/>
      <c r="GW277" s="455"/>
      <c r="GX277" s="455"/>
      <c r="GY277" s="455"/>
      <c r="GZ277" s="455"/>
      <c r="HA277" s="455"/>
      <c r="HB277" s="455"/>
      <c r="HC277" s="455"/>
      <c r="HD277" s="455"/>
      <c r="HE277" s="455"/>
      <c r="HF277" s="455"/>
      <c r="HG277" s="455"/>
      <c r="HH277" s="455"/>
      <c r="HI277" s="455"/>
      <c r="HJ277" s="455"/>
      <c r="HK277" s="455"/>
      <c r="HL277" s="455"/>
      <c r="HM277" s="455"/>
      <c r="HN277" s="455"/>
      <c r="HO277" s="455"/>
      <c r="HP277" s="455"/>
      <c r="HQ277" s="455"/>
      <c r="HR277" s="455"/>
      <c r="HS277" s="455"/>
      <c r="HT277" s="455"/>
      <c r="HU277" s="455"/>
      <c r="HV277" s="455"/>
      <c r="HW277" s="455"/>
      <c r="HX277" s="455"/>
      <c r="HY277" s="455"/>
      <c r="HZ277" s="455"/>
      <c r="IA277" s="455"/>
      <c r="IB277" s="455"/>
      <c r="IC277" s="455"/>
      <c r="ID277" s="455"/>
      <c r="IE277" s="455"/>
      <c r="IF277" s="455"/>
      <c r="IG277" s="455"/>
      <c r="IH277" s="455"/>
      <c r="II277" s="455"/>
      <c r="IJ277" s="455"/>
      <c r="IK277" s="455"/>
      <c r="IL277" s="455"/>
      <c r="IM277" s="455"/>
      <c r="IN277" s="455"/>
      <c r="IO277" s="455"/>
      <c r="IP277" s="455"/>
      <c r="IQ277" s="455"/>
      <c r="IR277" s="455"/>
      <c r="IS277" s="455"/>
    </row>
    <row r="278" spans="1:253" s="458" customFormat="1" ht="45" x14ac:dyDescent="0.2">
      <c r="A278" s="444">
        <v>3206</v>
      </c>
      <c r="B278" s="445" t="s">
        <v>51</v>
      </c>
      <c r="C278" s="445" t="s">
        <v>52</v>
      </c>
      <c r="D278" s="445" t="s">
        <v>91</v>
      </c>
      <c r="E278" s="445"/>
      <c r="F278" s="445"/>
      <c r="G278" s="446">
        <v>62</v>
      </c>
      <c r="H278" s="445">
        <v>28</v>
      </c>
      <c r="I278" s="445"/>
      <c r="J278" s="445">
        <v>1</v>
      </c>
      <c r="K278" s="447">
        <v>2</v>
      </c>
      <c r="L278" s="445"/>
      <c r="M278" s="445">
        <v>1</v>
      </c>
      <c r="N278" s="445" t="s">
        <v>384</v>
      </c>
      <c r="O278" s="464" t="s">
        <v>1290</v>
      </c>
      <c r="P278" s="450">
        <v>6.43</v>
      </c>
      <c r="Q278" s="451">
        <f t="shared" si="6"/>
        <v>6.43</v>
      </c>
      <c r="R278" s="451">
        <f>SUMIF('Wege im Detail'!$A:$A,"3206",'Wege im Detail'!$P:$P)</f>
        <v>8.6349999999999998</v>
      </c>
      <c r="S278" s="452" t="s">
        <v>385</v>
      </c>
      <c r="T278" s="453">
        <v>43313</v>
      </c>
      <c r="U278" s="448"/>
      <c r="W278" s="448"/>
    </row>
    <row r="279" spans="1:253" s="458" customFormat="1" ht="33.75" x14ac:dyDescent="0.2">
      <c r="A279" s="444">
        <v>3206</v>
      </c>
      <c r="B279" s="445" t="s">
        <v>51</v>
      </c>
      <c r="C279" s="445" t="s">
        <v>52</v>
      </c>
      <c r="D279" s="445" t="s">
        <v>91</v>
      </c>
      <c r="E279" s="445"/>
      <c r="F279" s="445"/>
      <c r="G279" s="446">
        <v>62</v>
      </c>
      <c r="H279" s="445">
        <v>28</v>
      </c>
      <c r="I279" s="445"/>
      <c r="J279" s="445">
        <v>2</v>
      </c>
      <c r="K279" s="447">
        <v>2</v>
      </c>
      <c r="L279" s="445"/>
      <c r="M279" s="445">
        <v>4</v>
      </c>
      <c r="N279" s="445" t="s">
        <v>124</v>
      </c>
      <c r="O279" s="464" t="s">
        <v>1291</v>
      </c>
      <c r="P279" s="450">
        <v>2.2050000000000001</v>
      </c>
      <c r="Q279" s="451">
        <f t="shared" si="6"/>
        <v>2.2050000000000001</v>
      </c>
      <c r="R279" s="451">
        <f>SUMIF('Wege im Detail'!$A:$A,"3206",'Wege im Detail'!$P:$P)</f>
        <v>8.6349999999999998</v>
      </c>
      <c r="S279" s="452" t="s">
        <v>385</v>
      </c>
      <c r="T279" s="453">
        <v>43313</v>
      </c>
      <c r="U279" s="448"/>
      <c r="W279" s="448"/>
    </row>
    <row r="280" spans="1:253" s="458" customFormat="1" ht="33.75" x14ac:dyDescent="0.2">
      <c r="A280" s="444">
        <v>3207</v>
      </c>
      <c r="B280" s="445" t="s">
        <v>51</v>
      </c>
      <c r="C280" s="445" t="s">
        <v>52</v>
      </c>
      <c r="D280" s="445" t="s">
        <v>91</v>
      </c>
      <c r="E280" s="445"/>
      <c r="F280" s="445"/>
      <c r="G280" s="446">
        <v>57</v>
      </c>
      <c r="H280" s="445">
        <v>20</v>
      </c>
      <c r="I280" s="445"/>
      <c r="J280" s="445">
        <v>1</v>
      </c>
      <c r="K280" s="447">
        <v>2</v>
      </c>
      <c r="L280" s="445"/>
      <c r="M280" s="445">
        <v>4</v>
      </c>
      <c r="N280" s="445" t="s">
        <v>124</v>
      </c>
      <c r="O280" s="449" t="s">
        <v>1292</v>
      </c>
      <c r="P280" s="450">
        <v>4.2679999999999998</v>
      </c>
      <c r="Q280" s="451">
        <f t="shared" si="6"/>
        <v>4.2679999999999998</v>
      </c>
      <c r="R280" s="451">
        <f>SUMIF('Wege im Detail'!$A:$A,"3207",'Wege im Detail'!$P:$P)</f>
        <v>8.8439999999999994</v>
      </c>
      <c r="S280" s="452" t="s">
        <v>386</v>
      </c>
      <c r="T280" s="453">
        <v>43313</v>
      </c>
      <c r="U280" s="448"/>
      <c r="V280" s="455"/>
      <c r="W280" s="448"/>
    </row>
    <row r="281" spans="1:253" s="458" customFormat="1" ht="45" x14ac:dyDescent="0.2">
      <c r="A281" s="444">
        <v>3207</v>
      </c>
      <c r="B281" s="445" t="s">
        <v>51</v>
      </c>
      <c r="C281" s="445" t="s">
        <v>52</v>
      </c>
      <c r="D281" s="445" t="s">
        <v>91</v>
      </c>
      <c r="E281" s="445"/>
      <c r="F281" s="445"/>
      <c r="G281" s="446">
        <v>57</v>
      </c>
      <c r="H281" s="445">
        <v>20</v>
      </c>
      <c r="I281" s="445"/>
      <c r="J281" s="445">
        <v>2</v>
      </c>
      <c r="K281" s="447">
        <v>2</v>
      </c>
      <c r="L281" s="445"/>
      <c r="M281" s="445">
        <v>1</v>
      </c>
      <c r="N281" s="445" t="s">
        <v>384</v>
      </c>
      <c r="O281" s="449" t="s">
        <v>1293</v>
      </c>
      <c r="P281" s="450">
        <v>4.5759999999999996</v>
      </c>
      <c r="Q281" s="451">
        <f t="shared" si="6"/>
        <v>4.5759999999999996</v>
      </c>
      <c r="R281" s="451">
        <f>SUMIF('Wege im Detail'!$A:$A,"3207",'Wege im Detail'!$P:$P)</f>
        <v>8.8439999999999994</v>
      </c>
      <c r="S281" s="452" t="s">
        <v>386</v>
      </c>
      <c r="T281" s="453">
        <v>43313</v>
      </c>
      <c r="U281" s="448"/>
      <c r="V281" s="455"/>
      <c r="W281" s="448"/>
    </row>
    <row r="282" spans="1:253" s="458" customFormat="1" ht="33.75" x14ac:dyDescent="0.2">
      <c r="A282" s="444">
        <v>3287</v>
      </c>
      <c r="B282" s="445" t="s">
        <v>51</v>
      </c>
      <c r="C282" s="445" t="s">
        <v>52</v>
      </c>
      <c r="D282" s="445" t="s">
        <v>91</v>
      </c>
      <c r="E282" s="445"/>
      <c r="F282" s="445"/>
      <c r="G282" s="446">
        <v>53</v>
      </c>
      <c r="H282" s="445">
        <v>27</v>
      </c>
      <c r="I282" s="445"/>
      <c r="J282" s="445">
        <v>1</v>
      </c>
      <c r="K282" s="447">
        <v>2</v>
      </c>
      <c r="L282" s="445"/>
      <c r="M282" s="445">
        <v>1</v>
      </c>
      <c r="N282" s="445" t="s">
        <v>384</v>
      </c>
      <c r="O282" s="449" t="s">
        <v>1294</v>
      </c>
      <c r="P282" s="450">
        <v>2.504</v>
      </c>
      <c r="Q282" s="451">
        <f t="shared" si="6"/>
        <v>2.504</v>
      </c>
      <c r="R282" s="451">
        <f>SUMIF('Wege im Detail'!$A:$A,"3287",'Wege im Detail'!$P:$P)</f>
        <v>6.3159999999999998</v>
      </c>
      <c r="S282" s="452" t="s">
        <v>1295</v>
      </c>
      <c r="T282" s="453">
        <v>43313</v>
      </c>
      <c r="U282" s="448"/>
      <c r="V282" s="468"/>
      <c r="W282" s="448"/>
    </row>
    <row r="283" spans="1:253" s="458" customFormat="1" ht="45" x14ac:dyDescent="0.2">
      <c r="A283" s="444">
        <v>3287</v>
      </c>
      <c r="B283" s="445" t="s">
        <v>51</v>
      </c>
      <c r="C283" s="445" t="s">
        <v>52</v>
      </c>
      <c r="D283" s="445" t="s">
        <v>91</v>
      </c>
      <c r="E283" s="445"/>
      <c r="F283" s="445"/>
      <c r="G283" s="446">
        <v>53</v>
      </c>
      <c r="H283" s="445">
        <v>27</v>
      </c>
      <c r="I283" s="445"/>
      <c r="J283" s="445">
        <v>2</v>
      </c>
      <c r="K283" s="447">
        <v>2</v>
      </c>
      <c r="L283" s="445"/>
      <c r="M283" s="445">
        <v>1</v>
      </c>
      <c r="N283" s="445" t="s">
        <v>1296</v>
      </c>
      <c r="O283" s="449" t="s">
        <v>1297</v>
      </c>
      <c r="P283" s="450">
        <v>3.8119999999999998</v>
      </c>
      <c r="Q283" s="451">
        <f t="shared" si="6"/>
        <v>3.8119999999999998</v>
      </c>
      <c r="R283" s="451">
        <f>SUMIF('Wege im Detail'!$A:$A,"3287",'Wege im Detail'!$P:$P)</f>
        <v>6.3159999999999998</v>
      </c>
      <c r="S283" s="452" t="s">
        <v>1295</v>
      </c>
      <c r="T283" s="453">
        <v>43313</v>
      </c>
      <c r="U283" s="448"/>
      <c r="V283" s="468"/>
      <c r="W283" s="448"/>
    </row>
    <row r="284" spans="1:253" s="458" customFormat="1" ht="45" x14ac:dyDescent="0.2">
      <c r="A284" s="444">
        <v>3288</v>
      </c>
      <c r="B284" s="445" t="s">
        <v>51</v>
      </c>
      <c r="C284" s="445" t="s">
        <v>52</v>
      </c>
      <c r="D284" s="445" t="s">
        <v>91</v>
      </c>
      <c r="E284" s="445"/>
      <c r="F284" s="445"/>
      <c r="G284" s="446">
        <v>51</v>
      </c>
      <c r="H284" s="445">
        <v>25</v>
      </c>
      <c r="I284" s="445"/>
      <c r="J284" s="445">
        <v>1</v>
      </c>
      <c r="K284" s="447">
        <v>1</v>
      </c>
      <c r="L284" s="445"/>
      <c r="M284" s="445">
        <v>1</v>
      </c>
      <c r="N284" s="445" t="s">
        <v>384</v>
      </c>
      <c r="O284" s="449" t="s">
        <v>1298</v>
      </c>
      <c r="P284" s="450">
        <v>5.1760000000000002</v>
      </c>
      <c r="Q284" s="451">
        <f t="shared" si="6"/>
        <v>5.1760000000000002</v>
      </c>
      <c r="R284" s="451">
        <f>SUMIF('Wege im Detail'!$A:$A,"3288",'Wege im Detail'!$P:$P)</f>
        <v>5.1760000000000002</v>
      </c>
      <c r="S284" s="452" t="s">
        <v>388</v>
      </c>
      <c r="T284" s="453">
        <v>43313</v>
      </c>
      <c r="U284" s="448"/>
      <c r="V284" s="455"/>
      <c r="W284" s="448"/>
    </row>
    <row r="285" spans="1:253" s="458" customFormat="1" ht="67.5" x14ac:dyDescent="0.2">
      <c r="A285" s="444">
        <v>3290</v>
      </c>
      <c r="B285" s="445" t="s">
        <v>51</v>
      </c>
      <c r="C285" s="445" t="s">
        <v>52</v>
      </c>
      <c r="D285" s="445" t="s">
        <v>91</v>
      </c>
      <c r="E285" s="445"/>
      <c r="F285" s="445"/>
      <c r="G285" s="446">
        <v>51</v>
      </c>
      <c r="H285" s="445">
        <v>24</v>
      </c>
      <c r="I285" s="445"/>
      <c r="J285" s="445">
        <v>1</v>
      </c>
      <c r="K285" s="447">
        <v>3</v>
      </c>
      <c r="L285" s="445"/>
      <c r="M285" s="445">
        <v>4</v>
      </c>
      <c r="N285" s="445" t="s">
        <v>389</v>
      </c>
      <c r="O285" s="464" t="s">
        <v>1299</v>
      </c>
      <c r="P285" s="450">
        <v>13.818</v>
      </c>
      <c r="Q285" s="451">
        <f t="shared" si="6"/>
        <v>13.818</v>
      </c>
      <c r="R285" s="451">
        <f>SUMIF('Wege im Detail'!$A:$A,"3290",'Wege im Detail'!$P:$P)</f>
        <v>16.553999999999998</v>
      </c>
      <c r="S285" s="452" t="s">
        <v>390</v>
      </c>
      <c r="T285" s="453">
        <v>43313</v>
      </c>
      <c r="U285" s="448"/>
      <c r="V285" s="457"/>
      <c r="W285" s="448"/>
    </row>
    <row r="286" spans="1:253" s="458" customFormat="1" ht="45" x14ac:dyDescent="0.2">
      <c r="A286" s="444">
        <v>3290</v>
      </c>
      <c r="B286" s="445" t="s">
        <v>51</v>
      </c>
      <c r="C286" s="445" t="s">
        <v>52</v>
      </c>
      <c r="D286" s="445" t="s">
        <v>91</v>
      </c>
      <c r="E286" s="445"/>
      <c r="F286" s="445"/>
      <c r="G286" s="446">
        <v>51</v>
      </c>
      <c r="H286" s="445">
        <v>24</v>
      </c>
      <c r="I286" s="445"/>
      <c r="J286" s="445">
        <v>2</v>
      </c>
      <c r="K286" s="447">
        <v>3</v>
      </c>
      <c r="L286" s="445"/>
      <c r="M286" s="445">
        <v>4</v>
      </c>
      <c r="N286" s="445" t="s">
        <v>102</v>
      </c>
      <c r="O286" s="464" t="s">
        <v>1300</v>
      </c>
      <c r="P286" s="450">
        <v>2.0030000000000001</v>
      </c>
      <c r="Q286" s="451">
        <f t="shared" si="6"/>
        <v>2.0030000000000001</v>
      </c>
      <c r="R286" s="451">
        <f>SUMIF('Wege im Detail'!$A:$A,"3290",'Wege im Detail'!$P:$P)</f>
        <v>16.553999999999998</v>
      </c>
      <c r="S286" s="452" t="s">
        <v>390</v>
      </c>
      <c r="T286" s="453">
        <v>43313</v>
      </c>
      <c r="U286" s="448"/>
      <c r="V286" s="457"/>
      <c r="W286" s="448"/>
    </row>
    <row r="287" spans="1:253" s="458" customFormat="1" ht="45" x14ac:dyDescent="0.2">
      <c r="A287" s="444">
        <v>3290</v>
      </c>
      <c r="B287" s="445" t="s">
        <v>51</v>
      </c>
      <c r="C287" s="445" t="s">
        <v>52</v>
      </c>
      <c r="D287" s="445" t="s">
        <v>91</v>
      </c>
      <c r="E287" s="445"/>
      <c r="F287" s="445"/>
      <c r="G287" s="446">
        <v>51</v>
      </c>
      <c r="H287" s="445">
        <v>24</v>
      </c>
      <c r="I287" s="445"/>
      <c r="J287" s="445">
        <v>3</v>
      </c>
      <c r="K287" s="447">
        <v>3</v>
      </c>
      <c r="L287" s="445"/>
      <c r="M287" s="445">
        <v>5</v>
      </c>
      <c r="N287" s="445" t="s">
        <v>1004</v>
      </c>
      <c r="O287" s="464" t="s">
        <v>1301</v>
      </c>
      <c r="P287" s="450">
        <v>0.73299999999999998</v>
      </c>
      <c r="Q287" s="451">
        <f t="shared" si="6"/>
        <v>0.73299999999999998</v>
      </c>
      <c r="R287" s="451">
        <f>SUMIF('Wege im Detail'!$A:$A,"3290",'Wege im Detail'!$P:$P)</f>
        <v>16.553999999999998</v>
      </c>
      <c r="S287" s="452" t="s">
        <v>390</v>
      </c>
      <c r="T287" s="453">
        <v>43313</v>
      </c>
      <c r="U287" s="448"/>
      <c r="V287" s="457"/>
      <c r="W287" s="448"/>
    </row>
    <row r="288" spans="1:253" s="458" customFormat="1" ht="45" x14ac:dyDescent="0.2">
      <c r="A288" s="444">
        <v>3291</v>
      </c>
      <c r="B288" s="445" t="s">
        <v>51</v>
      </c>
      <c r="C288" s="445" t="s">
        <v>52</v>
      </c>
      <c r="D288" s="445" t="s">
        <v>91</v>
      </c>
      <c r="E288" s="445"/>
      <c r="F288" s="445"/>
      <c r="G288" s="446">
        <v>104</v>
      </c>
      <c r="H288" s="445">
        <v>33</v>
      </c>
      <c r="I288" s="445"/>
      <c r="J288" s="445">
        <v>1</v>
      </c>
      <c r="K288" s="447">
        <v>2</v>
      </c>
      <c r="L288" s="445"/>
      <c r="M288" s="445">
        <v>4</v>
      </c>
      <c r="N288" s="445" t="s">
        <v>124</v>
      </c>
      <c r="O288" s="449" t="s">
        <v>1302</v>
      </c>
      <c r="P288" s="450">
        <v>4.5309999999999997</v>
      </c>
      <c r="Q288" s="451">
        <f t="shared" si="6"/>
        <v>4.5309999999999997</v>
      </c>
      <c r="R288" s="451">
        <f>SUMIF('Wege im Detail'!$A:$A,"3291",'Wege im Detail'!$P:$P)</f>
        <v>8.1370000000000005</v>
      </c>
      <c r="S288" s="452" t="s">
        <v>391</v>
      </c>
      <c r="T288" s="453">
        <v>43313</v>
      </c>
      <c r="U288" s="448"/>
      <c r="W288" s="448"/>
    </row>
    <row r="289" spans="1:253" s="455" customFormat="1" ht="45" x14ac:dyDescent="0.2">
      <c r="A289" s="444">
        <v>3291</v>
      </c>
      <c r="B289" s="445" t="s">
        <v>51</v>
      </c>
      <c r="C289" s="445" t="s">
        <v>52</v>
      </c>
      <c r="D289" s="445" t="s">
        <v>91</v>
      </c>
      <c r="E289" s="445"/>
      <c r="F289" s="445"/>
      <c r="G289" s="446">
        <v>104</v>
      </c>
      <c r="H289" s="445">
        <v>33</v>
      </c>
      <c r="I289" s="445"/>
      <c r="J289" s="445">
        <v>2</v>
      </c>
      <c r="K289" s="447">
        <v>2</v>
      </c>
      <c r="L289" s="445"/>
      <c r="M289" s="445">
        <v>4</v>
      </c>
      <c r="N289" s="445" t="s">
        <v>389</v>
      </c>
      <c r="O289" s="449" t="s">
        <v>1303</v>
      </c>
      <c r="P289" s="450">
        <v>3.6059999999999999</v>
      </c>
      <c r="Q289" s="451">
        <f t="shared" si="6"/>
        <v>3.6059999999999999</v>
      </c>
      <c r="R289" s="451">
        <f>SUMIF('Wege im Detail'!$A:$A,"3291",'Wege im Detail'!$P:$P)</f>
        <v>8.1370000000000005</v>
      </c>
      <c r="S289" s="452" t="s">
        <v>391</v>
      </c>
      <c r="T289" s="453">
        <v>43313</v>
      </c>
      <c r="U289" s="448"/>
      <c r="V289" s="458"/>
      <c r="W289" s="448"/>
      <c r="X289" s="458"/>
      <c r="Y289" s="458"/>
      <c r="Z289" s="458"/>
      <c r="AA289" s="458"/>
      <c r="AB289" s="458"/>
      <c r="AC289" s="458"/>
      <c r="AD289" s="458"/>
      <c r="AE289" s="458"/>
      <c r="AF289" s="458"/>
      <c r="AG289" s="458"/>
      <c r="AH289" s="458"/>
      <c r="AI289" s="458"/>
      <c r="AJ289" s="458"/>
      <c r="AK289" s="458"/>
      <c r="AL289" s="458"/>
      <c r="AM289" s="458"/>
      <c r="AN289" s="458"/>
      <c r="AO289" s="458"/>
      <c r="AP289" s="458"/>
      <c r="AQ289" s="458"/>
      <c r="AR289" s="458"/>
      <c r="AS289" s="458"/>
      <c r="AT289" s="458"/>
      <c r="AU289" s="458"/>
      <c r="AV289" s="458"/>
      <c r="AW289" s="458"/>
      <c r="AX289" s="458"/>
      <c r="AY289" s="458"/>
      <c r="AZ289" s="458"/>
      <c r="BA289" s="458"/>
      <c r="BB289" s="458"/>
      <c r="BC289" s="458"/>
      <c r="BD289" s="458"/>
      <c r="BE289" s="458"/>
      <c r="BF289" s="458"/>
      <c r="BG289" s="458"/>
      <c r="BH289" s="458"/>
      <c r="BI289" s="458"/>
      <c r="BJ289" s="458"/>
      <c r="BK289" s="458"/>
      <c r="BL289" s="458"/>
      <c r="BM289" s="458"/>
      <c r="BN289" s="458"/>
      <c r="BO289" s="458"/>
      <c r="BP289" s="458"/>
      <c r="BQ289" s="458"/>
      <c r="BR289" s="458"/>
      <c r="BS289" s="458"/>
      <c r="BT289" s="458"/>
      <c r="BU289" s="458"/>
      <c r="BV289" s="458"/>
      <c r="BW289" s="458"/>
      <c r="BX289" s="458"/>
      <c r="BY289" s="458"/>
      <c r="BZ289" s="458"/>
      <c r="CA289" s="458"/>
      <c r="CB289" s="458"/>
      <c r="CC289" s="458"/>
      <c r="CD289" s="458"/>
      <c r="CE289" s="458"/>
      <c r="CF289" s="458"/>
      <c r="CG289" s="458"/>
      <c r="CH289" s="458"/>
      <c r="CI289" s="458"/>
      <c r="CJ289" s="458"/>
      <c r="CK289" s="458"/>
      <c r="CL289" s="458"/>
      <c r="CM289" s="458"/>
      <c r="CN289" s="458"/>
      <c r="CO289" s="458"/>
      <c r="CP289" s="458"/>
      <c r="CQ289" s="458"/>
      <c r="CR289" s="458"/>
      <c r="CS289" s="458"/>
      <c r="CT289" s="458"/>
      <c r="CU289" s="458"/>
      <c r="CV289" s="458"/>
      <c r="CW289" s="458"/>
      <c r="CX289" s="458"/>
      <c r="CY289" s="458"/>
      <c r="CZ289" s="458"/>
      <c r="DA289" s="458"/>
      <c r="DB289" s="458"/>
      <c r="DC289" s="458"/>
      <c r="DD289" s="458"/>
      <c r="DE289" s="458"/>
      <c r="DF289" s="458"/>
      <c r="DG289" s="458"/>
      <c r="DH289" s="458"/>
      <c r="DI289" s="458"/>
      <c r="DJ289" s="458"/>
      <c r="DK289" s="458"/>
      <c r="DL289" s="458"/>
      <c r="DM289" s="458"/>
      <c r="DN289" s="458"/>
      <c r="DO289" s="458"/>
      <c r="DP289" s="458"/>
      <c r="DQ289" s="458"/>
      <c r="DR289" s="458"/>
      <c r="DS289" s="458"/>
      <c r="DT289" s="458"/>
      <c r="DU289" s="458"/>
      <c r="DV289" s="458"/>
      <c r="DW289" s="458"/>
      <c r="DX289" s="458"/>
      <c r="DY289" s="458"/>
      <c r="DZ289" s="458"/>
      <c r="EA289" s="458"/>
      <c r="EB289" s="458"/>
      <c r="EC289" s="458"/>
      <c r="ED289" s="458"/>
      <c r="EE289" s="458"/>
      <c r="EF289" s="458"/>
      <c r="EG289" s="458"/>
      <c r="EH289" s="458"/>
      <c r="EI289" s="458"/>
      <c r="EJ289" s="458"/>
      <c r="EK289" s="458"/>
      <c r="EL289" s="458"/>
      <c r="EM289" s="458"/>
      <c r="EN289" s="458"/>
      <c r="EO289" s="458"/>
      <c r="EP289" s="458"/>
      <c r="EQ289" s="458"/>
      <c r="ER289" s="458"/>
      <c r="ES289" s="458"/>
      <c r="ET289" s="458"/>
      <c r="EU289" s="458"/>
      <c r="EV289" s="458"/>
      <c r="EW289" s="458"/>
      <c r="EX289" s="458"/>
      <c r="EY289" s="458"/>
      <c r="EZ289" s="458"/>
      <c r="FA289" s="458"/>
      <c r="FB289" s="458"/>
      <c r="FC289" s="458"/>
      <c r="FD289" s="458"/>
      <c r="FE289" s="458"/>
      <c r="FF289" s="458"/>
      <c r="FG289" s="458"/>
      <c r="FH289" s="458"/>
      <c r="FI289" s="458"/>
      <c r="FJ289" s="458"/>
      <c r="FK289" s="458"/>
      <c r="FL289" s="458"/>
      <c r="FM289" s="458"/>
      <c r="FN289" s="458"/>
      <c r="FO289" s="458"/>
      <c r="FP289" s="458"/>
      <c r="FQ289" s="458"/>
      <c r="FR289" s="458"/>
      <c r="FS289" s="458"/>
      <c r="FT289" s="458"/>
      <c r="FU289" s="458"/>
      <c r="FV289" s="458"/>
      <c r="FW289" s="458"/>
      <c r="FX289" s="458"/>
      <c r="FY289" s="458"/>
      <c r="FZ289" s="458"/>
      <c r="GA289" s="458"/>
      <c r="GB289" s="458"/>
      <c r="GC289" s="458"/>
      <c r="GD289" s="458"/>
      <c r="GE289" s="458"/>
      <c r="GF289" s="458"/>
      <c r="GG289" s="458"/>
      <c r="GH289" s="458"/>
      <c r="GI289" s="458"/>
      <c r="GJ289" s="458"/>
      <c r="GK289" s="458"/>
      <c r="GL289" s="458"/>
      <c r="GM289" s="458"/>
      <c r="GN289" s="458"/>
      <c r="GO289" s="458"/>
      <c r="GP289" s="458"/>
      <c r="GQ289" s="458"/>
      <c r="GR289" s="458"/>
      <c r="GS289" s="458"/>
      <c r="GT289" s="458"/>
      <c r="GU289" s="458"/>
      <c r="GV289" s="458"/>
      <c r="GW289" s="458"/>
      <c r="GX289" s="458"/>
      <c r="GY289" s="458"/>
      <c r="GZ289" s="458"/>
      <c r="HA289" s="458"/>
      <c r="HB289" s="458"/>
      <c r="HC289" s="458"/>
      <c r="HD289" s="458"/>
      <c r="HE289" s="458"/>
      <c r="HF289" s="458"/>
      <c r="HG289" s="458"/>
      <c r="HH289" s="458"/>
      <c r="HI289" s="458"/>
      <c r="HJ289" s="458"/>
      <c r="HK289" s="458"/>
      <c r="HL289" s="458"/>
      <c r="HM289" s="458"/>
      <c r="HN289" s="458"/>
      <c r="HO289" s="458"/>
      <c r="HP289" s="458"/>
      <c r="HQ289" s="458"/>
      <c r="HR289" s="458"/>
      <c r="HS289" s="458"/>
      <c r="HT289" s="458"/>
      <c r="HU289" s="458"/>
      <c r="HV289" s="458"/>
      <c r="HW289" s="458"/>
      <c r="HX289" s="458"/>
      <c r="HY289" s="458"/>
      <c r="HZ289" s="458"/>
      <c r="IA289" s="458"/>
      <c r="IB289" s="458"/>
      <c r="IC289" s="458"/>
      <c r="ID289" s="458"/>
      <c r="IE289" s="458"/>
      <c r="IF289" s="458"/>
      <c r="IG289" s="458"/>
      <c r="IH289" s="458"/>
      <c r="II289" s="458"/>
      <c r="IJ289" s="458"/>
      <c r="IK289" s="458"/>
      <c r="IL289" s="458"/>
      <c r="IM289" s="458"/>
      <c r="IN289" s="458"/>
      <c r="IO289" s="458"/>
      <c r="IP289" s="458"/>
      <c r="IQ289" s="458"/>
      <c r="IR289" s="458"/>
      <c r="IS289" s="458"/>
    </row>
    <row r="290" spans="1:253" s="458" customFormat="1" ht="67.5" x14ac:dyDescent="0.2">
      <c r="A290" s="444">
        <v>3292</v>
      </c>
      <c r="B290" s="445" t="s">
        <v>51</v>
      </c>
      <c r="C290" s="445" t="s">
        <v>52</v>
      </c>
      <c r="D290" s="445" t="s">
        <v>91</v>
      </c>
      <c r="E290" s="445"/>
      <c r="F290" s="445"/>
      <c r="G290" s="446">
        <v>63</v>
      </c>
      <c r="H290" s="445">
        <v>94</v>
      </c>
      <c r="I290" s="445"/>
      <c r="J290" s="445">
        <v>1</v>
      </c>
      <c r="K290" s="447">
        <v>2</v>
      </c>
      <c r="L290" s="445"/>
      <c r="M290" s="445">
        <v>4</v>
      </c>
      <c r="N290" s="445" t="s">
        <v>124</v>
      </c>
      <c r="O290" s="449" t="s">
        <v>1304</v>
      </c>
      <c r="P290" s="450">
        <v>6.2969999999999997</v>
      </c>
      <c r="Q290" s="451">
        <f t="shared" si="6"/>
        <v>6.2969999999999997</v>
      </c>
      <c r="R290" s="451">
        <f>SUMIF('Wege im Detail'!$A:$A,"3292",'Wege im Detail'!$P:$P)</f>
        <v>12.748999999999999</v>
      </c>
      <c r="S290" s="452" t="s">
        <v>392</v>
      </c>
      <c r="T290" s="453">
        <v>43313</v>
      </c>
      <c r="U290" s="448"/>
      <c r="V290" s="455"/>
      <c r="W290" s="448"/>
      <c r="X290" s="455"/>
      <c r="Y290" s="455"/>
      <c r="Z290" s="455"/>
      <c r="AA290" s="455"/>
      <c r="AB290" s="455"/>
      <c r="AC290" s="455"/>
      <c r="AD290" s="455"/>
      <c r="AE290" s="455"/>
      <c r="AF290" s="455"/>
      <c r="AG290" s="455"/>
      <c r="AH290" s="455"/>
      <c r="AI290" s="455"/>
      <c r="AJ290" s="455"/>
      <c r="AK290" s="455"/>
      <c r="AL290" s="455"/>
      <c r="AM290" s="455"/>
      <c r="AN290" s="455"/>
      <c r="AO290" s="455"/>
      <c r="AP290" s="455"/>
      <c r="AQ290" s="455"/>
      <c r="AR290" s="455"/>
      <c r="AS290" s="455"/>
      <c r="AT290" s="455"/>
      <c r="AU290" s="455"/>
      <c r="AV290" s="455"/>
      <c r="AW290" s="455"/>
      <c r="AX290" s="455"/>
      <c r="AY290" s="455"/>
      <c r="AZ290" s="455"/>
      <c r="BA290" s="455"/>
      <c r="BB290" s="455"/>
      <c r="BC290" s="455"/>
      <c r="BD290" s="455"/>
      <c r="BE290" s="455"/>
      <c r="BF290" s="455"/>
      <c r="BG290" s="455"/>
      <c r="BH290" s="455"/>
      <c r="BI290" s="455"/>
      <c r="BJ290" s="455"/>
      <c r="BK290" s="455"/>
      <c r="BL290" s="455"/>
      <c r="BM290" s="455"/>
      <c r="BN290" s="455"/>
      <c r="BO290" s="455"/>
      <c r="BP290" s="455"/>
      <c r="BQ290" s="455"/>
      <c r="BR290" s="455"/>
      <c r="BS290" s="455"/>
      <c r="BT290" s="455"/>
      <c r="BU290" s="455"/>
      <c r="BV290" s="455"/>
      <c r="BW290" s="455"/>
      <c r="BX290" s="455"/>
      <c r="BY290" s="455"/>
      <c r="BZ290" s="455"/>
      <c r="CA290" s="455"/>
      <c r="CB290" s="455"/>
      <c r="CC290" s="455"/>
      <c r="CD290" s="455"/>
      <c r="CE290" s="455"/>
      <c r="CF290" s="455"/>
      <c r="CG290" s="455"/>
      <c r="CH290" s="455"/>
      <c r="CI290" s="455"/>
      <c r="CJ290" s="455"/>
      <c r="CK290" s="455"/>
      <c r="CL290" s="455"/>
      <c r="CM290" s="455"/>
      <c r="CN290" s="455"/>
      <c r="CO290" s="455"/>
      <c r="CP290" s="455"/>
      <c r="CQ290" s="455"/>
      <c r="CR290" s="455"/>
      <c r="CS290" s="455"/>
      <c r="CT290" s="455"/>
      <c r="CU290" s="455"/>
      <c r="CV290" s="455"/>
      <c r="CW290" s="455"/>
      <c r="CX290" s="455"/>
      <c r="CY290" s="455"/>
      <c r="CZ290" s="455"/>
      <c r="DA290" s="455"/>
      <c r="DB290" s="455"/>
      <c r="DC290" s="455"/>
      <c r="DD290" s="455"/>
      <c r="DE290" s="455"/>
      <c r="DF290" s="455"/>
      <c r="DG290" s="455"/>
      <c r="DH290" s="455"/>
      <c r="DI290" s="455"/>
      <c r="DJ290" s="455"/>
      <c r="DK290" s="455"/>
      <c r="DL290" s="455"/>
      <c r="DM290" s="455"/>
      <c r="DN290" s="455"/>
      <c r="DO290" s="455"/>
      <c r="DP290" s="455"/>
      <c r="DQ290" s="455"/>
      <c r="DR290" s="455"/>
      <c r="DS290" s="455"/>
      <c r="DT290" s="455"/>
      <c r="DU290" s="455"/>
      <c r="DV290" s="455"/>
      <c r="DW290" s="455"/>
      <c r="DX290" s="455"/>
      <c r="DY290" s="455"/>
      <c r="DZ290" s="455"/>
      <c r="EA290" s="455"/>
      <c r="EB290" s="455"/>
      <c r="EC290" s="455"/>
      <c r="ED290" s="455"/>
      <c r="EE290" s="455"/>
      <c r="EF290" s="455"/>
      <c r="EG290" s="455"/>
      <c r="EH290" s="455"/>
      <c r="EI290" s="455"/>
      <c r="EJ290" s="455"/>
      <c r="EK290" s="455"/>
      <c r="EL290" s="455"/>
      <c r="EM290" s="455"/>
      <c r="EN290" s="455"/>
      <c r="EO290" s="455"/>
      <c r="EP290" s="455"/>
      <c r="EQ290" s="455"/>
      <c r="ER290" s="455"/>
      <c r="ES290" s="455"/>
      <c r="ET290" s="455"/>
      <c r="EU290" s="455"/>
      <c r="EV290" s="455"/>
      <c r="EW290" s="455"/>
      <c r="EX290" s="455"/>
      <c r="EY290" s="455"/>
      <c r="EZ290" s="455"/>
      <c r="FA290" s="455"/>
      <c r="FB290" s="455"/>
      <c r="FC290" s="455"/>
      <c r="FD290" s="455"/>
      <c r="FE290" s="455"/>
      <c r="FF290" s="455"/>
      <c r="FG290" s="455"/>
      <c r="FH290" s="455"/>
      <c r="FI290" s="455"/>
      <c r="FJ290" s="455"/>
      <c r="FK290" s="455"/>
      <c r="FL290" s="455"/>
      <c r="FM290" s="455"/>
      <c r="FN290" s="455"/>
      <c r="FO290" s="455"/>
      <c r="FP290" s="455"/>
      <c r="FQ290" s="455"/>
      <c r="FR290" s="455"/>
      <c r="FS290" s="455"/>
      <c r="FT290" s="455"/>
      <c r="FU290" s="455"/>
      <c r="FV290" s="455"/>
      <c r="FW290" s="455"/>
      <c r="FX290" s="455"/>
      <c r="FY290" s="455"/>
      <c r="FZ290" s="455"/>
      <c r="GA290" s="455"/>
      <c r="GB290" s="455"/>
      <c r="GC290" s="455"/>
      <c r="GD290" s="455"/>
      <c r="GE290" s="455"/>
      <c r="GF290" s="455"/>
      <c r="GG290" s="455"/>
      <c r="GH290" s="455"/>
      <c r="GI290" s="455"/>
      <c r="GJ290" s="455"/>
      <c r="GK290" s="455"/>
      <c r="GL290" s="455"/>
      <c r="GM290" s="455"/>
      <c r="GN290" s="455"/>
      <c r="GO290" s="455"/>
      <c r="GP290" s="455"/>
      <c r="GQ290" s="455"/>
      <c r="GR290" s="455"/>
      <c r="GS290" s="455"/>
      <c r="GT290" s="455"/>
      <c r="GU290" s="455"/>
      <c r="GV290" s="455"/>
      <c r="GW290" s="455"/>
      <c r="GX290" s="455"/>
      <c r="GY290" s="455"/>
      <c r="GZ290" s="455"/>
      <c r="HA290" s="455"/>
      <c r="HB290" s="455"/>
      <c r="HC290" s="455"/>
      <c r="HD290" s="455"/>
      <c r="HE290" s="455"/>
      <c r="HF290" s="455"/>
      <c r="HG290" s="455"/>
      <c r="HH290" s="455"/>
      <c r="HI290" s="455"/>
      <c r="HJ290" s="455"/>
      <c r="HK290" s="455"/>
      <c r="HL290" s="455"/>
      <c r="HM290" s="455"/>
      <c r="HN290" s="455"/>
      <c r="HO290" s="455"/>
      <c r="HP290" s="455"/>
      <c r="HQ290" s="455"/>
      <c r="HR290" s="455"/>
      <c r="HS290" s="455"/>
      <c r="HT290" s="455"/>
      <c r="HU290" s="455"/>
      <c r="HV290" s="455"/>
      <c r="HW290" s="455"/>
      <c r="HX290" s="455"/>
      <c r="HY290" s="455"/>
      <c r="HZ290" s="455"/>
      <c r="IA290" s="455"/>
      <c r="IB290" s="455"/>
      <c r="IC290" s="455"/>
      <c r="ID290" s="455"/>
      <c r="IE290" s="455"/>
      <c r="IF290" s="455"/>
      <c r="IG290" s="455"/>
      <c r="IH290" s="455"/>
      <c r="II290" s="455"/>
      <c r="IJ290" s="455"/>
      <c r="IK290" s="455"/>
      <c r="IL290" s="455"/>
      <c r="IM290" s="455"/>
      <c r="IN290" s="455"/>
      <c r="IO290" s="455"/>
      <c r="IP290" s="455"/>
      <c r="IQ290" s="455"/>
      <c r="IR290" s="455"/>
      <c r="IS290" s="455"/>
    </row>
    <row r="291" spans="1:253" s="458" customFormat="1" ht="56.25" x14ac:dyDescent="0.2">
      <c r="A291" s="438">
        <v>3292</v>
      </c>
      <c r="B291" s="445" t="s">
        <v>51</v>
      </c>
      <c r="C291" s="445" t="s">
        <v>52</v>
      </c>
      <c r="D291" s="445" t="s">
        <v>91</v>
      </c>
      <c r="E291" s="445"/>
      <c r="F291" s="445"/>
      <c r="G291" s="446">
        <v>63</v>
      </c>
      <c r="H291" s="445">
        <v>94</v>
      </c>
      <c r="I291" s="445"/>
      <c r="J291" s="445">
        <v>2</v>
      </c>
      <c r="K291" s="447">
        <v>2</v>
      </c>
      <c r="L291" s="445"/>
      <c r="M291" s="445">
        <v>1</v>
      </c>
      <c r="N291" s="445" t="s">
        <v>1296</v>
      </c>
      <c r="O291" s="449" t="s">
        <v>1305</v>
      </c>
      <c r="P291" s="450">
        <v>6.452</v>
      </c>
      <c r="Q291" s="451">
        <f t="shared" si="6"/>
        <v>6.452</v>
      </c>
      <c r="R291" s="451">
        <f>SUMIF('Wege im Detail'!$A:$A,"3292",'Wege im Detail'!$P:$P)</f>
        <v>12.748999999999999</v>
      </c>
      <c r="S291" s="452" t="s">
        <v>1306</v>
      </c>
      <c r="T291" s="453">
        <v>43313</v>
      </c>
      <c r="U291" s="477" t="s">
        <v>1307</v>
      </c>
      <c r="V291" s="400" t="s">
        <v>1308</v>
      </c>
      <c r="W291" s="448"/>
      <c r="X291" s="455"/>
      <c r="Y291" s="455"/>
      <c r="Z291" s="455"/>
      <c r="AA291" s="455"/>
      <c r="AB291" s="455"/>
      <c r="AC291" s="455"/>
      <c r="AD291" s="455"/>
      <c r="AE291" s="455"/>
      <c r="AF291" s="455"/>
      <c r="AG291" s="455"/>
      <c r="AH291" s="455"/>
      <c r="AI291" s="455"/>
      <c r="AJ291" s="455"/>
      <c r="AK291" s="455"/>
      <c r="AL291" s="455"/>
      <c r="AM291" s="455"/>
      <c r="AN291" s="455"/>
      <c r="AO291" s="455"/>
      <c r="AP291" s="455"/>
      <c r="AQ291" s="455"/>
      <c r="AR291" s="455"/>
      <c r="AS291" s="455"/>
      <c r="AT291" s="455"/>
      <c r="AU291" s="455"/>
      <c r="AV291" s="455"/>
      <c r="AW291" s="455"/>
      <c r="AX291" s="455"/>
      <c r="AY291" s="455"/>
      <c r="AZ291" s="455"/>
      <c r="BA291" s="455"/>
      <c r="BB291" s="455"/>
      <c r="BC291" s="455"/>
      <c r="BD291" s="455"/>
      <c r="BE291" s="455"/>
      <c r="BF291" s="455"/>
      <c r="BG291" s="455"/>
      <c r="BH291" s="455"/>
      <c r="BI291" s="455"/>
      <c r="BJ291" s="455"/>
      <c r="BK291" s="455"/>
      <c r="BL291" s="455"/>
      <c r="BM291" s="455"/>
      <c r="BN291" s="455"/>
      <c r="BO291" s="455"/>
      <c r="BP291" s="455"/>
      <c r="BQ291" s="455"/>
      <c r="BR291" s="455"/>
      <c r="BS291" s="455"/>
      <c r="BT291" s="455"/>
      <c r="BU291" s="455"/>
      <c r="BV291" s="455"/>
      <c r="BW291" s="455"/>
      <c r="BX291" s="455"/>
      <c r="BY291" s="455"/>
      <c r="BZ291" s="455"/>
      <c r="CA291" s="455"/>
      <c r="CB291" s="455"/>
      <c r="CC291" s="455"/>
      <c r="CD291" s="455"/>
      <c r="CE291" s="455"/>
      <c r="CF291" s="455"/>
      <c r="CG291" s="455"/>
      <c r="CH291" s="455"/>
      <c r="CI291" s="455"/>
      <c r="CJ291" s="455"/>
      <c r="CK291" s="455"/>
      <c r="CL291" s="455"/>
      <c r="CM291" s="455"/>
      <c r="CN291" s="455"/>
      <c r="CO291" s="455"/>
      <c r="CP291" s="455"/>
      <c r="CQ291" s="455"/>
      <c r="CR291" s="455"/>
      <c r="CS291" s="455"/>
      <c r="CT291" s="455"/>
      <c r="CU291" s="455"/>
      <c r="CV291" s="455"/>
      <c r="CW291" s="455"/>
      <c r="CX291" s="455"/>
      <c r="CY291" s="455"/>
      <c r="CZ291" s="455"/>
      <c r="DA291" s="455"/>
      <c r="DB291" s="455"/>
      <c r="DC291" s="455"/>
      <c r="DD291" s="455"/>
      <c r="DE291" s="455"/>
      <c r="DF291" s="455"/>
      <c r="DG291" s="455"/>
      <c r="DH291" s="455"/>
      <c r="DI291" s="455"/>
      <c r="DJ291" s="455"/>
      <c r="DK291" s="455"/>
      <c r="DL291" s="455"/>
      <c r="DM291" s="455"/>
      <c r="DN291" s="455"/>
      <c r="DO291" s="455"/>
      <c r="DP291" s="455"/>
      <c r="DQ291" s="455"/>
      <c r="DR291" s="455"/>
      <c r="DS291" s="455"/>
      <c r="DT291" s="455"/>
      <c r="DU291" s="455"/>
      <c r="DV291" s="455"/>
      <c r="DW291" s="455"/>
      <c r="DX291" s="455"/>
      <c r="DY291" s="455"/>
      <c r="DZ291" s="455"/>
      <c r="EA291" s="455"/>
      <c r="EB291" s="455"/>
      <c r="EC291" s="455"/>
      <c r="ED291" s="455"/>
      <c r="EE291" s="455"/>
      <c r="EF291" s="455"/>
      <c r="EG291" s="455"/>
      <c r="EH291" s="455"/>
      <c r="EI291" s="455"/>
      <c r="EJ291" s="455"/>
      <c r="EK291" s="455"/>
      <c r="EL291" s="455"/>
      <c r="EM291" s="455"/>
      <c r="EN291" s="455"/>
      <c r="EO291" s="455"/>
      <c r="EP291" s="455"/>
      <c r="EQ291" s="455"/>
      <c r="ER291" s="455"/>
      <c r="ES291" s="455"/>
      <c r="ET291" s="455"/>
      <c r="EU291" s="455"/>
      <c r="EV291" s="455"/>
      <c r="EW291" s="455"/>
      <c r="EX291" s="455"/>
      <c r="EY291" s="455"/>
      <c r="EZ291" s="455"/>
      <c r="FA291" s="455"/>
      <c r="FB291" s="455"/>
      <c r="FC291" s="455"/>
      <c r="FD291" s="455"/>
      <c r="FE291" s="455"/>
      <c r="FF291" s="455"/>
      <c r="FG291" s="455"/>
      <c r="FH291" s="455"/>
      <c r="FI291" s="455"/>
      <c r="FJ291" s="455"/>
      <c r="FK291" s="455"/>
      <c r="FL291" s="455"/>
      <c r="FM291" s="455"/>
      <c r="FN291" s="455"/>
      <c r="FO291" s="455"/>
      <c r="FP291" s="455"/>
      <c r="FQ291" s="455"/>
      <c r="FR291" s="455"/>
      <c r="FS291" s="455"/>
      <c r="FT291" s="455"/>
      <c r="FU291" s="455"/>
      <c r="FV291" s="455"/>
      <c r="FW291" s="455"/>
      <c r="FX291" s="455"/>
      <c r="FY291" s="455"/>
      <c r="FZ291" s="455"/>
      <c r="GA291" s="455"/>
      <c r="GB291" s="455"/>
      <c r="GC291" s="455"/>
      <c r="GD291" s="455"/>
      <c r="GE291" s="455"/>
      <c r="GF291" s="455"/>
      <c r="GG291" s="455"/>
      <c r="GH291" s="455"/>
      <c r="GI291" s="455"/>
      <c r="GJ291" s="455"/>
      <c r="GK291" s="455"/>
      <c r="GL291" s="455"/>
      <c r="GM291" s="455"/>
      <c r="GN291" s="455"/>
      <c r="GO291" s="455"/>
      <c r="GP291" s="455"/>
      <c r="GQ291" s="455"/>
      <c r="GR291" s="455"/>
      <c r="GS291" s="455"/>
      <c r="GT291" s="455"/>
      <c r="GU291" s="455"/>
      <c r="GV291" s="455"/>
      <c r="GW291" s="455"/>
      <c r="GX291" s="455"/>
      <c r="GY291" s="455"/>
      <c r="GZ291" s="455"/>
      <c r="HA291" s="455"/>
      <c r="HB291" s="455"/>
      <c r="HC291" s="455"/>
      <c r="HD291" s="455"/>
      <c r="HE291" s="455"/>
      <c r="HF291" s="455"/>
      <c r="HG291" s="455"/>
      <c r="HH291" s="455"/>
      <c r="HI291" s="455"/>
      <c r="HJ291" s="455"/>
      <c r="HK291" s="455"/>
      <c r="HL291" s="455"/>
      <c r="HM291" s="455"/>
      <c r="HN291" s="455"/>
      <c r="HO291" s="455"/>
      <c r="HP291" s="455"/>
      <c r="HQ291" s="455"/>
      <c r="HR291" s="455"/>
      <c r="HS291" s="455"/>
      <c r="HT291" s="455"/>
      <c r="HU291" s="455"/>
      <c r="HV291" s="455"/>
      <c r="HW291" s="455"/>
      <c r="HX291" s="455"/>
      <c r="HY291" s="455"/>
      <c r="HZ291" s="455"/>
      <c r="IA291" s="455"/>
      <c r="IB291" s="455"/>
      <c r="IC291" s="455"/>
      <c r="ID291" s="455"/>
      <c r="IE291" s="455"/>
      <c r="IF291" s="455"/>
      <c r="IG291" s="455"/>
      <c r="IH291" s="455"/>
      <c r="II291" s="455"/>
      <c r="IJ291" s="455"/>
      <c r="IK291" s="455"/>
      <c r="IL291" s="455"/>
      <c r="IM291" s="455"/>
      <c r="IN291" s="455"/>
      <c r="IO291" s="455"/>
      <c r="IP291" s="455"/>
      <c r="IQ291" s="455"/>
      <c r="IR291" s="455"/>
      <c r="IS291" s="455"/>
    </row>
    <row r="292" spans="1:253" s="458" customFormat="1" ht="67.5" x14ac:dyDescent="0.2">
      <c r="A292" s="444">
        <v>3304</v>
      </c>
      <c r="B292" s="445" t="s">
        <v>51</v>
      </c>
      <c r="C292" s="445" t="s">
        <v>52</v>
      </c>
      <c r="D292" s="445"/>
      <c r="E292" s="445"/>
      <c r="F292" s="445"/>
      <c r="G292" s="446">
        <v>3</v>
      </c>
      <c r="H292" s="445">
        <v>6</v>
      </c>
      <c r="I292" s="445"/>
      <c r="J292" s="445">
        <v>1</v>
      </c>
      <c r="K292" s="447">
        <v>5</v>
      </c>
      <c r="L292" s="445" t="s">
        <v>394</v>
      </c>
      <c r="M292" s="445">
        <v>4</v>
      </c>
      <c r="N292" s="445" t="s">
        <v>124</v>
      </c>
      <c r="O292" s="464" t="s">
        <v>1309</v>
      </c>
      <c r="P292" s="450">
        <v>15.708</v>
      </c>
      <c r="Q292" s="451">
        <f t="shared" si="6"/>
        <v>15.708</v>
      </c>
      <c r="R292" s="451">
        <f>SUMIF('Wege im Detail'!$A:$A,"3304",'Wege im Detail'!$P:$P)</f>
        <v>55.11</v>
      </c>
      <c r="S292" s="452" t="s">
        <v>395</v>
      </c>
      <c r="T292" s="453">
        <v>43952</v>
      </c>
      <c r="U292" s="448"/>
      <c r="V292" s="468"/>
      <c r="W292" s="448"/>
      <c r="X292" s="455"/>
      <c r="Y292" s="455"/>
      <c r="Z292" s="455"/>
      <c r="AA292" s="455"/>
      <c r="AB292" s="455"/>
      <c r="AC292" s="455"/>
      <c r="AD292" s="455"/>
      <c r="AE292" s="455"/>
      <c r="AF292" s="455"/>
      <c r="AG292" s="455"/>
      <c r="AH292" s="455"/>
      <c r="AI292" s="455"/>
      <c r="AJ292" s="455"/>
      <c r="AK292" s="455"/>
      <c r="AL292" s="455"/>
      <c r="AM292" s="455"/>
      <c r="AN292" s="455"/>
      <c r="AO292" s="455"/>
      <c r="AP292" s="455"/>
      <c r="AQ292" s="455"/>
      <c r="AR292" s="455"/>
      <c r="AS292" s="455"/>
      <c r="AT292" s="455"/>
      <c r="AU292" s="455"/>
      <c r="AV292" s="455"/>
      <c r="AW292" s="455"/>
      <c r="AX292" s="455"/>
      <c r="AY292" s="455"/>
      <c r="AZ292" s="455"/>
      <c r="BA292" s="455"/>
      <c r="BB292" s="455"/>
      <c r="BC292" s="455"/>
      <c r="BD292" s="455"/>
      <c r="BE292" s="455"/>
      <c r="BF292" s="455"/>
      <c r="BG292" s="455"/>
      <c r="BH292" s="455"/>
      <c r="BI292" s="455"/>
      <c r="BJ292" s="455"/>
      <c r="BK292" s="455"/>
      <c r="BL292" s="455"/>
      <c r="BM292" s="455"/>
      <c r="BN292" s="455"/>
      <c r="BO292" s="455"/>
      <c r="BP292" s="455"/>
      <c r="BQ292" s="455"/>
      <c r="BR292" s="455"/>
      <c r="BS292" s="455"/>
      <c r="BT292" s="455"/>
      <c r="BU292" s="455"/>
      <c r="BV292" s="455"/>
      <c r="BW292" s="455"/>
      <c r="BX292" s="455"/>
      <c r="BY292" s="455"/>
      <c r="BZ292" s="455"/>
      <c r="CA292" s="455"/>
      <c r="CB292" s="455"/>
      <c r="CC292" s="455"/>
      <c r="CD292" s="455"/>
      <c r="CE292" s="455"/>
      <c r="CF292" s="455"/>
      <c r="CG292" s="455"/>
      <c r="CH292" s="455"/>
      <c r="CI292" s="455"/>
      <c r="CJ292" s="455"/>
      <c r="CK292" s="455"/>
      <c r="CL292" s="455"/>
      <c r="CM292" s="455"/>
      <c r="CN292" s="455"/>
      <c r="CO292" s="455"/>
      <c r="CP292" s="455"/>
      <c r="CQ292" s="455"/>
      <c r="CR292" s="455"/>
      <c r="CS292" s="455"/>
      <c r="CT292" s="455"/>
      <c r="CU292" s="455"/>
      <c r="CV292" s="455"/>
      <c r="CW292" s="455"/>
      <c r="CX292" s="455"/>
      <c r="CY292" s="455"/>
      <c r="CZ292" s="455"/>
      <c r="DA292" s="455"/>
      <c r="DB292" s="455"/>
      <c r="DC292" s="455"/>
      <c r="DD292" s="455"/>
      <c r="DE292" s="455"/>
      <c r="DF292" s="455"/>
      <c r="DG292" s="455"/>
      <c r="DH292" s="455"/>
      <c r="DI292" s="455"/>
      <c r="DJ292" s="455"/>
      <c r="DK292" s="455"/>
      <c r="DL292" s="455"/>
      <c r="DM292" s="455"/>
      <c r="DN292" s="455"/>
      <c r="DO292" s="455"/>
      <c r="DP292" s="455"/>
      <c r="DQ292" s="455"/>
      <c r="DR292" s="455"/>
      <c r="DS292" s="455"/>
      <c r="DT292" s="455"/>
      <c r="DU292" s="455"/>
      <c r="DV292" s="455"/>
      <c r="DW292" s="455"/>
      <c r="DX292" s="455"/>
      <c r="DY292" s="455"/>
      <c r="DZ292" s="455"/>
      <c r="EA292" s="455"/>
      <c r="EB292" s="455"/>
      <c r="EC292" s="455"/>
      <c r="ED292" s="455"/>
      <c r="EE292" s="455"/>
      <c r="EF292" s="455"/>
      <c r="EG292" s="455"/>
      <c r="EH292" s="455"/>
      <c r="EI292" s="455"/>
      <c r="EJ292" s="455"/>
      <c r="EK292" s="455"/>
      <c r="EL292" s="455"/>
      <c r="EM292" s="455"/>
      <c r="EN292" s="455"/>
      <c r="EO292" s="455"/>
      <c r="EP292" s="455"/>
      <c r="EQ292" s="455"/>
      <c r="ER292" s="455"/>
      <c r="ES292" s="455"/>
      <c r="ET292" s="455"/>
      <c r="EU292" s="455"/>
      <c r="EV292" s="455"/>
      <c r="EW292" s="455"/>
      <c r="EX292" s="455"/>
      <c r="EY292" s="455"/>
      <c r="EZ292" s="455"/>
      <c r="FA292" s="455"/>
      <c r="FB292" s="455"/>
      <c r="FC292" s="455"/>
      <c r="FD292" s="455"/>
      <c r="FE292" s="455"/>
      <c r="FF292" s="455"/>
      <c r="FG292" s="455"/>
      <c r="FH292" s="455"/>
      <c r="FI292" s="455"/>
      <c r="FJ292" s="455"/>
      <c r="FK292" s="455"/>
      <c r="FL292" s="455"/>
      <c r="FM292" s="455"/>
      <c r="FN292" s="455"/>
      <c r="FO292" s="455"/>
      <c r="FP292" s="455"/>
      <c r="FQ292" s="455"/>
      <c r="FR292" s="455"/>
      <c r="FS292" s="455"/>
      <c r="FT292" s="455"/>
      <c r="FU292" s="455"/>
      <c r="FV292" s="455"/>
      <c r="FW292" s="455"/>
      <c r="FX292" s="455"/>
      <c r="FY292" s="455"/>
      <c r="FZ292" s="455"/>
      <c r="GA292" s="455"/>
      <c r="GB292" s="455"/>
      <c r="GC292" s="455"/>
      <c r="GD292" s="455"/>
      <c r="GE292" s="455"/>
      <c r="GF292" s="455"/>
      <c r="GG292" s="455"/>
      <c r="GH292" s="455"/>
      <c r="GI292" s="455"/>
      <c r="GJ292" s="455"/>
      <c r="GK292" s="455"/>
      <c r="GL292" s="455"/>
      <c r="GM292" s="455"/>
      <c r="GN292" s="455"/>
      <c r="GO292" s="455"/>
      <c r="GP292" s="455"/>
      <c r="GQ292" s="455"/>
      <c r="GR292" s="455"/>
      <c r="GS292" s="455"/>
      <c r="GT292" s="455"/>
      <c r="GU292" s="455"/>
      <c r="GV292" s="455"/>
      <c r="GW292" s="455"/>
      <c r="GX292" s="455"/>
      <c r="GY292" s="455"/>
      <c r="GZ292" s="455"/>
      <c r="HA292" s="455"/>
      <c r="HB292" s="455"/>
      <c r="HC292" s="455"/>
      <c r="HD292" s="455"/>
      <c r="HE292" s="455"/>
      <c r="HF292" s="455"/>
      <c r="HG292" s="455"/>
      <c r="HH292" s="455"/>
      <c r="HI292" s="455"/>
      <c r="HJ292" s="455"/>
      <c r="HK292" s="455"/>
      <c r="HL292" s="455"/>
      <c r="HM292" s="455"/>
      <c r="HN292" s="455"/>
      <c r="HO292" s="455"/>
      <c r="HP292" s="455"/>
      <c r="HQ292" s="455"/>
      <c r="HR292" s="455"/>
      <c r="HS292" s="455"/>
      <c r="HT292" s="455"/>
      <c r="HU292" s="455"/>
      <c r="HV292" s="455"/>
      <c r="HW292" s="455"/>
      <c r="HX292" s="455"/>
      <c r="HY292" s="455"/>
      <c r="HZ292" s="455"/>
      <c r="IA292" s="455"/>
      <c r="IB292" s="455"/>
      <c r="IC292" s="455"/>
      <c r="ID292" s="455"/>
      <c r="IE292" s="455"/>
      <c r="IF292" s="455"/>
      <c r="IG292" s="455"/>
      <c r="IH292" s="455"/>
      <c r="II292" s="455"/>
      <c r="IJ292" s="455"/>
      <c r="IK292" s="455"/>
      <c r="IL292" s="455"/>
      <c r="IM292" s="455"/>
      <c r="IN292" s="455"/>
      <c r="IO292" s="455"/>
      <c r="IP292" s="455"/>
      <c r="IQ292" s="455"/>
      <c r="IR292" s="455"/>
      <c r="IS292" s="455"/>
    </row>
    <row r="293" spans="1:253" s="458" customFormat="1" ht="56.25" x14ac:dyDescent="0.2">
      <c r="A293" s="444">
        <v>3304</v>
      </c>
      <c r="B293" s="445" t="s">
        <v>51</v>
      </c>
      <c r="C293" s="445" t="s">
        <v>52</v>
      </c>
      <c r="D293" s="445"/>
      <c r="E293" s="445"/>
      <c r="F293" s="445"/>
      <c r="G293" s="446">
        <v>3</v>
      </c>
      <c r="H293" s="445">
        <v>6</v>
      </c>
      <c r="I293" s="445"/>
      <c r="J293" s="445">
        <v>2</v>
      </c>
      <c r="K293" s="447">
        <v>5</v>
      </c>
      <c r="L293" s="445" t="s">
        <v>394</v>
      </c>
      <c r="M293" s="445">
        <v>1</v>
      </c>
      <c r="N293" s="445" t="s">
        <v>1296</v>
      </c>
      <c r="O293" s="464" t="s">
        <v>1310</v>
      </c>
      <c r="P293" s="450">
        <v>11.097</v>
      </c>
      <c r="Q293" s="451">
        <f t="shared" si="6"/>
        <v>11.097</v>
      </c>
      <c r="R293" s="451">
        <f>SUMIF('Wege im Detail'!$A:$A,"3304",'Wege im Detail'!$P:$P)</f>
        <v>55.11</v>
      </c>
      <c r="S293" s="452" t="s">
        <v>395</v>
      </c>
      <c r="T293" s="453">
        <v>43160</v>
      </c>
      <c r="U293" s="448"/>
      <c r="V293" s="400"/>
      <c r="W293" s="448"/>
    </row>
    <row r="294" spans="1:253" s="455" customFormat="1" ht="45" x14ac:dyDescent="0.2">
      <c r="A294" s="444">
        <v>3304</v>
      </c>
      <c r="B294" s="445" t="s">
        <v>51</v>
      </c>
      <c r="C294" s="445" t="s">
        <v>52</v>
      </c>
      <c r="D294" s="445"/>
      <c r="E294" s="445"/>
      <c r="F294" s="445"/>
      <c r="G294" s="446">
        <v>3</v>
      </c>
      <c r="H294" s="445">
        <v>6</v>
      </c>
      <c r="I294" s="445"/>
      <c r="J294" s="445">
        <v>3</v>
      </c>
      <c r="K294" s="447">
        <v>5</v>
      </c>
      <c r="L294" s="445" t="s">
        <v>394</v>
      </c>
      <c r="M294" s="445">
        <v>1</v>
      </c>
      <c r="N294" s="445" t="s">
        <v>79</v>
      </c>
      <c r="O294" s="464" t="s">
        <v>1311</v>
      </c>
      <c r="P294" s="450">
        <v>9.8360000000000003</v>
      </c>
      <c r="Q294" s="451">
        <f t="shared" si="6"/>
        <v>9.8360000000000003</v>
      </c>
      <c r="R294" s="451">
        <f>SUMIF('Wege im Detail'!$A:$A,"3304",'Wege im Detail'!$P:$P)</f>
        <v>55.11</v>
      </c>
      <c r="S294" s="452" t="s">
        <v>395</v>
      </c>
      <c r="T294" s="453">
        <v>43160</v>
      </c>
      <c r="U294" s="448"/>
      <c r="V294" s="468"/>
      <c r="W294" s="448"/>
      <c r="X294" s="458"/>
      <c r="Y294" s="458"/>
      <c r="Z294" s="458"/>
      <c r="AA294" s="458"/>
      <c r="AB294" s="458"/>
      <c r="AC294" s="458"/>
      <c r="AD294" s="458"/>
      <c r="AE294" s="458"/>
      <c r="AF294" s="458"/>
      <c r="AG294" s="458"/>
      <c r="AH294" s="458"/>
      <c r="AI294" s="458"/>
      <c r="AJ294" s="458"/>
      <c r="AK294" s="458"/>
      <c r="AL294" s="458"/>
      <c r="AM294" s="458"/>
      <c r="AN294" s="458"/>
      <c r="AO294" s="458"/>
      <c r="AP294" s="458"/>
      <c r="AQ294" s="458"/>
      <c r="AR294" s="458"/>
      <c r="AS294" s="458"/>
      <c r="AT294" s="458"/>
      <c r="AU294" s="458"/>
      <c r="AV294" s="458"/>
      <c r="AW294" s="458"/>
      <c r="AX294" s="458"/>
      <c r="AY294" s="458"/>
      <c r="AZ294" s="458"/>
      <c r="BA294" s="458"/>
      <c r="BB294" s="458"/>
      <c r="BC294" s="458"/>
      <c r="BD294" s="458"/>
      <c r="BE294" s="458"/>
      <c r="BF294" s="458"/>
      <c r="BG294" s="458"/>
      <c r="BH294" s="458"/>
      <c r="BI294" s="458"/>
      <c r="BJ294" s="458"/>
      <c r="BK294" s="458"/>
      <c r="BL294" s="458"/>
      <c r="BM294" s="458"/>
      <c r="BN294" s="458"/>
      <c r="BO294" s="458"/>
      <c r="BP294" s="458"/>
      <c r="BQ294" s="458"/>
      <c r="BR294" s="458"/>
      <c r="BS294" s="458"/>
      <c r="BT294" s="458"/>
      <c r="BU294" s="458"/>
      <c r="BV294" s="458"/>
      <c r="BW294" s="458"/>
      <c r="BX294" s="458"/>
      <c r="BY294" s="458"/>
      <c r="BZ294" s="458"/>
      <c r="CA294" s="458"/>
      <c r="CB294" s="458"/>
      <c r="CC294" s="458"/>
      <c r="CD294" s="458"/>
      <c r="CE294" s="458"/>
      <c r="CF294" s="458"/>
      <c r="CG294" s="458"/>
      <c r="CH294" s="458"/>
      <c r="CI294" s="458"/>
      <c r="CJ294" s="458"/>
      <c r="CK294" s="458"/>
      <c r="CL294" s="458"/>
      <c r="CM294" s="458"/>
      <c r="CN294" s="458"/>
      <c r="CO294" s="458"/>
      <c r="CP294" s="458"/>
      <c r="CQ294" s="458"/>
      <c r="CR294" s="458"/>
      <c r="CS294" s="458"/>
      <c r="CT294" s="458"/>
      <c r="CU294" s="458"/>
      <c r="CV294" s="458"/>
      <c r="CW294" s="458"/>
      <c r="CX294" s="458"/>
      <c r="CY294" s="458"/>
      <c r="CZ294" s="458"/>
      <c r="DA294" s="458"/>
      <c r="DB294" s="458"/>
      <c r="DC294" s="458"/>
      <c r="DD294" s="458"/>
      <c r="DE294" s="458"/>
      <c r="DF294" s="458"/>
      <c r="DG294" s="458"/>
      <c r="DH294" s="458"/>
      <c r="DI294" s="458"/>
      <c r="DJ294" s="458"/>
      <c r="DK294" s="458"/>
      <c r="DL294" s="458"/>
      <c r="DM294" s="458"/>
      <c r="DN294" s="458"/>
      <c r="DO294" s="458"/>
      <c r="DP294" s="458"/>
      <c r="DQ294" s="458"/>
      <c r="DR294" s="458"/>
      <c r="DS294" s="458"/>
      <c r="DT294" s="458"/>
      <c r="DU294" s="458"/>
      <c r="DV294" s="458"/>
      <c r="DW294" s="458"/>
      <c r="DX294" s="458"/>
      <c r="DY294" s="458"/>
      <c r="DZ294" s="458"/>
      <c r="EA294" s="458"/>
      <c r="EB294" s="458"/>
      <c r="EC294" s="458"/>
      <c r="ED294" s="458"/>
      <c r="EE294" s="458"/>
      <c r="EF294" s="458"/>
      <c r="EG294" s="458"/>
      <c r="EH294" s="458"/>
      <c r="EI294" s="458"/>
      <c r="EJ294" s="458"/>
      <c r="EK294" s="458"/>
      <c r="EL294" s="458"/>
      <c r="EM294" s="458"/>
      <c r="EN294" s="458"/>
      <c r="EO294" s="458"/>
      <c r="EP294" s="458"/>
      <c r="EQ294" s="458"/>
      <c r="ER294" s="458"/>
      <c r="ES294" s="458"/>
      <c r="ET294" s="458"/>
      <c r="EU294" s="458"/>
      <c r="EV294" s="458"/>
      <c r="EW294" s="458"/>
      <c r="EX294" s="458"/>
      <c r="EY294" s="458"/>
      <c r="EZ294" s="458"/>
      <c r="FA294" s="458"/>
      <c r="FB294" s="458"/>
      <c r="FC294" s="458"/>
      <c r="FD294" s="458"/>
      <c r="FE294" s="458"/>
      <c r="FF294" s="458"/>
      <c r="FG294" s="458"/>
      <c r="FH294" s="458"/>
      <c r="FI294" s="458"/>
      <c r="FJ294" s="458"/>
      <c r="FK294" s="458"/>
      <c r="FL294" s="458"/>
      <c r="FM294" s="458"/>
      <c r="FN294" s="458"/>
      <c r="FO294" s="458"/>
      <c r="FP294" s="458"/>
      <c r="FQ294" s="458"/>
      <c r="FR294" s="458"/>
      <c r="FS294" s="458"/>
      <c r="FT294" s="458"/>
      <c r="FU294" s="458"/>
      <c r="FV294" s="458"/>
      <c r="FW294" s="458"/>
      <c r="FX294" s="458"/>
      <c r="FY294" s="458"/>
      <c r="FZ294" s="458"/>
      <c r="GA294" s="458"/>
      <c r="GB294" s="458"/>
      <c r="GC294" s="458"/>
      <c r="GD294" s="458"/>
      <c r="GE294" s="458"/>
      <c r="GF294" s="458"/>
      <c r="GG294" s="458"/>
      <c r="GH294" s="458"/>
      <c r="GI294" s="458"/>
      <c r="GJ294" s="458"/>
      <c r="GK294" s="458"/>
      <c r="GL294" s="458"/>
      <c r="GM294" s="458"/>
      <c r="GN294" s="458"/>
      <c r="GO294" s="458"/>
      <c r="GP294" s="458"/>
      <c r="GQ294" s="458"/>
      <c r="GR294" s="458"/>
      <c r="GS294" s="458"/>
      <c r="GT294" s="458"/>
      <c r="GU294" s="458"/>
      <c r="GV294" s="458"/>
      <c r="GW294" s="458"/>
      <c r="GX294" s="458"/>
      <c r="GY294" s="458"/>
      <c r="GZ294" s="458"/>
      <c r="HA294" s="458"/>
      <c r="HB294" s="458"/>
      <c r="HC294" s="458"/>
      <c r="HD294" s="458"/>
      <c r="HE294" s="458"/>
      <c r="HF294" s="458"/>
      <c r="HG294" s="458"/>
      <c r="HH294" s="458"/>
      <c r="HI294" s="458"/>
      <c r="HJ294" s="458"/>
      <c r="HK294" s="458"/>
      <c r="HL294" s="458"/>
      <c r="HM294" s="458"/>
      <c r="HN294" s="458"/>
      <c r="HO294" s="458"/>
      <c r="HP294" s="458"/>
      <c r="HQ294" s="458"/>
      <c r="HR294" s="458"/>
      <c r="HS294" s="458"/>
      <c r="HT294" s="458"/>
      <c r="HU294" s="458"/>
      <c r="HV294" s="458"/>
      <c r="HW294" s="458"/>
      <c r="HX294" s="458"/>
      <c r="HY294" s="458"/>
      <c r="HZ294" s="458"/>
      <c r="IA294" s="458"/>
      <c r="IB294" s="458"/>
      <c r="IC294" s="458"/>
      <c r="ID294" s="458"/>
      <c r="IE294" s="458"/>
      <c r="IF294" s="458"/>
      <c r="IG294" s="458"/>
      <c r="IH294" s="458"/>
      <c r="II294" s="458"/>
      <c r="IJ294" s="458"/>
      <c r="IK294" s="458"/>
      <c r="IL294" s="458"/>
      <c r="IM294" s="458"/>
      <c r="IN294" s="458"/>
      <c r="IO294" s="458"/>
      <c r="IP294" s="458"/>
      <c r="IQ294" s="458"/>
      <c r="IR294" s="458"/>
      <c r="IS294" s="458"/>
    </row>
    <row r="295" spans="1:253" s="455" customFormat="1" ht="45" x14ac:dyDescent="0.2">
      <c r="A295" s="444">
        <v>3304</v>
      </c>
      <c r="B295" s="445" t="s">
        <v>51</v>
      </c>
      <c r="C295" s="445" t="s">
        <v>52</v>
      </c>
      <c r="D295" s="445"/>
      <c r="E295" s="445"/>
      <c r="F295" s="445"/>
      <c r="G295" s="446">
        <v>3</v>
      </c>
      <c r="H295" s="445">
        <v>6</v>
      </c>
      <c r="I295" s="445"/>
      <c r="J295" s="445">
        <v>4</v>
      </c>
      <c r="K295" s="447">
        <v>5</v>
      </c>
      <c r="L295" s="445" t="s">
        <v>394</v>
      </c>
      <c r="M295" s="445">
        <v>1</v>
      </c>
      <c r="N295" s="445" t="s">
        <v>436</v>
      </c>
      <c r="O295" s="464" t="s">
        <v>1312</v>
      </c>
      <c r="P295" s="450">
        <v>8.1270000000000007</v>
      </c>
      <c r="Q295" s="451">
        <f t="shared" si="6"/>
        <v>8.1270000000000007</v>
      </c>
      <c r="R295" s="451">
        <f>SUMIF('Wege im Detail'!$A:$A,"3304",'Wege im Detail'!$P:$P)</f>
        <v>55.11</v>
      </c>
      <c r="S295" s="452" t="s">
        <v>395</v>
      </c>
      <c r="T295" s="453">
        <v>43160</v>
      </c>
      <c r="U295" s="448"/>
      <c r="V295" s="458"/>
      <c r="W295" s="448"/>
      <c r="X295" s="458"/>
      <c r="Y295" s="458"/>
      <c r="Z295" s="458"/>
      <c r="AA295" s="458"/>
      <c r="AB295" s="458"/>
      <c r="AC295" s="458"/>
      <c r="AD295" s="458"/>
      <c r="AE295" s="458"/>
      <c r="AF295" s="458"/>
      <c r="AG295" s="458"/>
      <c r="AH295" s="458"/>
      <c r="AI295" s="458"/>
      <c r="AJ295" s="458"/>
      <c r="AK295" s="458"/>
      <c r="AL295" s="458"/>
      <c r="AM295" s="458"/>
      <c r="AN295" s="458"/>
      <c r="AO295" s="458"/>
      <c r="AP295" s="458"/>
      <c r="AQ295" s="458"/>
      <c r="AR295" s="458"/>
      <c r="AS295" s="458"/>
      <c r="AT295" s="458"/>
      <c r="AU295" s="458"/>
      <c r="AV295" s="458"/>
      <c r="AW295" s="458"/>
      <c r="AX295" s="458"/>
      <c r="AY295" s="458"/>
      <c r="AZ295" s="458"/>
      <c r="BA295" s="458"/>
      <c r="BB295" s="458"/>
      <c r="BC295" s="458"/>
      <c r="BD295" s="458"/>
      <c r="BE295" s="458"/>
      <c r="BF295" s="458"/>
      <c r="BG295" s="458"/>
      <c r="BH295" s="458"/>
      <c r="BI295" s="458"/>
      <c r="BJ295" s="458"/>
      <c r="BK295" s="458"/>
      <c r="BL295" s="458"/>
      <c r="BM295" s="458"/>
      <c r="BN295" s="458"/>
      <c r="BO295" s="458"/>
      <c r="BP295" s="458"/>
      <c r="BQ295" s="458"/>
      <c r="BR295" s="458"/>
      <c r="BS295" s="458"/>
      <c r="BT295" s="458"/>
      <c r="BU295" s="458"/>
      <c r="BV295" s="458"/>
      <c r="BW295" s="458"/>
      <c r="BX295" s="458"/>
      <c r="BY295" s="458"/>
      <c r="BZ295" s="458"/>
      <c r="CA295" s="458"/>
      <c r="CB295" s="458"/>
      <c r="CC295" s="458"/>
      <c r="CD295" s="458"/>
      <c r="CE295" s="458"/>
      <c r="CF295" s="458"/>
      <c r="CG295" s="458"/>
      <c r="CH295" s="458"/>
      <c r="CI295" s="458"/>
      <c r="CJ295" s="458"/>
      <c r="CK295" s="458"/>
      <c r="CL295" s="458"/>
      <c r="CM295" s="458"/>
      <c r="CN295" s="458"/>
      <c r="CO295" s="458"/>
      <c r="CP295" s="458"/>
      <c r="CQ295" s="458"/>
      <c r="CR295" s="458"/>
      <c r="CS295" s="458"/>
      <c r="CT295" s="458"/>
      <c r="CU295" s="458"/>
      <c r="CV295" s="458"/>
      <c r="CW295" s="458"/>
      <c r="CX295" s="458"/>
      <c r="CY295" s="458"/>
      <c r="CZ295" s="458"/>
      <c r="DA295" s="458"/>
      <c r="DB295" s="458"/>
      <c r="DC295" s="458"/>
      <c r="DD295" s="458"/>
      <c r="DE295" s="458"/>
      <c r="DF295" s="458"/>
      <c r="DG295" s="458"/>
      <c r="DH295" s="458"/>
      <c r="DI295" s="458"/>
      <c r="DJ295" s="458"/>
      <c r="DK295" s="458"/>
      <c r="DL295" s="458"/>
      <c r="DM295" s="458"/>
      <c r="DN295" s="458"/>
      <c r="DO295" s="458"/>
      <c r="DP295" s="458"/>
      <c r="DQ295" s="458"/>
      <c r="DR295" s="458"/>
      <c r="DS295" s="458"/>
      <c r="DT295" s="458"/>
      <c r="DU295" s="458"/>
      <c r="DV295" s="458"/>
      <c r="DW295" s="458"/>
      <c r="DX295" s="458"/>
      <c r="DY295" s="458"/>
      <c r="DZ295" s="458"/>
      <c r="EA295" s="458"/>
      <c r="EB295" s="458"/>
      <c r="EC295" s="458"/>
      <c r="ED295" s="458"/>
      <c r="EE295" s="458"/>
      <c r="EF295" s="458"/>
      <c r="EG295" s="458"/>
      <c r="EH295" s="458"/>
      <c r="EI295" s="458"/>
      <c r="EJ295" s="458"/>
      <c r="EK295" s="458"/>
      <c r="EL295" s="458"/>
      <c r="EM295" s="458"/>
      <c r="EN295" s="458"/>
      <c r="EO295" s="458"/>
      <c r="EP295" s="458"/>
      <c r="EQ295" s="458"/>
      <c r="ER295" s="458"/>
      <c r="ES295" s="458"/>
      <c r="ET295" s="458"/>
      <c r="EU295" s="458"/>
      <c r="EV295" s="458"/>
      <c r="EW295" s="458"/>
      <c r="EX295" s="458"/>
      <c r="EY295" s="458"/>
      <c r="EZ295" s="458"/>
      <c r="FA295" s="458"/>
      <c r="FB295" s="458"/>
      <c r="FC295" s="458"/>
      <c r="FD295" s="458"/>
      <c r="FE295" s="458"/>
      <c r="FF295" s="458"/>
      <c r="FG295" s="458"/>
      <c r="FH295" s="458"/>
      <c r="FI295" s="458"/>
      <c r="FJ295" s="458"/>
      <c r="FK295" s="458"/>
      <c r="FL295" s="458"/>
      <c r="FM295" s="458"/>
      <c r="FN295" s="458"/>
      <c r="FO295" s="458"/>
      <c r="FP295" s="458"/>
      <c r="FQ295" s="458"/>
      <c r="FR295" s="458"/>
      <c r="FS295" s="458"/>
      <c r="FT295" s="458"/>
      <c r="FU295" s="458"/>
      <c r="FV295" s="458"/>
      <c r="FW295" s="458"/>
      <c r="FX295" s="458"/>
      <c r="FY295" s="458"/>
      <c r="FZ295" s="458"/>
      <c r="GA295" s="458"/>
      <c r="GB295" s="458"/>
      <c r="GC295" s="458"/>
      <c r="GD295" s="458"/>
      <c r="GE295" s="458"/>
      <c r="GF295" s="458"/>
      <c r="GG295" s="458"/>
      <c r="GH295" s="458"/>
      <c r="GI295" s="458"/>
      <c r="GJ295" s="458"/>
      <c r="GK295" s="458"/>
      <c r="GL295" s="458"/>
      <c r="GM295" s="458"/>
      <c r="GN295" s="458"/>
      <c r="GO295" s="458"/>
      <c r="GP295" s="458"/>
      <c r="GQ295" s="458"/>
      <c r="GR295" s="458"/>
      <c r="GS295" s="458"/>
      <c r="GT295" s="458"/>
      <c r="GU295" s="458"/>
      <c r="GV295" s="458"/>
      <c r="GW295" s="458"/>
      <c r="GX295" s="458"/>
      <c r="GY295" s="458"/>
      <c r="GZ295" s="458"/>
      <c r="HA295" s="458"/>
      <c r="HB295" s="458"/>
      <c r="HC295" s="458"/>
      <c r="HD295" s="458"/>
      <c r="HE295" s="458"/>
      <c r="HF295" s="458"/>
      <c r="HG295" s="458"/>
      <c r="HH295" s="458"/>
      <c r="HI295" s="458"/>
      <c r="HJ295" s="458"/>
      <c r="HK295" s="458"/>
      <c r="HL295" s="458"/>
      <c r="HM295" s="458"/>
      <c r="HN295" s="458"/>
      <c r="HO295" s="458"/>
      <c r="HP295" s="458"/>
      <c r="HQ295" s="458"/>
      <c r="HR295" s="458"/>
      <c r="HS295" s="458"/>
      <c r="HT295" s="458"/>
      <c r="HU295" s="458"/>
      <c r="HV295" s="458"/>
      <c r="HW295" s="458"/>
      <c r="HX295" s="458"/>
      <c r="HY295" s="458"/>
      <c r="HZ295" s="458"/>
      <c r="IA295" s="458"/>
      <c r="IB295" s="458"/>
      <c r="IC295" s="458"/>
      <c r="ID295" s="458"/>
      <c r="IE295" s="458"/>
      <c r="IF295" s="458"/>
      <c r="IG295" s="458"/>
      <c r="IH295" s="458"/>
      <c r="II295" s="458"/>
      <c r="IJ295" s="458"/>
      <c r="IK295" s="458"/>
      <c r="IL295" s="458"/>
      <c r="IM295" s="458"/>
      <c r="IN295" s="458"/>
      <c r="IO295" s="458"/>
      <c r="IP295" s="458"/>
      <c r="IQ295" s="458"/>
      <c r="IR295" s="458"/>
      <c r="IS295" s="458"/>
    </row>
    <row r="296" spans="1:253" s="455" customFormat="1" ht="45" x14ac:dyDescent="0.2">
      <c r="A296" s="444">
        <v>3304</v>
      </c>
      <c r="B296" s="445" t="s">
        <v>51</v>
      </c>
      <c r="C296" s="445" t="s">
        <v>52</v>
      </c>
      <c r="D296" s="445"/>
      <c r="E296" s="445"/>
      <c r="F296" s="445"/>
      <c r="G296" s="446">
        <v>3</v>
      </c>
      <c r="H296" s="445">
        <v>6</v>
      </c>
      <c r="I296" s="445"/>
      <c r="J296" s="445">
        <v>5</v>
      </c>
      <c r="K296" s="447">
        <v>5</v>
      </c>
      <c r="L296" s="445" t="s">
        <v>394</v>
      </c>
      <c r="M296" s="445">
        <v>1</v>
      </c>
      <c r="N296" s="445" t="s">
        <v>230</v>
      </c>
      <c r="O296" s="464" t="s">
        <v>1313</v>
      </c>
      <c r="P296" s="450">
        <v>10.342000000000001</v>
      </c>
      <c r="Q296" s="451">
        <f t="shared" si="6"/>
        <v>10.342000000000001</v>
      </c>
      <c r="R296" s="451">
        <f>SUMIF('Wege im Detail'!$A:$A,"3304",'Wege im Detail'!$P:$P)</f>
        <v>55.11</v>
      </c>
      <c r="S296" s="452" t="s">
        <v>395</v>
      </c>
      <c r="T296" s="453">
        <v>43160</v>
      </c>
      <c r="U296" s="448"/>
      <c r="V296" s="458"/>
      <c r="W296" s="448"/>
    </row>
    <row r="297" spans="1:253" s="455" customFormat="1" ht="56.25" x14ac:dyDescent="0.2">
      <c r="A297" s="444">
        <v>3309</v>
      </c>
      <c r="B297" s="445" t="s">
        <v>84</v>
      </c>
      <c r="C297" s="445" t="s">
        <v>85</v>
      </c>
      <c r="D297" s="445"/>
      <c r="E297" s="445"/>
      <c r="F297" s="445"/>
      <c r="G297" s="446">
        <v>214</v>
      </c>
      <c r="H297" s="445" t="s">
        <v>397</v>
      </c>
      <c r="I297" s="445"/>
      <c r="J297" s="445"/>
      <c r="K297" s="447"/>
      <c r="L297" s="445" t="s">
        <v>138</v>
      </c>
      <c r="M297" s="445">
        <v>1</v>
      </c>
      <c r="N297" s="445" t="s">
        <v>384</v>
      </c>
      <c r="O297" s="449" t="s">
        <v>1314</v>
      </c>
      <c r="P297" s="450">
        <v>4.4930000000000003</v>
      </c>
      <c r="Q297" s="451">
        <f t="shared" si="6"/>
        <v>4.4930000000000003</v>
      </c>
      <c r="R297" s="451">
        <f>SUMIF('Wege im Detail'!$A:$A,"3309",'Wege im Detail'!$P:$P)</f>
        <v>4.4930000000000003</v>
      </c>
      <c r="S297" s="452" t="s">
        <v>398</v>
      </c>
      <c r="T297" s="453">
        <v>43452</v>
      </c>
      <c r="U297" s="448"/>
      <c r="V297" s="476"/>
      <c r="W297" s="448"/>
    </row>
    <row r="298" spans="1:253" s="455" customFormat="1" ht="56.25" x14ac:dyDescent="0.2">
      <c r="A298" s="444">
        <v>3311</v>
      </c>
      <c r="B298" s="445" t="s">
        <v>84</v>
      </c>
      <c r="C298" s="445" t="s">
        <v>85</v>
      </c>
      <c r="D298" s="445"/>
      <c r="E298" s="445"/>
      <c r="F298" s="445"/>
      <c r="G298" s="446">
        <v>215</v>
      </c>
      <c r="H298" s="445" t="s">
        <v>400</v>
      </c>
      <c r="I298" s="445"/>
      <c r="J298" s="445"/>
      <c r="K298" s="447"/>
      <c r="L298" s="445" t="s">
        <v>88</v>
      </c>
      <c r="M298" s="445">
        <v>1</v>
      </c>
      <c r="N298" s="445" t="s">
        <v>384</v>
      </c>
      <c r="O298" s="449" t="s">
        <v>1315</v>
      </c>
      <c r="P298" s="450">
        <v>6.91</v>
      </c>
      <c r="Q298" s="451">
        <f t="shared" si="6"/>
        <v>6.91</v>
      </c>
      <c r="R298" s="451">
        <f>SUMIF('Wege im Detail'!$A:$A,"3311",'Wege im Detail'!$P:$P)</f>
        <v>6.91</v>
      </c>
      <c r="S298" s="452" t="s">
        <v>401</v>
      </c>
      <c r="T298" s="453">
        <v>43452</v>
      </c>
      <c r="U298" s="448"/>
      <c r="V298" s="476"/>
      <c r="W298" s="448"/>
    </row>
    <row r="299" spans="1:253" s="458" customFormat="1" ht="56.25" x14ac:dyDescent="0.2">
      <c r="A299" s="444">
        <v>3312</v>
      </c>
      <c r="B299" s="445" t="s">
        <v>84</v>
      </c>
      <c r="C299" s="445" t="s">
        <v>85</v>
      </c>
      <c r="D299" s="445"/>
      <c r="E299" s="445"/>
      <c r="F299" s="445"/>
      <c r="G299" s="446">
        <v>217</v>
      </c>
      <c r="H299" s="445" t="s">
        <v>403</v>
      </c>
      <c r="I299" s="445"/>
      <c r="J299" s="445"/>
      <c r="K299" s="447"/>
      <c r="L299" s="445" t="s">
        <v>163</v>
      </c>
      <c r="M299" s="445">
        <v>1</v>
      </c>
      <c r="N299" s="445" t="s">
        <v>384</v>
      </c>
      <c r="O299" s="449" t="s">
        <v>1316</v>
      </c>
      <c r="P299" s="450">
        <v>3.8279999999999998</v>
      </c>
      <c r="Q299" s="451">
        <f t="shared" si="6"/>
        <v>3.8279999999999998</v>
      </c>
      <c r="R299" s="451">
        <f>SUMIF('Wege im Detail'!$A:$A,"3312",'Wege im Detail'!$P:$P)</f>
        <v>3.8279999999999998</v>
      </c>
      <c r="S299" s="452" t="s">
        <v>404</v>
      </c>
      <c r="T299" s="453">
        <v>43452</v>
      </c>
      <c r="U299" s="448"/>
      <c r="V299" s="476"/>
      <c r="W299" s="448"/>
    </row>
    <row r="300" spans="1:253" s="458" customFormat="1" ht="67.5" x14ac:dyDescent="0.2">
      <c r="A300" s="438">
        <v>3313</v>
      </c>
      <c r="B300" s="445" t="s">
        <v>84</v>
      </c>
      <c r="C300" s="445" t="s">
        <v>85</v>
      </c>
      <c r="D300" s="445"/>
      <c r="E300" s="445"/>
      <c r="F300" s="445"/>
      <c r="G300" s="446">
        <v>221</v>
      </c>
      <c r="H300" s="445" t="s">
        <v>406</v>
      </c>
      <c r="I300" s="445"/>
      <c r="J300" s="445"/>
      <c r="K300" s="447"/>
      <c r="L300" s="445" t="s">
        <v>142</v>
      </c>
      <c r="M300" s="445">
        <v>1</v>
      </c>
      <c r="N300" s="445" t="s">
        <v>1296</v>
      </c>
      <c r="O300" s="449" t="s">
        <v>1317</v>
      </c>
      <c r="P300" s="450">
        <v>9.2840000000000007</v>
      </c>
      <c r="Q300" s="451">
        <f t="shared" si="6"/>
        <v>9.2840000000000007</v>
      </c>
      <c r="R300" s="451">
        <f>SUMIF('Wege im Detail'!$A:$A,"3313",'Wege im Detail'!$P:$P)</f>
        <v>9.2840000000000007</v>
      </c>
      <c r="S300" s="452" t="s">
        <v>407</v>
      </c>
      <c r="T300" s="453">
        <v>43527</v>
      </c>
      <c r="U300" s="477" t="s">
        <v>1318</v>
      </c>
      <c r="V300" s="400" t="s">
        <v>1308</v>
      </c>
      <c r="W300" s="448"/>
    </row>
    <row r="301" spans="1:253" s="458" customFormat="1" ht="45" x14ac:dyDescent="0.2">
      <c r="A301" s="444">
        <v>3314</v>
      </c>
      <c r="B301" s="445" t="s">
        <v>84</v>
      </c>
      <c r="C301" s="445" t="s">
        <v>85</v>
      </c>
      <c r="D301" s="445"/>
      <c r="E301" s="445"/>
      <c r="F301" s="455"/>
      <c r="G301" s="446">
        <v>205</v>
      </c>
      <c r="H301" s="445" t="s">
        <v>408</v>
      </c>
      <c r="I301" s="445"/>
      <c r="J301" s="445"/>
      <c r="K301" s="447"/>
      <c r="L301" s="445" t="s">
        <v>88</v>
      </c>
      <c r="M301" s="445">
        <v>1</v>
      </c>
      <c r="N301" s="445" t="s">
        <v>79</v>
      </c>
      <c r="O301" s="449" t="s">
        <v>1319</v>
      </c>
      <c r="P301" s="450">
        <v>10.3</v>
      </c>
      <c r="Q301" s="451">
        <f t="shared" si="6"/>
        <v>10.3</v>
      </c>
      <c r="R301" s="451">
        <f>SUMIF('Wege im Detail'!$A:$A,"3314",'Wege im Detail'!$P:$P)</f>
        <v>10.3</v>
      </c>
      <c r="S301" s="452" t="s">
        <v>409</v>
      </c>
      <c r="T301" s="453">
        <v>43527</v>
      </c>
      <c r="U301" s="448"/>
      <c r="W301" s="448"/>
    </row>
    <row r="302" spans="1:253" s="458" customFormat="1" ht="56.25" x14ac:dyDescent="0.2">
      <c r="A302" s="444">
        <v>3347</v>
      </c>
      <c r="B302" s="445" t="s">
        <v>51</v>
      </c>
      <c r="C302" s="445" t="s">
        <v>52</v>
      </c>
      <c r="D302" s="445" t="s">
        <v>91</v>
      </c>
      <c r="E302" s="445"/>
      <c r="F302" s="445"/>
      <c r="G302" s="446">
        <v>65</v>
      </c>
      <c r="H302" s="445">
        <v>32</v>
      </c>
      <c r="I302" s="445"/>
      <c r="J302" s="445">
        <v>1</v>
      </c>
      <c r="K302" s="447">
        <v>2</v>
      </c>
      <c r="L302" s="445"/>
      <c r="M302" s="445">
        <v>5</v>
      </c>
      <c r="N302" s="445" t="s">
        <v>164</v>
      </c>
      <c r="O302" s="449" t="s">
        <v>1320</v>
      </c>
      <c r="P302" s="450">
        <v>5.0469999999999997</v>
      </c>
      <c r="Q302" s="451">
        <f t="shared" si="6"/>
        <v>5.0469999999999997</v>
      </c>
      <c r="R302" s="451">
        <f>SUMIF('Wege im Detail'!$A:$A,"3347",'Wege im Detail'!$P:$P)</f>
        <v>7.3079999999999998</v>
      </c>
      <c r="S302" s="452" t="s">
        <v>1321</v>
      </c>
      <c r="T302" s="453">
        <v>43527</v>
      </c>
      <c r="U302" s="448"/>
      <c r="W302" s="448"/>
    </row>
    <row r="303" spans="1:253" s="458" customFormat="1" ht="45" x14ac:dyDescent="0.2">
      <c r="A303" s="444">
        <v>3347</v>
      </c>
      <c r="B303" s="445" t="s">
        <v>51</v>
      </c>
      <c r="C303" s="445" t="s">
        <v>52</v>
      </c>
      <c r="D303" s="445" t="s">
        <v>91</v>
      </c>
      <c r="E303" s="445"/>
      <c r="F303" s="445"/>
      <c r="G303" s="446">
        <v>65</v>
      </c>
      <c r="H303" s="445">
        <v>32</v>
      </c>
      <c r="I303" s="445"/>
      <c r="J303" s="445">
        <v>2</v>
      </c>
      <c r="K303" s="447">
        <v>2</v>
      </c>
      <c r="L303" s="445"/>
      <c r="M303" s="445">
        <v>5</v>
      </c>
      <c r="N303" s="445" t="s">
        <v>1004</v>
      </c>
      <c r="O303" s="449" t="s">
        <v>1322</v>
      </c>
      <c r="P303" s="450">
        <v>2.2610000000000001</v>
      </c>
      <c r="Q303" s="451">
        <f t="shared" si="6"/>
        <v>2.2610000000000001</v>
      </c>
      <c r="R303" s="451">
        <f>SUMIF('Wege im Detail'!$A:$A,"3347",'Wege im Detail'!$P:$P)</f>
        <v>7.3079999999999998</v>
      </c>
      <c r="S303" s="452" t="s">
        <v>1321</v>
      </c>
      <c r="T303" s="453">
        <v>43527</v>
      </c>
      <c r="U303" s="448"/>
      <c r="W303" s="448"/>
    </row>
    <row r="304" spans="1:253" s="458" customFormat="1" ht="33.75" x14ac:dyDescent="0.2">
      <c r="A304" s="444">
        <v>3348</v>
      </c>
      <c r="B304" s="445" t="s">
        <v>51</v>
      </c>
      <c r="C304" s="445" t="s">
        <v>52</v>
      </c>
      <c r="D304" s="445" t="s">
        <v>91</v>
      </c>
      <c r="E304" s="445"/>
      <c r="F304" s="445"/>
      <c r="G304" s="446">
        <v>51</v>
      </c>
      <c r="H304" s="445">
        <v>30</v>
      </c>
      <c r="I304" s="445"/>
      <c r="J304" s="445">
        <v>1</v>
      </c>
      <c r="K304" s="447">
        <v>2</v>
      </c>
      <c r="L304" s="445"/>
      <c r="M304" s="445">
        <v>1</v>
      </c>
      <c r="N304" s="445" t="s">
        <v>79</v>
      </c>
      <c r="O304" s="449" t="s">
        <v>1323</v>
      </c>
      <c r="P304" s="450">
        <v>4.3010000000000002</v>
      </c>
      <c r="Q304" s="451">
        <f t="shared" si="6"/>
        <v>4.3010000000000002</v>
      </c>
      <c r="R304" s="451">
        <f>SUMIF('Wege im Detail'!$A:$A,"3348",'Wege im Detail'!$P:$P)</f>
        <v>8.661999999999999</v>
      </c>
      <c r="S304" s="452" t="s">
        <v>412</v>
      </c>
      <c r="T304" s="453">
        <v>43531</v>
      </c>
      <c r="U304" s="448"/>
      <c r="W304" s="448"/>
    </row>
    <row r="305" spans="1:253" s="458" customFormat="1" ht="45" x14ac:dyDescent="0.2">
      <c r="A305" s="444">
        <v>3348</v>
      </c>
      <c r="B305" s="445" t="s">
        <v>51</v>
      </c>
      <c r="C305" s="445" t="s">
        <v>52</v>
      </c>
      <c r="D305" s="445" t="s">
        <v>91</v>
      </c>
      <c r="E305" s="445"/>
      <c r="F305" s="445"/>
      <c r="G305" s="446">
        <v>51</v>
      </c>
      <c r="H305" s="445">
        <v>30</v>
      </c>
      <c r="I305" s="445"/>
      <c r="J305" s="445">
        <v>2</v>
      </c>
      <c r="K305" s="447">
        <v>2</v>
      </c>
      <c r="L305" s="445"/>
      <c r="M305" s="445">
        <v>1</v>
      </c>
      <c r="N305" s="445" t="s">
        <v>79</v>
      </c>
      <c r="O305" s="449" t="s">
        <v>1324</v>
      </c>
      <c r="P305" s="450">
        <v>4.3609999999999998</v>
      </c>
      <c r="Q305" s="451">
        <f t="shared" si="6"/>
        <v>4.3609999999999998</v>
      </c>
      <c r="R305" s="451">
        <f>SUMIF('Wege im Detail'!$A:$A,"3348",'Wege im Detail'!$P:$P)</f>
        <v>8.661999999999999</v>
      </c>
      <c r="S305" s="452" t="s">
        <v>412</v>
      </c>
      <c r="T305" s="453">
        <v>43531</v>
      </c>
      <c r="U305" s="448"/>
      <c r="W305" s="448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5"/>
      <c r="AQ305" s="455"/>
      <c r="AR305" s="455"/>
      <c r="AS305" s="455"/>
      <c r="AT305" s="455"/>
      <c r="AU305" s="455"/>
      <c r="AV305" s="455"/>
      <c r="AW305" s="455"/>
      <c r="AX305" s="455"/>
      <c r="AY305" s="455"/>
      <c r="AZ305" s="455"/>
      <c r="BA305" s="455"/>
      <c r="BB305" s="455"/>
      <c r="BC305" s="455"/>
      <c r="BD305" s="455"/>
      <c r="BE305" s="455"/>
      <c r="BF305" s="455"/>
      <c r="BG305" s="455"/>
      <c r="BH305" s="455"/>
      <c r="BI305" s="455"/>
      <c r="BJ305" s="455"/>
      <c r="BK305" s="455"/>
      <c r="BL305" s="455"/>
      <c r="BM305" s="455"/>
      <c r="BN305" s="455"/>
      <c r="BO305" s="455"/>
      <c r="BP305" s="455"/>
      <c r="BQ305" s="455"/>
      <c r="BR305" s="455"/>
      <c r="BS305" s="455"/>
      <c r="BT305" s="455"/>
      <c r="BU305" s="455"/>
      <c r="BV305" s="455"/>
      <c r="BW305" s="455"/>
      <c r="BX305" s="455"/>
      <c r="BY305" s="455"/>
      <c r="BZ305" s="455"/>
      <c r="CA305" s="455"/>
      <c r="CB305" s="455"/>
      <c r="CC305" s="455"/>
      <c r="CD305" s="455"/>
      <c r="CE305" s="455"/>
      <c r="CF305" s="455"/>
      <c r="CG305" s="455"/>
      <c r="CH305" s="455"/>
      <c r="CI305" s="455"/>
      <c r="CJ305" s="455"/>
      <c r="CK305" s="455"/>
      <c r="CL305" s="455"/>
      <c r="CM305" s="455"/>
      <c r="CN305" s="455"/>
      <c r="CO305" s="455"/>
      <c r="CP305" s="455"/>
      <c r="CQ305" s="455"/>
      <c r="CR305" s="455"/>
      <c r="CS305" s="455"/>
      <c r="CT305" s="455"/>
      <c r="CU305" s="455"/>
      <c r="CV305" s="455"/>
      <c r="CW305" s="455"/>
      <c r="CX305" s="455"/>
      <c r="CY305" s="455"/>
      <c r="CZ305" s="455"/>
      <c r="DA305" s="455"/>
      <c r="DB305" s="455"/>
      <c r="DC305" s="455"/>
      <c r="DD305" s="455"/>
      <c r="DE305" s="455"/>
      <c r="DF305" s="455"/>
      <c r="DG305" s="455"/>
      <c r="DH305" s="455"/>
      <c r="DI305" s="455"/>
      <c r="DJ305" s="455"/>
      <c r="DK305" s="455"/>
      <c r="DL305" s="455"/>
      <c r="DM305" s="455"/>
      <c r="DN305" s="455"/>
      <c r="DO305" s="455"/>
      <c r="DP305" s="455"/>
      <c r="DQ305" s="455"/>
      <c r="DR305" s="455"/>
      <c r="DS305" s="455"/>
      <c r="DT305" s="455"/>
      <c r="DU305" s="455"/>
      <c r="DV305" s="455"/>
      <c r="DW305" s="455"/>
      <c r="DX305" s="455"/>
      <c r="DY305" s="455"/>
      <c r="DZ305" s="455"/>
      <c r="EA305" s="455"/>
      <c r="EB305" s="455"/>
      <c r="EC305" s="455"/>
      <c r="ED305" s="455"/>
      <c r="EE305" s="455"/>
      <c r="EF305" s="455"/>
      <c r="EG305" s="455"/>
      <c r="EH305" s="455"/>
      <c r="EI305" s="455"/>
      <c r="EJ305" s="455"/>
      <c r="EK305" s="455"/>
      <c r="EL305" s="455"/>
      <c r="EM305" s="455"/>
      <c r="EN305" s="455"/>
      <c r="EO305" s="455"/>
      <c r="EP305" s="455"/>
      <c r="EQ305" s="455"/>
      <c r="ER305" s="455"/>
      <c r="ES305" s="455"/>
      <c r="ET305" s="455"/>
      <c r="EU305" s="455"/>
      <c r="EV305" s="455"/>
      <c r="EW305" s="455"/>
      <c r="EX305" s="455"/>
      <c r="EY305" s="455"/>
      <c r="EZ305" s="455"/>
      <c r="FA305" s="455"/>
      <c r="FB305" s="455"/>
      <c r="FC305" s="455"/>
      <c r="FD305" s="455"/>
      <c r="FE305" s="455"/>
      <c r="FF305" s="455"/>
      <c r="FG305" s="455"/>
      <c r="FH305" s="455"/>
      <c r="FI305" s="455"/>
      <c r="FJ305" s="455"/>
      <c r="FK305" s="455"/>
      <c r="FL305" s="455"/>
      <c r="FM305" s="455"/>
      <c r="FN305" s="455"/>
      <c r="FO305" s="455"/>
      <c r="FP305" s="455"/>
      <c r="FQ305" s="455"/>
      <c r="FR305" s="455"/>
      <c r="FS305" s="455"/>
      <c r="FT305" s="455"/>
      <c r="FU305" s="455"/>
      <c r="FV305" s="455"/>
      <c r="FW305" s="455"/>
      <c r="FX305" s="455"/>
      <c r="FY305" s="455"/>
      <c r="FZ305" s="455"/>
      <c r="GA305" s="455"/>
      <c r="GB305" s="455"/>
      <c r="GC305" s="455"/>
      <c r="GD305" s="455"/>
      <c r="GE305" s="455"/>
      <c r="GF305" s="455"/>
      <c r="GG305" s="455"/>
      <c r="GH305" s="455"/>
      <c r="GI305" s="455"/>
      <c r="GJ305" s="455"/>
      <c r="GK305" s="455"/>
      <c r="GL305" s="455"/>
      <c r="GM305" s="455"/>
      <c r="GN305" s="455"/>
      <c r="GO305" s="455"/>
      <c r="GP305" s="455"/>
      <c r="GQ305" s="455"/>
      <c r="GR305" s="455"/>
      <c r="GS305" s="455"/>
      <c r="GT305" s="455"/>
      <c r="GU305" s="455"/>
      <c r="GV305" s="455"/>
      <c r="GW305" s="455"/>
      <c r="GX305" s="455"/>
      <c r="GY305" s="455"/>
      <c r="GZ305" s="455"/>
      <c r="HA305" s="455"/>
      <c r="HB305" s="455"/>
      <c r="HC305" s="455"/>
      <c r="HD305" s="455"/>
      <c r="HE305" s="455"/>
      <c r="HF305" s="455"/>
      <c r="HG305" s="455"/>
      <c r="HH305" s="455"/>
      <c r="HI305" s="455"/>
      <c r="HJ305" s="455"/>
      <c r="HK305" s="455"/>
      <c r="HL305" s="455"/>
      <c r="HM305" s="455"/>
      <c r="HN305" s="455"/>
      <c r="HO305" s="455"/>
      <c r="HP305" s="455"/>
      <c r="HQ305" s="455"/>
      <c r="HR305" s="455"/>
      <c r="HS305" s="455"/>
      <c r="HT305" s="455"/>
      <c r="HU305" s="455"/>
      <c r="HV305" s="455"/>
      <c r="HW305" s="455"/>
      <c r="HX305" s="455"/>
      <c r="HY305" s="455"/>
      <c r="HZ305" s="455"/>
      <c r="IA305" s="455"/>
      <c r="IB305" s="455"/>
      <c r="IC305" s="455"/>
      <c r="ID305" s="455"/>
      <c r="IE305" s="455"/>
      <c r="IF305" s="455"/>
      <c r="IG305" s="455"/>
      <c r="IH305" s="455"/>
      <c r="II305" s="455"/>
      <c r="IJ305" s="455"/>
      <c r="IK305" s="455"/>
      <c r="IL305" s="455"/>
      <c r="IM305" s="455"/>
      <c r="IN305" s="455"/>
      <c r="IO305" s="455"/>
      <c r="IP305" s="455"/>
      <c r="IQ305" s="455"/>
      <c r="IR305" s="455"/>
      <c r="IS305" s="455"/>
    </row>
    <row r="306" spans="1:253" s="458" customFormat="1" ht="56.25" x14ac:dyDescent="0.2">
      <c r="A306" s="444">
        <v>3350</v>
      </c>
      <c r="B306" s="445" t="s">
        <v>51</v>
      </c>
      <c r="C306" s="445" t="s">
        <v>52</v>
      </c>
      <c r="D306" s="445" t="s">
        <v>91</v>
      </c>
      <c r="E306" s="445"/>
      <c r="F306" s="479"/>
      <c r="G306" s="446">
        <v>56</v>
      </c>
      <c r="H306" s="445">
        <v>26</v>
      </c>
      <c r="I306" s="445"/>
      <c r="J306" s="445">
        <v>1</v>
      </c>
      <c r="K306" s="447">
        <v>2</v>
      </c>
      <c r="L306" s="445"/>
      <c r="M306" s="445">
        <v>1</v>
      </c>
      <c r="N306" s="445" t="s">
        <v>384</v>
      </c>
      <c r="O306" s="449" t="s">
        <v>1325</v>
      </c>
      <c r="P306" s="450">
        <v>8.1679999999999993</v>
      </c>
      <c r="Q306" s="451">
        <f t="shared" si="6"/>
        <v>8.1679999999999993</v>
      </c>
      <c r="R306" s="451">
        <f>SUMIF('Wege im Detail'!$A:$A,"3350",'Wege im Detail'!$P:$P)</f>
        <v>9.2880000000000003</v>
      </c>
      <c r="S306" s="452" t="s">
        <v>413</v>
      </c>
      <c r="T306" s="453">
        <v>43556</v>
      </c>
      <c r="U306" s="448"/>
      <c r="W306" s="448"/>
      <c r="X306" s="455"/>
      <c r="Y306" s="455"/>
      <c r="Z306" s="455"/>
      <c r="AA306" s="455"/>
      <c r="AB306" s="455"/>
      <c r="AC306" s="455"/>
      <c r="AD306" s="455"/>
      <c r="AE306" s="455"/>
      <c r="AF306" s="455"/>
      <c r="AG306" s="455"/>
      <c r="AH306" s="455"/>
      <c r="AI306" s="455"/>
      <c r="AJ306" s="455"/>
      <c r="AK306" s="455"/>
      <c r="AL306" s="455"/>
      <c r="AM306" s="455"/>
      <c r="AN306" s="455"/>
      <c r="AO306" s="455"/>
      <c r="AP306" s="455"/>
      <c r="AQ306" s="455"/>
      <c r="AR306" s="455"/>
      <c r="AS306" s="455"/>
      <c r="AT306" s="455"/>
      <c r="AU306" s="455"/>
      <c r="AV306" s="455"/>
      <c r="AW306" s="455"/>
      <c r="AX306" s="455"/>
      <c r="AY306" s="455"/>
      <c r="AZ306" s="455"/>
      <c r="BA306" s="455"/>
      <c r="BB306" s="455"/>
      <c r="BC306" s="455"/>
      <c r="BD306" s="455"/>
      <c r="BE306" s="455"/>
      <c r="BF306" s="455"/>
      <c r="BG306" s="455"/>
      <c r="BH306" s="455"/>
      <c r="BI306" s="455"/>
      <c r="BJ306" s="455"/>
      <c r="BK306" s="455"/>
      <c r="BL306" s="455"/>
      <c r="BM306" s="455"/>
      <c r="BN306" s="455"/>
      <c r="BO306" s="455"/>
      <c r="BP306" s="455"/>
      <c r="BQ306" s="455"/>
      <c r="BR306" s="455"/>
      <c r="BS306" s="455"/>
      <c r="BT306" s="455"/>
      <c r="BU306" s="455"/>
      <c r="BV306" s="455"/>
      <c r="BW306" s="455"/>
      <c r="BX306" s="455"/>
      <c r="BY306" s="455"/>
      <c r="BZ306" s="455"/>
      <c r="CA306" s="455"/>
      <c r="CB306" s="455"/>
      <c r="CC306" s="455"/>
      <c r="CD306" s="455"/>
      <c r="CE306" s="455"/>
      <c r="CF306" s="455"/>
      <c r="CG306" s="455"/>
      <c r="CH306" s="455"/>
      <c r="CI306" s="455"/>
      <c r="CJ306" s="455"/>
      <c r="CK306" s="455"/>
      <c r="CL306" s="455"/>
      <c r="CM306" s="455"/>
      <c r="CN306" s="455"/>
      <c r="CO306" s="455"/>
      <c r="CP306" s="455"/>
      <c r="CQ306" s="455"/>
      <c r="CR306" s="455"/>
      <c r="CS306" s="455"/>
      <c r="CT306" s="455"/>
      <c r="CU306" s="455"/>
      <c r="CV306" s="455"/>
      <c r="CW306" s="455"/>
      <c r="CX306" s="455"/>
      <c r="CY306" s="455"/>
      <c r="CZ306" s="455"/>
      <c r="DA306" s="455"/>
      <c r="DB306" s="455"/>
      <c r="DC306" s="455"/>
      <c r="DD306" s="455"/>
      <c r="DE306" s="455"/>
      <c r="DF306" s="455"/>
      <c r="DG306" s="455"/>
      <c r="DH306" s="455"/>
      <c r="DI306" s="455"/>
      <c r="DJ306" s="455"/>
      <c r="DK306" s="455"/>
      <c r="DL306" s="455"/>
      <c r="DM306" s="455"/>
      <c r="DN306" s="455"/>
      <c r="DO306" s="455"/>
      <c r="DP306" s="455"/>
      <c r="DQ306" s="455"/>
      <c r="DR306" s="455"/>
      <c r="DS306" s="455"/>
      <c r="DT306" s="455"/>
      <c r="DU306" s="455"/>
      <c r="DV306" s="455"/>
      <c r="DW306" s="455"/>
      <c r="DX306" s="455"/>
      <c r="DY306" s="455"/>
      <c r="DZ306" s="455"/>
      <c r="EA306" s="455"/>
      <c r="EB306" s="455"/>
      <c r="EC306" s="455"/>
      <c r="ED306" s="455"/>
      <c r="EE306" s="455"/>
      <c r="EF306" s="455"/>
      <c r="EG306" s="455"/>
      <c r="EH306" s="455"/>
      <c r="EI306" s="455"/>
      <c r="EJ306" s="455"/>
      <c r="EK306" s="455"/>
      <c r="EL306" s="455"/>
      <c r="EM306" s="455"/>
      <c r="EN306" s="455"/>
      <c r="EO306" s="455"/>
      <c r="EP306" s="455"/>
      <c r="EQ306" s="455"/>
      <c r="ER306" s="455"/>
      <c r="ES306" s="455"/>
      <c r="ET306" s="455"/>
      <c r="EU306" s="455"/>
      <c r="EV306" s="455"/>
      <c r="EW306" s="455"/>
      <c r="EX306" s="455"/>
      <c r="EY306" s="455"/>
      <c r="EZ306" s="455"/>
      <c r="FA306" s="455"/>
      <c r="FB306" s="455"/>
      <c r="FC306" s="455"/>
      <c r="FD306" s="455"/>
      <c r="FE306" s="455"/>
      <c r="FF306" s="455"/>
      <c r="FG306" s="455"/>
      <c r="FH306" s="455"/>
      <c r="FI306" s="455"/>
      <c r="FJ306" s="455"/>
      <c r="FK306" s="455"/>
      <c r="FL306" s="455"/>
      <c r="FM306" s="455"/>
      <c r="FN306" s="455"/>
      <c r="FO306" s="455"/>
      <c r="FP306" s="455"/>
      <c r="FQ306" s="455"/>
      <c r="FR306" s="455"/>
      <c r="FS306" s="455"/>
      <c r="FT306" s="455"/>
      <c r="FU306" s="455"/>
      <c r="FV306" s="455"/>
      <c r="FW306" s="455"/>
      <c r="FX306" s="455"/>
      <c r="FY306" s="455"/>
      <c r="FZ306" s="455"/>
      <c r="GA306" s="455"/>
      <c r="GB306" s="455"/>
      <c r="GC306" s="455"/>
      <c r="GD306" s="455"/>
      <c r="GE306" s="455"/>
      <c r="GF306" s="455"/>
      <c r="GG306" s="455"/>
      <c r="GH306" s="455"/>
      <c r="GI306" s="455"/>
      <c r="GJ306" s="455"/>
      <c r="GK306" s="455"/>
      <c r="GL306" s="455"/>
      <c r="GM306" s="455"/>
      <c r="GN306" s="455"/>
      <c r="GO306" s="455"/>
      <c r="GP306" s="455"/>
      <c r="GQ306" s="455"/>
      <c r="GR306" s="455"/>
      <c r="GS306" s="455"/>
      <c r="GT306" s="455"/>
      <c r="GU306" s="455"/>
      <c r="GV306" s="455"/>
      <c r="GW306" s="455"/>
      <c r="GX306" s="455"/>
      <c r="GY306" s="455"/>
      <c r="GZ306" s="455"/>
      <c r="HA306" s="455"/>
      <c r="HB306" s="455"/>
      <c r="HC306" s="455"/>
      <c r="HD306" s="455"/>
      <c r="HE306" s="455"/>
      <c r="HF306" s="455"/>
      <c r="HG306" s="455"/>
      <c r="HH306" s="455"/>
      <c r="HI306" s="455"/>
      <c r="HJ306" s="455"/>
      <c r="HK306" s="455"/>
      <c r="HL306" s="455"/>
      <c r="HM306" s="455"/>
      <c r="HN306" s="455"/>
      <c r="HO306" s="455"/>
      <c r="HP306" s="455"/>
      <c r="HQ306" s="455"/>
      <c r="HR306" s="455"/>
      <c r="HS306" s="455"/>
      <c r="HT306" s="455"/>
      <c r="HU306" s="455"/>
      <c r="HV306" s="455"/>
      <c r="HW306" s="455"/>
      <c r="HX306" s="455"/>
      <c r="HY306" s="455"/>
      <c r="HZ306" s="455"/>
      <c r="IA306" s="455"/>
      <c r="IB306" s="455"/>
      <c r="IC306" s="455"/>
      <c r="ID306" s="455"/>
      <c r="IE306" s="455"/>
      <c r="IF306" s="455"/>
      <c r="IG306" s="455"/>
      <c r="IH306" s="455"/>
      <c r="II306" s="455"/>
      <c r="IJ306" s="455"/>
      <c r="IK306" s="455"/>
      <c r="IL306" s="455"/>
      <c r="IM306" s="455"/>
      <c r="IN306" s="455"/>
      <c r="IO306" s="455"/>
      <c r="IP306" s="455"/>
      <c r="IQ306" s="455"/>
      <c r="IR306" s="455"/>
      <c r="IS306" s="455"/>
    </row>
    <row r="307" spans="1:253" s="458" customFormat="1" ht="33.75" x14ac:dyDescent="0.2">
      <c r="A307" s="444">
        <v>3350</v>
      </c>
      <c r="B307" s="445" t="s">
        <v>51</v>
      </c>
      <c r="C307" s="445" t="s">
        <v>52</v>
      </c>
      <c r="D307" s="445" t="s">
        <v>91</v>
      </c>
      <c r="E307" s="445"/>
      <c r="F307" s="479"/>
      <c r="G307" s="446">
        <v>56</v>
      </c>
      <c r="H307" s="445">
        <v>26</v>
      </c>
      <c r="I307" s="445"/>
      <c r="J307" s="445">
        <v>2</v>
      </c>
      <c r="K307" s="447">
        <v>2</v>
      </c>
      <c r="L307" s="445"/>
      <c r="M307" s="445">
        <v>5</v>
      </c>
      <c r="N307" s="445" t="s">
        <v>164</v>
      </c>
      <c r="O307" s="449" t="s">
        <v>1326</v>
      </c>
      <c r="P307" s="450">
        <v>1.1200000000000001</v>
      </c>
      <c r="Q307" s="451">
        <f t="shared" si="6"/>
        <v>1.1200000000000001</v>
      </c>
      <c r="R307" s="451">
        <f>SUMIF('Wege im Detail'!$A:$A,"3350",'Wege im Detail'!$P:$P)</f>
        <v>9.2880000000000003</v>
      </c>
      <c r="S307" s="452" t="s">
        <v>413</v>
      </c>
      <c r="T307" s="453">
        <v>43556</v>
      </c>
      <c r="U307" s="448"/>
      <c r="W307" s="448"/>
      <c r="X307" s="455"/>
      <c r="Y307" s="455"/>
      <c r="Z307" s="455"/>
      <c r="AA307" s="455"/>
      <c r="AB307" s="455"/>
      <c r="AC307" s="455"/>
      <c r="AD307" s="455"/>
      <c r="AE307" s="455"/>
      <c r="AF307" s="455"/>
      <c r="AG307" s="455"/>
      <c r="AH307" s="455"/>
      <c r="AI307" s="455"/>
      <c r="AJ307" s="455"/>
      <c r="AK307" s="455"/>
      <c r="AL307" s="455"/>
      <c r="AM307" s="455"/>
      <c r="AN307" s="455"/>
      <c r="AO307" s="455"/>
      <c r="AP307" s="455"/>
      <c r="AQ307" s="455"/>
      <c r="AR307" s="455"/>
      <c r="AS307" s="455"/>
      <c r="AT307" s="455"/>
      <c r="AU307" s="455"/>
      <c r="AV307" s="455"/>
      <c r="AW307" s="455"/>
      <c r="AX307" s="455"/>
      <c r="AY307" s="455"/>
      <c r="AZ307" s="455"/>
      <c r="BA307" s="455"/>
      <c r="BB307" s="455"/>
      <c r="BC307" s="455"/>
      <c r="BD307" s="455"/>
      <c r="BE307" s="455"/>
      <c r="BF307" s="455"/>
      <c r="BG307" s="455"/>
      <c r="BH307" s="455"/>
      <c r="BI307" s="455"/>
      <c r="BJ307" s="455"/>
      <c r="BK307" s="455"/>
      <c r="BL307" s="455"/>
      <c r="BM307" s="455"/>
      <c r="BN307" s="455"/>
      <c r="BO307" s="455"/>
      <c r="BP307" s="455"/>
      <c r="BQ307" s="455"/>
      <c r="BR307" s="455"/>
      <c r="BS307" s="455"/>
      <c r="BT307" s="455"/>
      <c r="BU307" s="455"/>
      <c r="BV307" s="455"/>
      <c r="BW307" s="455"/>
      <c r="BX307" s="455"/>
      <c r="BY307" s="455"/>
      <c r="BZ307" s="455"/>
      <c r="CA307" s="455"/>
      <c r="CB307" s="455"/>
      <c r="CC307" s="455"/>
      <c r="CD307" s="455"/>
      <c r="CE307" s="455"/>
      <c r="CF307" s="455"/>
      <c r="CG307" s="455"/>
      <c r="CH307" s="455"/>
      <c r="CI307" s="455"/>
      <c r="CJ307" s="455"/>
      <c r="CK307" s="455"/>
      <c r="CL307" s="455"/>
      <c r="CM307" s="455"/>
      <c r="CN307" s="455"/>
      <c r="CO307" s="455"/>
      <c r="CP307" s="455"/>
      <c r="CQ307" s="455"/>
      <c r="CR307" s="455"/>
      <c r="CS307" s="455"/>
      <c r="CT307" s="455"/>
      <c r="CU307" s="455"/>
      <c r="CV307" s="455"/>
      <c r="CW307" s="455"/>
      <c r="CX307" s="455"/>
      <c r="CY307" s="455"/>
      <c r="CZ307" s="455"/>
      <c r="DA307" s="455"/>
      <c r="DB307" s="455"/>
      <c r="DC307" s="455"/>
      <c r="DD307" s="455"/>
      <c r="DE307" s="455"/>
      <c r="DF307" s="455"/>
      <c r="DG307" s="455"/>
      <c r="DH307" s="455"/>
      <c r="DI307" s="455"/>
      <c r="DJ307" s="455"/>
      <c r="DK307" s="455"/>
      <c r="DL307" s="455"/>
      <c r="DM307" s="455"/>
      <c r="DN307" s="455"/>
      <c r="DO307" s="455"/>
      <c r="DP307" s="455"/>
      <c r="DQ307" s="455"/>
      <c r="DR307" s="455"/>
      <c r="DS307" s="455"/>
      <c r="DT307" s="455"/>
      <c r="DU307" s="455"/>
      <c r="DV307" s="455"/>
      <c r="DW307" s="455"/>
      <c r="DX307" s="455"/>
      <c r="DY307" s="455"/>
      <c r="DZ307" s="455"/>
      <c r="EA307" s="455"/>
      <c r="EB307" s="455"/>
      <c r="EC307" s="455"/>
      <c r="ED307" s="455"/>
      <c r="EE307" s="455"/>
      <c r="EF307" s="455"/>
      <c r="EG307" s="455"/>
      <c r="EH307" s="455"/>
      <c r="EI307" s="455"/>
      <c r="EJ307" s="455"/>
      <c r="EK307" s="455"/>
      <c r="EL307" s="455"/>
      <c r="EM307" s="455"/>
      <c r="EN307" s="455"/>
      <c r="EO307" s="455"/>
      <c r="EP307" s="455"/>
      <c r="EQ307" s="455"/>
      <c r="ER307" s="455"/>
      <c r="ES307" s="455"/>
      <c r="ET307" s="455"/>
      <c r="EU307" s="455"/>
      <c r="EV307" s="455"/>
      <c r="EW307" s="455"/>
      <c r="EX307" s="455"/>
      <c r="EY307" s="455"/>
      <c r="EZ307" s="455"/>
      <c r="FA307" s="455"/>
      <c r="FB307" s="455"/>
      <c r="FC307" s="455"/>
      <c r="FD307" s="455"/>
      <c r="FE307" s="455"/>
      <c r="FF307" s="455"/>
      <c r="FG307" s="455"/>
      <c r="FH307" s="455"/>
      <c r="FI307" s="455"/>
      <c r="FJ307" s="455"/>
      <c r="FK307" s="455"/>
      <c r="FL307" s="455"/>
      <c r="FM307" s="455"/>
      <c r="FN307" s="455"/>
      <c r="FO307" s="455"/>
      <c r="FP307" s="455"/>
      <c r="FQ307" s="455"/>
      <c r="FR307" s="455"/>
      <c r="FS307" s="455"/>
      <c r="FT307" s="455"/>
      <c r="FU307" s="455"/>
      <c r="FV307" s="455"/>
      <c r="FW307" s="455"/>
      <c r="FX307" s="455"/>
      <c r="FY307" s="455"/>
      <c r="FZ307" s="455"/>
      <c r="GA307" s="455"/>
      <c r="GB307" s="455"/>
      <c r="GC307" s="455"/>
      <c r="GD307" s="455"/>
      <c r="GE307" s="455"/>
      <c r="GF307" s="455"/>
      <c r="GG307" s="455"/>
      <c r="GH307" s="455"/>
      <c r="GI307" s="455"/>
      <c r="GJ307" s="455"/>
      <c r="GK307" s="455"/>
      <c r="GL307" s="455"/>
      <c r="GM307" s="455"/>
      <c r="GN307" s="455"/>
      <c r="GO307" s="455"/>
      <c r="GP307" s="455"/>
      <c r="GQ307" s="455"/>
      <c r="GR307" s="455"/>
      <c r="GS307" s="455"/>
      <c r="GT307" s="455"/>
      <c r="GU307" s="455"/>
      <c r="GV307" s="455"/>
      <c r="GW307" s="455"/>
      <c r="GX307" s="455"/>
      <c r="GY307" s="455"/>
      <c r="GZ307" s="455"/>
      <c r="HA307" s="455"/>
      <c r="HB307" s="455"/>
      <c r="HC307" s="455"/>
      <c r="HD307" s="455"/>
      <c r="HE307" s="455"/>
      <c r="HF307" s="455"/>
      <c r="HG307" s="455"/>
      <c r="HH307" s="455"/>
      <c r="HI307" s="455"/>
      <c r="HJ307" s="455"/>
      <c r="HK307" s="455"/>
      <c r="HL307" s="455"/>
      <c r="HM307" s="455"/>
      <c r="HN307" s="455"/>
      <c r="HO307" s="455"/>
      <c r="HP307" s="455"/>
      <c r="HQ307" s="455"/>
      <c r="HR307" s="455"/>
      <c r="HS307" s="455"/>
      <c r="HT307" s="455"/>
      <c r="HU307" s="455"/>
      <c r="HV307" s="455"/>
      <c r="HW307" s="455"/>
      <c r="HX307" s="455"/>
      <c r="HY307" s="455"/>
      <c r="HZ307" s="455"/>
      <c r="IA307" s="455"/>
      <c r="IB307" s="455"/>
      <c r="IC307" s="455"/>
      <c r="ID307" s="455"/>
      <c r="IE307" s="455"/>
      <c r="IF307" s="455"/>
      <c r="IG307" s="455"/>
      <c r="IH307" s="455"/>
      <c r="II307" s="455"/>
      <c r="IJ307" s="455"/>
      <c r="IK307" s="455"/>
      <c r="IL307" s="455"/>
      <c r="IM307" s="455"/>
      <c r="IN307" s="455"/>
      <c r="IO307" s="455"/>
      <c r="IP307" s="455"/>
      <c r="IQ307" s="455"/>
      <c r="IR307" s="455"/>
      <c r="IS307" s="455"/>
    </row>
    <row r="308" spans="1:253" s="458" customFormat="1" ht="33.75" x14ac:dyDescent="0.2">
      <c r="A308" s="444">
        <v>3351</v>
      </c>
      <c r="B308" s="445" t="s">
        <v>51</v>
      </c>
      <c r="C308" s="445" t="s">
        <v>52</v>
      </c>
      <c r="D308" s="445" t="s">
        <v>91</v>
      </c>
      <c r="E308" s="445"/>
      <c r="F308" s="445"/>
      <c r="G308" s="446">
        <v>82</v>
      </c>
      <c r="H308" s="445">
        <v>30</v>
      </c>
      <c r="I308" s="445" t="s">
        <v>117</v>
      </c>
      <c r="J308" s="445">
        <v>1</v>
      </c>
      <c r="K308" s="447">
        <v>2</v>
      </c>
      <c r="L308" s="445"/>
      <c r="M308" s="445">
        <v>1</v>
      </c>
      <c r="N308" s="445" t="s">
        <v>1296</v>
      </c>
      <c r="O308" s="449" t="s">
        <v>1327</v>
      </c>
      <c r="P308" s="450">
        <v>2.9980000000000002</v>
      </c>
      <c r="Q308" s="451">
        <f t="shared" si="6"/>
        <v>2.9980000000000002</v>
      </c>
      <c r="R308" s="451">
        <f>SUMIF('Wege im Detail'!$A:$A,"3351",'Wege im Detail'!$P:$P)</f>
        <v>16.824999999999999</v>
      </c>
      <c r="S308" s="452" t="s">
        <v>416</v>
      </c>
      <c r="T308" s="453">
        <v>43556</v>
      </c>
      <c r="U308" s="448"/>
      <c r="W308" s="448"/>
      <c r="X308" s="455"/>
      <c r="Y308" s="455"/>
      <c r="Z308" s="455"/>
      <c r="AA308" s="455"/>
      <c r="AB308" s="455"/>
      <c r="AC308" s="455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  <c r="AO308" s="455"/>
      <c r="AP308" s="455"/>
      <c r="AQ308" s="455"/>
      <c r="AR308" s="455"/>
      <c r="AS308" s="455"/>
      <c r="AT308" s="455"/>
      <c r="AU308" s="455"/>
      <c r="AV308" s="455"/>
      <c r="AW308" s="455"/>
      <c r="AX308" s="455"/>
      <c r="AY308" s="455"/>
      <c r="AZ308" s="455"/>
      <c r="BA308" s="455"/>
      <c r="BB308" s="455"/>
      <c r="BC308" s="455"/>
      <c r="BD308" s="455"/>
      <c r="BE308" s="455"/>
      <c r="BF308" s="455"/>
      <c r="BG308" s="455"/>
      <c r="BH308" s="455"/>
      <c r="BI308" s="455"/>
      <c r="BJ308" s="455"/>
      <c r="BK308" s="455"/>
      <c r="BL308" s="455"/>
      <c r="BM308" s="455"/>
      <c r="BN308" s="455"/>
      <c r="BO308" s="455"/>
      <c r="BP308" s="455"/>
      <c r="BQ308" s="455"/>
      <c r="BR308" s="455"/>
      <c r="BS308" s="455"/>
      <c r="BT308" s="455"/>
      <c r="BU308" s="455"/>
      <c r="BV308" s="455"/>
      <c r="BW308" s="455"/>
      <c r="BX308" s="455"/>
      <c r="BY308" s="455"/>
      <c r="BZ308" s="455"/>
      <c r="CA308" s="455"/>
      <c r="CB308" s="455"/>
      <c r="CC308" s="455"/>
      <c r="CD308" s="455"/>
      <c r="CE308" s="455"/>
      <c r="CF308" s="455"/>
      <c r="CG308" s="455"/>
      <c r="CH308" s="455"/>
      <c r="CI308" s="455"/>
      <c r="CJ308" s="455"/>
      <c r="CK308" s="455"/>
      <c r="CL308" s="455"/>
      <c r="CM308" s="455"/>
      <c r="CN308" s="455"/>
      <c r="CO308" s="455"/>
      <c r="CP308" s="455"/>
      <c r="CQ308" s="455"/>
      <c r="CR308" s="455"/>
      <c r="CS308" s="455"/>
      <c r="CT308" s="455"/>
      <c r="CU308" s="455"/>
      <c r="CV308" s="455"/>
      <c r="CW308" s="455"/>
      <c r="CX308" s="455"/>
      <c r="CY308" s="455"/>
      <c r="CZ308" s="455"/>
      <c r="DA308" s="455"/>
      <c r="DB308" s="455"/>
      <c r="DC308" s="455"/>
      <c r="DD308" s="455"/>
      <c r="DE308" s="455"/>
      <c r="DF308" s="455"/>
      <c r="DG308" s="455"/>
      <c r="DH308" s="455"/>
      <c r="DI308" s="455"/>
      <c r="DJ308" s="455"/>
      <c r="DK308" s="455"/>
      <c r="DL308" s="455"/>
      <c r="DM308" s="455"/>
      <c r="DN308" s="455"/>
      <c r="DO308" s="455"/>
      <c r="DP308" s="455"/>
      <c r="DQ308" s="455"/>
      <c r="DR308" s="455"/>
      <c r="DS308" s="455"/>
      <c r="DT308" s="455"/>
      <c r="DU308" s="455"/>
      <c r="DV308" s="455"/>
      <c r="DW308" s="455"/>
      <c r="DX308" s="455"/>
      <c r="DY308" s="455"/>
      <c r="DZ308" s="455"/>
      <c r="EA308" s="455"/>
      <c r="EB308" s="455"/>
      <c r="EC308" s="455"/>
      <c r="ED308" s="455"/>
      <c r="EE308" s="455"/>
      <c r="EF308" s="455"/>
      <c r="EG308" s="455"/>
      <c r="EH308" s="455"/>
      <c r="EI308" s="455"/>
      <c r="EJ308" s="455"/>
      <c r="EK308" s="455"/>
      <c r="EL308" s="455"/>
      <c r="EM308" s="455"/>
      <c r="EN308" s="455"/>
      <c r="EO308" s="455"/>
      <c r="EP308" s="455"/>
      <c r="EQ308" s="455"/>
      <c r="ER308" s="455"/>
      <c r="ES308" s="455"/>
      <c r="ET308" s="455"/>
      <c r="EU308" s="455"/>
      <c r="EV308" s="455"/>
      <c r="EW308" s="455"/>
      <c r="EX308" s="455"/>
      <c r="EY308" s="455"/>
      <c r="EZ308" s="455"/>
      <c r="FA308" s="455"/>
      <c r="FB308" s="455"/>
      <c r="FC308" s="455"/>
      <c r="FD308" s="455"/>
      <c r="FE308" s="455"/>
      <c r="FF308" s="455"/>
      <c r="FG308" s="455"/>
      <c r="FH308" s="455"/>
      <c r="FI308" s="455"/>
      <c r="FJ308" s="455"/>
      <c r="FK308" s="455"/>
      <c r="FL308" s="455"/>
      <c r="FM308" s="455"/>
      <c r="FN308" s="455"/>
      <c r="FO308" s="455"/>
      <c r="FP308" s="455"/>
      <c r="FQ308" s="455"/>
      <c r="FR308" s="455"/>
      <c r="FS308" s="455"/>
      <c r="FT308" s="455"/>
      <c r="FU308" s="455"/>
      <c r="FV308" s="455"/>
      <c r="FW308" s="455"/>
      <c r="FX308" s="455"/>
      <c r="FY308" s="455"/>
      <c r="FZ308" s="455"/>
      <c r="GA308" s="455"/>
      <c r="GB308" s="455"/>
      <c r="GC308" s="455"/>
      <c r="GD308" s="455"/>
      <c r="GE308" s="455"/>
      <c r="GF308" s="455"/>
      <c r="GG308" s="455"/>
      <c r="GH308" s="455"/>
      <c r="GI308" s="455"/>
      <c r="GJ308" s="455"/>
      <c r="GK308" s="455"/>
      <c r="GL308" s="455"/>
      <c r="GM308" s="455"/>
      <c r="GN308" s="455"/>
      <c r="GO308" s="455"/>
      <c r="GP308" s="455"/>
      <c r="GQ308" s="455"/>
      <c r="GR308" s="455"/>
      <c r="GS308" s="455"/>
      <c r="GT308" s="455"/>
      <c r="GU308" s="455"/>
      <c r="GV308" s="455"/>
      <c r="GW308" s="455"/>
      <c r="GX308" s="455"/>
      <c r="GY308" s="455"/>
      <c r="GZ308" s="455"/>
      <c r="HA308" s="455"/>
      <c r="HB308" s="455"/>
      <c r="HC308" s="455"/>
      <c r="HD308" s="455"/>
      <c r="HE308" s="455"/>
      <c r="HF308" s="455"/>
      <c r="HG308" s="455"/>
      <c r="HH308" s="455"/>
      <c r="HI308" s="455"/>
      <c r="HJ308" s="455"/>
      <c r="HK308" s="455"/>
      <c r="HL308" s="455"/>
      <c r="HM308" s="455"/>
      <c r="HN308" s="455"/>
      <c r="HO308" s="455"/>
      <c r="HP308" s="455"/>
      <c r="HQ308" s="455"/>
      <c r="HR308" s="455"/>
      <c r="HS308" s="455"/>
      <c r="HT308" s="455"/>
      <c r="HU308" s="455"/>
      <c r="HV308" s="455"/>
      <c r="HW308" s="455"/>
      <c r="HX308" s="455"/>
      <c r="HY308" s="455"/>
      <c r="HZ308" s="455"/>
      <c r="IA308" s="455"/>
      <c r="IB308" s="455"/>
      <c r="IC308" s="455"/>
      <c r="ID308" s="455"/>
      <c r="IE308" s="455"/>
      <c r="IF308" s="455"/>
      <c r="IG308" s="455"/>
      <c r="IH308" s="455"/>
      <c r="II308" s="455"/>
      <c r="IJ308" s="455"/>
      <c r="IK308" s="455"/>
      <c r="IL308" s="455"/>
      <c r="IM308" s="455"/>
      <c r="IN308" s="455"/>
      <c r="IO308" s="455"/>
      <c r="IP308" s="455"/>
      <c r="IQ308" s="455"/>
      <c r="IR308" s="455"/>
      <c r="IS308" s="455"/>
    </row>
    <row r="309" spans="1:253" s="458" customFormat="1" ht="67.5" x14ac:dyDescent="0.2">
      <c r="A309" s="444">
        <v>3351</v>
      </c>
      <c r="B309" s="445" t="s">
        <v>51</v>
      </c>
      <c r="C309" s="445" t="s">
        <v>52</v>
      </c>
      <c r="D309" s="445" t="s">
        <v>91</v>
      </c>
      <c r="E309" s="445"/>
      <c r="F309" s="445"/>
      <c r="G309" s="446">
        <v>82</v>
      </c>
      <c r="H309" s="445">
        <v>30</v>
      </c>
      <c r="I309" s="445" t="s">
        <v>117</v>
      </c>
      <c r="J309" s="445">
        <v>2</v>
      </c>
      <c r="K309" s="447">
        <v>2</v>
      </c>
      <c r="L309" s="445"/>
      <c r="M309" s="445">
        <v>1</v>
      </c>
      <c r="N309" s="445" t="s">
        <v>79</v>
      </c>
      <c r="O309" s="449" t="s">
        <v>1328</v>
      </c>
      <c r="P309" s="450">
        <v>13.827</v>
      </c>
      <c r="Q309" s="451">
        <f t="shared" si="6"/>
        <v>13.827</v>
      </c>
      <c r="R309" s="451">
        <f>SUMIF('Wege im Detail'!$A:$A,"3351",'Wege im Detail'!$P:$P)</f>
        <v>16.824999999999999</v>
      </c>
      <c r="S309" s="452" t="s">
        <v>416</v>
      </c>
      <c r="T309" s="453">
        <v>43556</v>
      </c>
      <c r="U309" s="448"/>
      <c r="W309" s="448"/>
      <c r="X309" s="455"/>
      <c r="Y309" s="455"/>
      <c r="Z309" s="455"/>
      <c r="AA309" s="455"/>
      <c r="AB309" s="455"/>
      <c r="AC309" s="455"/>
      <c r="AD309" s="455"/>
      <c r="AE309" s="455"/>
      <c r="AF309" s="455"/>
      <c r="AG309" s="455"/>
      <c r="AH309" s="455"/>
      <c r="AI309" s="455"/>
      <c r="AJ309" s="455"/>
      <c r="AK309" s="455"/>
      <c r="AL309" s="455"/>
      <c r="AM309" s="455"/>
      <c r="AN309" s="455"/>
      <c r="AO309" s="455"/>
      <c r="AP309" s="455"/>
      <c r="AQ309" s="455"/>
      <c r="AR309" s="455"/>
      <c r="AS309" s="455"/>
      <c r="AT309" s="455"/>
      <c r="AU309" s="455"/>
      <c r="AV309" s="455"/>
      <c r="AW309" s="455"/>
      <c r="AX309" s="455"/>
      <c r="AY309" s="455"/>
      <c r="AZ309" s="455"/>
      <c r="BA309" s="455"/>
      <c r="BB309" s="455"/>
      <c r="BC309" s="455"/>
      <c r="BD309" s="455"/>
      <c r="BE309" s="455"/>
      <c r="BF309" s="455"/>
      <c r="BG309" s="455"/>
      <c r="BH309" s="455"/>
      <c r="BI309" s="455"/>
      <c r="BJ309" s="455"/>
      <c r="BK309" s="455"/>
      <c r="BL309" s="455"/>
      <c r="BM309" s="455"/>
      <c r="BN309" s="455"/>
      <c r="BO309" s="455"/>
      <c r="BP309" s="455"/>
      <c r="BQ309" s="455"/>
      <c r="BR309" s="455"/>
      <c r="BS309" s="455"/>
      <c r="BT309" s="455"/>
      <c r="BU309" s="455"/>
      <c r="BV309" s="455"/>
      <c r="BW309" s="455"/>
      <c r="BX309" s="455"/>
      <c r="BY309" s="455"/>
      <c r="BZ309" s="455"/>
      <c r="CA309" s="455"/>
      <c r="CB309" s="455"/>
      <c r="CC309" s="455"/>
      <c r="CD309" s="455"/>
      <c r="CE309" s="455"/>
      <c r="CF309" s="455"/>
      <c r="CG309" s="455"/>
      <c r="CH309" s="455"/>
      <c r="CI309" s="455"/>
      <c r="CJ309" s="455"/>
      <c r="CK309" s="455"/>
      <c r="CL309" s="455"/>
      <c r="CM309" s="455"/>
      <c r="CN309" s="455"/>
      <c r="CO309" s="455"/>
      <c r="CP309" s="455"/>
      <c r="CQ309" s="455"/>
      <c r="CR309" s="455"/>
      <c r="CS309" s="455"/>
      <c r="CT309" s="455"/>
      <c r="CU309" s="455"/>
      <c r="CV309" s="455"/>
      <c r="CW309" s="455"/>
      <c r="CX309" s="455"/>
      <c r="CY309" s="455"/>
      <c r="CZ309" s="455"/>
      <c r="DA309" s="455"/>
      <c r="DB309" s="455"/>
      <c r="DC309" s="455"/>
      <c r="DD309" s="455"/>
      <c r="DE309" s="455"/>
      <c r="DF309" s="455"/>
      <c r="DG309" s="455"/>
      <c r="DH309" s="455"/>
      <c r="DI309" s="455"/>
      <c r="DJ309" s="455"/>
      <c r="DK309" s="455"/>
      <c r="DL309" s="455"/>
      <c r="DM309" s="455"/>
      <c r="DN309" s="455"/>
      <c r="DO309" s="455"/>
      <c r="DP309" s="455"/>
      <c r="DQ309" s="455"/>
      <c r="DR309" s="455"/>
      <c r="DS309" s="455"/>
      <c r="DT309" s="455"/>
      <c r="DU309" s="455"/>
      <c r="DV309" s="455"/>
      <c r="DW309" s="455"/>
      <c r="DX309" s="455"/>
      <c r="DY309" s="455"/>
      <c r="DZ309" s="455"/>
      <c r="EA309" s="455"/>
      <c r="EB309" s="455"/>
      <c r="EC309" s="455"/>
      <c r="ED309" s="455"/>
      <c r="EE309" s="455"/>
      <c r="EF309" s="455"/>
      <c r="EG309" s="455"/>
      <c r="EH309" s="455"/>
      <c r="EI309" s="455"/>
      <c r="EJ309" s="455"/>
      <c r="EK309" s="455"/>
      <c r="EL309" s="455"/>
      <c r="EM309" s="455"/>
      <c r="EN309" s="455"/>
      <c r="EO309" s="455"/>
      <c r="EP309" s="455"/>
      <c r="EQ309" s="455"/>
      <c r="ER309" s="455"/>
      <c r="ES309" s="455"/>
      <c r="ET309" s="455"/>
      <c r="EU309" s="455"/>
      <c r="EV309" s="455"/>
      <c r="EW309" s="455"/>
      <c r="EX309" s="455"/>
      <c r="EY309" s="455"/>
      <c r="EZ309" s="455"/>
      <c r="FA309" s="455"/>
      <c r="FB309" s="455"/>
      <c r="FC309" s="455"/>
      <c r="FD309" s="455"/>
      <c r="FE309" s="455"/>
      <c r="FF309" s="455"/>
      <c r="FG309" s="455"/>
      <c r="FH309" s="455"/>
      <c r="FI309" s="455"/>
      <c r="FJ309" s="455"/>
      <c r="FK309" s="455"/>
      <c r="FL309" s="455"/>
      <c r="FM309" s="455"/>
      <c r="FN309" s="455"/>
      <c r="FO309" s="455"/>
      <c r="FP309" s="455"/>
      <c r="FQ309" s="455"/>
      <c r="FR309" s="455"/>
      <c r="FS309" s="455"/>
      <c r="FT309" s="455"/>
      <c r="FU309" s="455"/>
      <c r="FV309" s="455"/>
      <c r="FW309" s="455"/>
      <c r="FX309" s="455"/>
      <c r="FY309" s="455"/>
      <c r="FZ309" s="455"/>
      <c r="GA309" s="455"/>
      <c r="GB309" s="455"/>
      <c r="GC309" s="455"/>
      <c r="GD309" s="455"/>
      <c r="GE309" s="455"/>
      <c r="GF309" s="455"/>
      <c r="GG309" s="455"/>
      <c r="GH309" s="455"/>
      <c r="GI309" s="455"/>
      <c r="GJ309" s="455"/>
      <c r="GK309" s="455"/>
      <c r="GL309" s="455"/>
      <c r="GM309" s="455"/>
      <c r="GN309" s="455"/>
      <c r="GO309" s="455"/>
      <c r="GP309" s="455"/>
      <c r="GQ309" s="455"/>
      <c r="GR309" s="455"/>
      <c r="GS309" s="455"/>
      <c r="GT309" s="455"/>
      <c r="GU309" s="455"/>
      <c r="GV309" s="455"/>
      <c r="GW309" s="455"/>
      <c r="GX309" s="455"/>
      <c r="GY309" s="455"/>
      <c r="GZ309" s="455"/>
      <c r="HA309" s="455"/>
      <c r="HB309" s="455"/>
      <c r="HC309" s="455"/>
      <c r="HD309" s="455"/>
      <c r="HE309" s="455"/>
      <c r="HF309" s="455"/>
      <c r="HG309" s="455"/>
      <c r="HH309" s="455"/>
      <c r="HI309" s="455"/>
      <c r="HJ309" s="455"/>
      <c r="HK309" s="455"/>
      <c r="HL309" s="455"/>
      <c r="HM309" s="455"/>
      <c r="HN309" s="455"/>
      <c r="HO309" s="455"/>
      <c r="HP309" s="455"/>
      <c r="HQ309" s="455"/>
      <c r="HR309" s="455"/>
      <c r="HS309" s="455"/>
      <c r="HT309" s="455"/>
      <c r="HU309" s="455"/>
      <c r="HV309" s="455"/>
      <c r="HW309" s="455"/>
      <c r="HX309" s="455"/>
      <c r="HY309" s="455"/>
      <c r="HZ309" s="455"/>
      <c r="IA309" s="455"/>
      <c r="IB309" s="455"/>
      <c r="IC309" s="455"/>
      <c r="ID309" s="455"/>
      <c r="IE309" s="455"/>
      <c r="IF309" s="455"/>
      <c r="IG309" s="455"/>
      <c r="IH309" s="455"/>
      <c r="II309" s="455"/>
      <c r="IJ309" s="455"/>
      <c r="IK309" s="455"/>
      <c r="IL309" s="455"/>
      <c r="IM309" s="455"/>
      <c r="IN309" s="455"/>
      <c r="IO309" s="455"/>
      <c r="IP309" s="455"/>
      <c r="IQ309" s="455"/>
      <c r="IR309" s="455"/>
      <c r="IS309" s="455"/>
    </row>
    <row r="310" spans="1:253" s="458" customFormat="1" ht="33.75" x14ac:dyDescent="0.2">
      <c r="A310" s="444">
        <v>3352</v>
      </c>
      <c r="B310" s="445" t="s">
        <v>51</v>
      </c>
      <c r="C310" s="445" t="s">
        <v>52</v>
      </c>
      <c r="D310" s="445" t="s">
        <v>91</v>
      </c>
      <c r="E310" s="445"/>
      <c r="F310" s="445"/>
      <c r="G310" s="446">
        <v>104</v>
      </c>
      <c r="H310" s="445">
        <v>30</v>
      </c>
      <c r="I310" s="445" t="s">
        <v>417</v>
      </c>
      <c r="J310" s="445">
        <v>1</v>
      </c>
      <c r="K310" s="447">
        <v>1</v>
      </c>
      <c r="L310" s="445"/>
      <c r="M310" s="445">
        <v>1</v>
      </c>
      <c r="N310" s="445" t="s">
        <v>79</v>
      </c>
      <c r="O310" s="449" t="s">
        <v>1329</v>
      </c>
      <c r="P310" s="450">
        <v>2.194</v>
      </c>
      <c r="Q310" s="451">
        <f t="shared" si="6"/>
        <v>2.194</v>
      </c>
      <c r="R310" s="451">
        <f>SUMIF('Wege im Detail'!$A:$A,"3352",'Wege im Detail'!$P:$P)</f>
        <v>2.194</v>
      </c>
      <c r="S310" s="452" t="s">
        <v>418</v>
      </c>
      <c r="T310" s="453">
        <v>43556</v>
      </c>
      <c r="U310" s="448"/>
      <c r="W310" s="448"/>
      <c r="X310" s="455"/>
      <c r="Y310" s="455"/>
      <c r="Z310" s="455"/>
      <c r="AA310" s="455"/>
      <c r="AB310" s="455"/>
      <c r="AC310" s="455"/>
      <c r="AD310" s="455"/>
      <c r="AE310" s="455"/>
      <c r="AF310" s="455"/>
      <c r="AG310" s="455"/>
      <c r="AH310" s="455"/>
      <c r="AI310" s="455"/>
      <c r="AJ310" s="455"/>
      <c r="AK310" s="455"/>
      <c r="AL310" s="455"/>
      <c r="AM310" s="455"/>
      <c r="AN310" s="455"/>
      <c r="AO310" s="455"/>
      <c r="AP310" s="455"/>
      <c r="AQ310" s="455"/>
      <c r="AR310" s="455"/>
      <c r="AS310" s="455"/>
      <c r="AT310" s="455"/>
      <c r="AU310" s="455"/>
      <c r="AV310" s="455"/>
      <c r="AW310" s="455"/>
      <c r="AX310" s="455"/>
      <c r="AY310" s="455"/>
      <c r="AZ310" s="455"/>
      <c r="BA310" s="455"/>
      <c r="BB310" s="455"/>
      <c r="BC310" s="455"/>
      <c r="BD310" s="455"/>
      <c r="BE310" s="455"/>
      <c r="BF310" s="455"/>
      <c r="BG310" s="455"/>
      <c r="BH310" s="455"/>
      <c r="BI310" s="455"/>
      <c r="BJ310" s="455"/>
      <c r="BK310" s="455"/>
      <c r="BL310" s="455"/>
      <c r="BM310" s="455"/>
      <c r="BN310" s="455"/>
      <c r="BO310" s="455"/>
      <c r="BP310" s="455"/>
      <c r="BQ310" s="455"/>
      <c r="BR310" s="455"/>
      <c r="BS310" s="455"/>
      <c r="BT310" s="455"/>
      <c r="BU310" s="455"/>
      <c r="BV310" s="455"/>
      <c r="BW310" s="455"/>
      <c r="BX310" s="455"/>
      <c r="BY310" s="455"/>
      <c r="BZ310" s="455"/>
      <c r="CA310" s="455"/>
      <c r="CB310" s="455"/>
      <c r="CC310" s="455"/>
      <c r="CD310" s="455"/>
      <c r="CE310" s="455"/>
      <c r="CF310" s="455"/>
      <c r="CG310" s="455"/>
      <c r="CH310" s="455"/>
      <c r="CI310" s="455"/>
      <c r="CJ310" s="455"/>
      <c r="CK310" s="455"/>
      <c r="CL310" s="455"/>
      <c r="CM310" s="455"/>
      <c r="CN310" s="455"/>
      <c r="CO310" s="455"/>
      <c r="CP310" s="455"/>
      <c r="CQ310" s="455"/>
      <c r="CR310" s="455"/>
      <c r="CS310" s="455"/>
      <c r="CT310" s="455"/>
      <c r="CU310" s="455"/>
      <c r="CV310" s="455"/>
      <c r="CW310" s="455"/>
      <c r="CX310" s="455"/>
      <c r="CY310" s="455"/>
      <c r="CZ310" s="455"/>
      <c r="DA310" s="455"/>
      <c r="DB310" s="455"/>
      <c r="DC310" s="455"/>
      <c r="DD310" s="455"/>
      <c r="DE310" s="455"/>
      <c r="DF310" s="455"/>
      <c r="DG310" s="455"/>
      <c r="DH310" s="455"/>
      <c r="DI310" s="455"/>
      <c r="DJ310" s="455"/>
      <c r="DK310" s="455"/>
      <c r="DL310" s="455"/>
      <c r="DM310" s="455"/>
      <c r="DN310" s="455"/>
      <c r="DO310" s="455"/>
      <c r="DP310" s="455"/>
      <c r="DQ310" s="455"/>
      <c r="DR310" s="455"/>
      <c r="DS310" s="455"/>
      <c r="DT310" s="455"/>
      <c r="DU310" s="455"/>
      <c r="DV310" s="455"/>
      <c r="DW310" s="455"/>
      <c r="DX310" s="455"/>
      <c r="DY310" s="455"/>
      <c r="DZ310" s="455"/>
      <c r="EA310" s="455"/>
      <c r="EB310" s="455"/>
      <c r="EC310" s="455"/>
      <c r="ED310" s="455"/>
      <c r="EE310" s="455"/>
      <c r="EF310" s="455"/>
      <c r="EG310" s="455"/>
      <c r="EH310" s="455"/>
      <c r="EI310" s="455"/>
      <c r="EJ310" s="455"/>
      <c r="EK310" s="455"/>
      <c r="EL310" s="455"/>
      <c r="EM310" s="455"/>
      <c r="EN310" s="455"/>
      <c r="EO310" s="455"/>
      <c r="EP310" s="455"/>
      <c r="EQ310" s="455"/>
      <c r="ER310" s="455"/>
      <c r="ES310" s="455"/>
      <c r="ET310" s="455"/>
      <c r="EU310" s="455"/>
      <c r="EV310" s="455"/>
      <c r="EW310" s="455"/>
      <c r="EX310" s="455"/>
      <c r="EY310" s="455"/>
      <c r="EZ310" s="455"/>
      <c r="FA310" s="455"/>
      <c r="FB310" s="455"/>
      <c r="FC310" s="455"/>
      <c r="FD310" s="455"/>
      <c r="FE310" s="455"/>
      <c r="FF310" s="455"/>
      <c r="FG310" s="455"/>
      <c r="FH310" s="455"/>
      <c r="FI310" s="455"/>
      <c r="FJ310" s="455"/>
      <c r="FK310" s="455"/>
      <c r="FL310" s="455"/>
      <c r="FM310" s="455"/>
      <c r="FN310" s="455"/>
      <c r="FO310" s="455"/>
      <c r="FP310" s="455"/>
      <c r="FQ310" s="455"/>
      <c r="FR310" s="455"/>
      <c r="FS310" s="455"/>
      <c r="FT310" s="455"/>
      <c r="FU310" s="455"/>
      <c r="FV310" s="455"/>
      <c r="FW310" s="455"/>
      <c r="FX310" s="455"/>
      <c r="FY310" s="455"/>
      <c r="FZ310" s="455"/>
      <c r="GA310" s="455"/>
      <c r="GB310" s="455"/>
      <c r="GC310" s="455"/>
      <c r="GD310" s="455"/>
      <c r="GE310" s="455"/>
      <c r="GF310" s="455"/>
      <c r="GG310" s="455"/>
      <c r="GH310" s="455"/>
      <c r="GI310" s="455"/>
      <c r="GJ310" s="455"/>
      <c r="GK310" s="455"/>
      <c r="GL310" s="455"/>
      <c r="GM310" s="455"/>
      <c r="GN310" s="455"/>
      <c r="GO310" s="455"/>
      <c r="GP310" s="455"/>
      <c r="GQ310" s="455"/>
      <c r="GR310" s="455"/>
      <c r="GS310" s="455"/>
      <c r="GT310" s="455"/>
      <c r="GU310" s="455"/>
      <c r="GV310" s="455"/>
      <c r="GW310" s="455"/>
      <c r="GX310" s="455"/>
      <c r="GY310" s="455"/>
      <c r="GZ310" s="455"/>
      <c r="HA310" s="455"/>
      <c r="HB310" s="455"/>
      <c r="HC310" s="455"/>
      <c r="HD310" s="455"/>
      <c r="HE310" s="455"/>
      <c r="HF310" s="455"/>
      <c r="HG310" s="455"/>
      <c r="HH310" s="455"/>
      <c r="HI310" s="455"/>
      <c r="HJ310" s="455"/>
      <c r="HK310" s="455"/>
      <c r="HL310" s="455"/>
      <c r="HM310" s="455"/>
      <c r="HN310" s="455"/>
      <c r="HO310" s="455"/>
      <c r="HP310" s="455"/>
      <c r="HQ310" s="455"/>
      <c r="HR310" s="455"/>
      <c r="HS310" s="455"/>
      <c r="HT310" s="455"/>
      <c r="HU310" s="455"/>
      <c r="HV310" s="455"/>
      <c r="HW310" s="455"/>
      <c r="HX310" s="455"/>
      <c r="HY310" s="455"/>
      <c r="HZ310" s="455"/>
      <c r="IA310" s="455"/>
      <c r="IB310" s="455"/>
      <c r="IC310" s="455"/>
      <c r="ID310" s="455"/>
      <c r="IE310" s="455"/>
      <c r="IF310" s="455"/>
      <c r="IG310" s="455"/>
      <c r="IH310" s="455"/>
      <c r="II310" s="455"/>
      <c r="IJ310" s="455"/>
      <c r="IK310" s="455"/>
      <c r="IL310" s="455"/>
      <c r="IM310" s="455"/>
      <c r="IN310" s="455"/>
      <c r="IO310" s="455"/>
      <c r="IP310" s="455"/>
      <c r="IQ310" s="455"/>
      <c r="IR310" s="455"/>
      <c r="IS310" s="455"/>
    </row>
    <row r="311" spans="1:253" s="458" customFormat="1" ht="45" x14ac:dyDescent="0.2">
      <c r="A311" s="444">
        <v>3353</v>
      </c>
      <c r="B311" s="445" t="s">
        <v>51</v>
      </c>
      <c r="C311" s="445" t="s">
        <v>52</v>
      </c>
      <c r="D311" s="445" t="s">
        <v>91</v>
      </c>
      <c r="E311" s="445"/>
      <c r="F311" s="445"/>
      <c r="G311" s="446">
        <v>105</v>
      </c>
      <c r="H311" s="445">
        <v>78</v>
      </c>
      <c r="I311" s="445"/>
      <c r="J311" s="445">
        <v>4</v>
      </c>
      <c r="K311" s="447">
        <v>5</v>
      </c>
      <c r="L311" s="445"/>
      <c r="M311" s="445">
        <v>2</v>
      </c>
      <c r="N311" s="445" t="s">
        <v>67</v>
      </c>
      <c r="O311" s="449" t="s">
        <v>1330</v>
      </c>
      <c r="P311" s="450">
        <v>5.6280000000000001</v>
      </c>
      <c r="Q311" s="451">
        <f t="shared" si="6"/>
        <v>5.6280000000000001</v>
      </c>
      <c r="R311" s="451">
        <f>SUMIF('Wege im Detail'!$A:$A,"3353",'Wege im Detail'!$P:$P)</f>
        <v>34.166999999999994</v>
      </c>
      <c r="S311" s="452" t="s">
        <v>1331</v>
      </c>
      <c r="T311" s="453">
        <v>43831</v>
      </c>
      <c r="U311" s="448"/>
      <c r="V311" s="480"/>
      <c r="W311" s="448"/>
      <c r="X311" s="455"/>
      <c r="Y311" s="455"/>
      <c r="Z311" s="455"/>
      <c r="AA311" s="455"/>
      <c r="AB311" s="455"/>
      <c r="AC311" s="455"/>
      <c r="AD311" s="455"/>
      <c r="AE311" s="455"/>
      <c r="AF311" s="455"/>
      <c r="AG311" s="455"/>
      <c r="AH311" s="455"/>
      <c r="AI311" s="455"/>
      <c r="AJ311" s="455"/>
      <c r="AK311" s="455"/>
      <c r="AL311" s="455"/>
      <c r="AM311" s="455"/>
      <c r="AN311" s="455"/>
      <c r="AO311" s="455"/>
      <c r="AP311" s="455"/>
      <c r="AQ311" s="455"/>
      <c r="AR311" s="455"/>
      <c r="AS311" s="455"/>
      <c r="AT311" s="455"/>
      <c r="AU311" s="455"/>
      <c r="AV311" s="455"/>
      <c r="AW311" s="455"/>
      <c r="AX311" s="455"/>
      <c r="AY311" s="455"/>
      <c r="AZ311" s="455"/>
      <c r="BA311" s="455"/>
      <c r="BB311" s="455"/>
      <c r="BC311" s="455"/>
      <c r="BD311" s="455"/>
      <c r="BE311" s="455"/>
      <c r="BF311" s="455"/>
      <c r="BG311" s="455"/>
      <c r="BH311" s="455"/>
      <c r="BI311" s="455"/>
      <c r="BJ311" s="455"/>
      <c r="BK311" s="455"/>
      <c r="BL311" s="455"/>
      <c r="BM311" s="455"/>
      <c r="BN311" s="455"/>
      <c r="BO311" s="455"/>
      <c r="BP311" s="455"/>
      <c r="BQ311" s="455"/>
      <c r="BR311" s="455"/>
      <c r="BS311" s="455"/>
      <c r="BT311" s="455"/>
      <c r="BU311" s="455"/>
      <c r="BV311" s="455"/>
      <c r="BW311" s="455"/>
      <c r="BX311" s="455"/>
      <c r="BY311" s="455"/>
      <c r="BZ311" s="455"/>
      <c r="CA311" s="455"/>
      <c r="CB311" s="455"/>
      <c r="CC311" s="455"/>
      <c r="CD311" s="455"/>
      <c r="CE311" s="455"/>
      <c r="CF311" s="455"/>
      <c r="CG311" s="455"/>
      <c r="CH311" s="455"/>
      <c r="CI311" s="455"/>
      <c r="CJ311" s="455"/>
      <c r="CK311" s="455"/>
      <c r="CL311" s="455"/>
      <c r="CM311" s="455"/>
      <c r="CN311" s="455"/>
      <c r="CO311" s="455"/>
      <c r="CP311" s="455"/>
      <c r="CQ311" s="455"/>
      <c r="CR311" s="455"/>
      <c r="CS311" s="455"/>
      <c r="CT311" s="455"/>
      <c r="CU311" s="455"/>
      <c r="CV311" s="455"/>
      <c r="CW311" s="455"/>
      <c r="CX311" s="455"/>
      <c r="CY311" s="455"/>
      <c r="CZ311" s="455"/>
      <c r="DA311" s="455"/>
      <c r="DB311" s="455"/>
      <c r="DC311" s="455"/>
      <c r="DD311" s="455"/>
      <c r="DE311" s="455"/>
      <c r="DF311" s="455"/>
      <c r="DG311" s="455"/>
      <c r="DH311" s="455"/>
      <c r="DI311" s="455"/>
      <c r="DJ311" s="455"/>
      <c r="DK311" s="455"/>
      <c r="DL311" s="455"/>
      <c r="DM311" s="455"/>
      <c r="DN311" s="455"/>
      <c r="DO311" s="455"/>
      <c r="DP311" s="455"/>
      <c r="DQ311" s="455"/>
      <c r="DR311" s="455"/>
      <c r="DS311" s="455"/>
      <c r="DT311" s="455"/>
      <c r="DU311" s="455"/>
      <c r="DV311" s="455"/>
      <c r="DW311" s="455"/>
      <c r="DX311" s="455"/>
      <c r="DY311" s="455"/>
      <c r="DZ311" s="455"/>
      <c r="EA311" s="455"/>
      <c r="EB311" s="455"/>
      <c r="EC311" s="455"/>
      <c r="ED311" s="455"/>
      <c r="EE311" s="455"/>
      <c r="EF311" s="455"/>
      <c r="EG311" s="455"/>
      <c r="EH311" s="455"/>
      <c r="EI311" s="455"/>
      <c r="EJ311" s="455"/>
      <c r="EK311" s="455"/>
      <c r="EL311" s="455"/>
      <c r="EM311" s="455"/>
      <c r="EN311" s="455"/>
      <c r="EO311" s="455"/>
      <c r="EP311" s="455"/>
      <c r="EQ311" s="455"/>
      <c r="ER311" s="455"/>
      <c r="ES311" s="455"/>
      <c r="ET311" s="455"/>
      <c r="EU311" s="455"/>
      <c r="EV311" s="455"/>
      <c r="EW311" s="455"/>
      <c r="EX311" s="455"/>
      <c r="EY311" s="455"/>
      <c r="EZ311" s="455"/>
      <c r="FA311" s="455"/>
      <c r="FB311" s="455"/>
      <c r="FC311" s="455"/>
      <c r="FD311" s="455"/>
      <c r="FE311" s="455"/>
      <c r="FF311" s="455"/>
      <c r="FG311" s="455"/>
      <c r="FH311" s="455"/>
      <c r="FI311" s="455"/>
      <c r="FJ311" s="455"/>
      <c r="FK311" s="455"/>
      <c r="FL311" s="455"/>
      <c r="FM311" s="455"/>
      <c r="FN311" s="455"/>
      <c r="FO311" s="455"/>
      <c r="FP311" s="455"/>
      <c r="FQ311" s="455"/>
      <c r="FR311" s="455"/>
      <c r="FS311" s="455"/>
      <c r="FT311" s="455"/>
      <c r="FU311" s="455"/>
      <c r="FV311" s="455"/>
      <c r="FW311" s="455"/>
      <c r="FX311" s="455"/>
      <c r="FY311" s="455"/>
      <c r="FZ311" s="455"/>
      <c r="GA311" s="455"/>
      <c r="GB311" s="455"/>
      <c r="GC311" s="455"/>
      <c r="GD311" s="455"/>
      <c r="GE311" s="455"/>
      <c r="GF311" s="455"/>
      <c r="GG311" s="455"/>
      <c r="GH311" s="455"/>
      <c r="GI311" s="455"/>
      <c r="GJ311" s="455"/>
      <c r="GK311" s="455"/>
      <c r="GL311" s="455"/>
      <c r="GM311" s="455"/>
      <c r="GN311" s="455"/>
      <c r="GO311" s="455"/>
      <c r="GP311" s="455"/>
      <c r="GQ311" s="455"/>
      <c r="GR311" s="455"/>
      <c r="GS311" s="455"/>
      <c r="GT311" s="455"/>
      <c r="GU311" s="455"/>
      <c r="GV311" s="455"/>
      <c r="GW311" s="455"/>
      <c r="GX311" s="455"/>
      <c r="GY311" s="455"/>
      <c r="GZ311" s="455"/>
      <c r="HA311" s="455"/>
      <c r="HB311" s="455"/>
      <c r="HC311" s="455"/>
      <c r="HD311" s="455"/>
      <c r="HE311" s="455"/>
      <c r="HF311" s="455"/>
      <c r="HG311" s="455"/>
      <c r="HH311" s="455"/>
      <c r="HI311" s="455"/>
      <c r="HJ311" s="455"/>
      <c r="HK311" s="455"/>
      <c r="HL311" s="455"/>
      <c r="HM311" s="455"/>
      <c r="HN311" s="455"/>
      <c r="HO311" s="455"/>
      <c r="HP311" s="455"/>
      <c r="HQ311" s="455"/>
      <c r="HR311" s="455"/>
      <c r="HS311" s="455"/>
      <c r="HT311" s="455"/>
      <c r="HU311" s="455"/>
      <c r="HV311" s="455"/>
      <c r="HW311" s="455"/>
      <c r="HX311" s="455"/>
      <c r="HY311" s="455"/>
      <c r="HZ311" s="455"/>
      <c r="IA311" s="455"/>
      <c r="IB311" s="455"/>
      <c r="IC311" s="455"/>
      <c r="ID311" s="455"/>
      <c r="IE311" s="455"/>
      <c r="IF311" s="455"/>
      <c r="IG311" s="455"/>
      <c r="IH311" s="455"/>
      <c r="II311" s="455"/>
      <c r="IJ311" s="455"/>
      <c r="IK311" s="455"/>
      <c r="IL311" s="455"/>
      <c r="IM311" s="455"/>
      <c r="IN311" s="455"/>
      <c r="IO311" s="455"/>
      <c r="IP311" s="455"/>
      <c r="IQ311" s="455"/>
      <c r="IR311" s="455"/>
      <c r="IS311" s="455"/>
    </row>
    <row r="312" spans="1:253" s="458" customFormat="1" ht="45" x14ac:dyDescent="0.2">
      <c r="A312" s="444">
        <v>3353</v>
      </c>
      <c r="B312" s="445" t="s">
        <v>51</v>
      </c>
      <c r="C312" s="445" t="s">
        <v>52</v>
      </c>
      <c r="D312" s="445" t="s">
        <v>91</v>
      </c>
      <c r="E312" s="445"/>
      <c r="F312" s="445"/>
      <c r="G312" s="446">
        <v>105</v>
      </c>
      <c r="H312" s="445">
        <v>78</v>
      </c>
      <c r="I312" s="445"/>
      <c r="J312" s="445">
        <v>5</v>
      </c>
      <c r="K312" s="447">
        <v>5</v>
      </c>
      <c r="L312" s="445"/>
      <c r="M312" s="445">
        <v>1</v>
      </c>
      <c r="N312" s="445" t="s">
        <v>425</v>
      </c>
      <c r="O312" s="449" t="s">
        <v>1332</v>
      </c>
      <c r="P312" s="450">
        <v>8.452</v>
      </c>
      <c r="Q312" s="451">
        <f t="shared" si="6"/>
        <v>8.452</v>
      </c>
      <c r="R312" s="451">
        <f>SUMIF('Wege im Detail'!$A:$A,"3353",'Wege im Detail'!$P:$P)</f>
        <v>34.166999999999994</v>
      </c>
      <c r="S312" s="452" t="s">
        <v>1331</v>
      </c>
      <c r="T312" s="453">
        <v>43831</v>
      </c>
      <c r="U312" s="448"/>
      <c r="V312" s="480"/>
      <c r="W312" s="448"/>
    </row>
    <row r="313" spans="1:253" s="458" customFormat="1" ht="56.25" x14ac:dyDescent="0.2">
      <c r="A313" s="444">
        <v>3353</v>
      </c>
      <c r="B313" s="445" t="s">
        <v>51</v>
      </c>
      <c r="C313" s="445" t="s">
        <v>52</v>
      </c>
      <c r="D313" s="445" t="s">
        <v>91</v>
      </c>
      <c r="E313" s="445"/>
      <c r="F313" s="445"/>
      <c r="G313" s="446">
        <v>105</v>
      </c>
      <c r="H313" s="445">
        <v>78</v>
      </c>
      <c r="I313" s="445"/>
      <c r="J313" s="445">
        <v>3</v>
      </c>
      <c r="K313" s="447">
        <v>5</v>
      </c>
      <c r="L313" s="445"/>
      <c r="M313" s="445">
        <v>1</v>
      </c>
      <c r="N313" s="445" t="s">
        <v>1021</v>
      </c>
      <c r="O313" s="449" t="s">
        <v>1333</v>
      </c>
      <c r="P313" s="450">
        <v>11.228999999999999</v>
      </c>
      <c r="Q313" s="451">
        <f t="shared" si="6"/>
        <v>11.228999999999999</v>
      </c>
      <c r="R313" s="451">
        <f>SUMIF('Wege im Detail'!$A:$A,"3353",'Wege im Detail'!$P:$P)</f>
        <v>34.166999999999994</v>
      </c>
      <c r="S313" s="452" t="s">
        <v>1331</v>
      </c>
      <c r="T313" s="453">
        <v>43831</v>
      </c>
      <c r="U313" s="448"/>
      <c r="V313" s="475"/>
      <c r="W313" s="448"/>
    </row>
    <row r="314" spans="1:253" s="458" customFormat="1" ht="33.75" x14ac:dyDescent="0.2">
      <c r="A314" s="444">
        <v>3353</v>
      </c>
      <c r="B314" s="445" t="s">
        <v>51</v>
      </c>
      <c r="C314" s="445" t="s">
        <v>52</v>
      </c>
      <c r="D314" s="445" t="s">
        <v>91</v>
      </c>
      <c r="E314" s="445"/>
      <c r="F314" s="445"/>
      <c r="G314" s="446">
        <v>105</v>
      </c>
      <c r="H314" s="445">
        <v>78</v>
      </c>
      <c r="I314" s="445"/>
      <c r="J314" s="445">
        <v>2</v>
      </c>
      <c r="K314" s="447">
        <v>5</v>
      </c>
      <c r="L314" s="445"/>
      <c r="M314" s="445">
        <v>1</v>
      </c>
      <c r="N314" s="445" t="s">
        <v>1184</v>
      </c>
      <c r="O314" s="449" t="s">
        <v>1334</v>
      </c>
      <c r="P314" s="450">
        <v>2.2719999999999998</v>
      </c>
      <c r="Q314" s="451">
        <f t="shared" si="6"/>
        <v>2.2719999999999998</v>
      </c>
      <c r="R314" s="451">
        <f>SUMIF('Wege im Detail'!$A:$A,"3353",'Wege im Detail'!$P:$P)</f>
        <v>34.166999999999994</v>
      </c>
      <c r="S314" s="452" t="s">
        <v>1331</v>
      </c>
      <c r="T314" s="453">
        <v>43831</v>
      </c>
      <c r="U314" s="448"/>
      <c r="V314" s="475"/>
      <c r="W314" s="448"/>
    </row>
    <row r="315" spans="1:253" s="455" customFormat="1" ht="33.75" x14ac:dyDescent="0.2">
      <c r="A315" s="444">
        <v>3353</v>
      </c>
      <c r="B315" s="445" t="s">
        <v>51</v>
      </c>
      <c r="C315" s="445" t="s">
        <v>52</v>
      </c>
      <c r="D315" s="445" t="s">
        <v>91</v>
      </c>
      <c r="E315" s="445"/>
      <c r="F315" s="445"/>
      <c r="G315" s="446">
        <v>105</v>
      </c>
      <c r="H315" s="445">
        <v>78</v>
      </c>
      <c r="I315" s="445"/>
      <c r="J315" s="445">
        <v>1</v>
      </c>
      <c r="K315" s="447">
        <v>5</v>
      </c>
      <c r="L315" s="445"/>
      <c r="M315" s="445">
        <v>5</v>
      </c>
      <c r="N315" s="445" t="s">
        <v>164</v>
      </c>
      <c r="O315" s="449" t="s">
        <v>1335</v>
      </c>
      <c r="P315" s="450">
        <v>6.5860000000000003</v>
      </c>
      <c r="Q315" s="451">
        <f t="shared" si="6"/>
        <v>6.5860000000000003</v>
      </c>
      <c r="R315" s="451">
        <f>SUMIF('Wege im Detail'!$A:$A,"3353",'Wege im Detail'!$P:$P)</f>
        <v>34.166999999999994</v>
      </c>
      <c r="S315" s="452" t="s">
        <v>1331</v>
      </c>
      <c r="T315" s="453">
        <v>43831</v>
      </c>
      <c r="U315" s="448"/>
      <c r="V315" s="475"/>
      <c r="W315" s="448"/>
      <c r="X315" s="458"/>
      <c r="Y315" s="458"/>
      <c r="Z315" s="458"/>
      <c r="AA315" s="458"/>
      <c r="AB315" s="458"/>
      <c r="AC315" s="458"/>
      <c r="AD315" s="458"/>
      <c r="AE315" s="458"/>
      <c r="AF315" s="458"/>
      <c r="AG315" s="458"/>
      <c r="AH315" s="458"/>
      <c r="AI315" s="458"/>
      <c r="AJ315" s="458"/>
      <c r="AK315" s="458"/>
      <c r="AL315" s="458"/>
      <c r="AM315" s="458"/>
      <c r="AN315" s="458"/>
      <c r="AO315" s="458"/>
      <c r="AP315" s="458"/>
      <c r="AQ315" s="458"/>
      <c r="AR315" s="458"/>
      <c r="AS315" s="458"/>
      <c r="AT315" s="458"/>
      <c r="AU315" s="458"/>
      <c r="AV315" s="458"/>
      <c r="AW315" s="458"/>
      <c r="AX315" s="458"/>
      <c r="AY315" s="458"/>
      <c r="AZ315" s="458"/>
      <c r="BA315" s="458"/>
      <c r="BB315" s="458"/>
      <c r="BC315" s="458"/>
      <c r="BD315" s="458"/>
      <c r="BE315" s="458"/>
      <c r="BF315" s="458"/>
      <c r="BG315" s="458"/>
      <c r="BH315" s="458"/>
      <c r="BI315" s="458"/>
      <c r="BJ315" s="458"/>
      <c r="BK315" s="458"/>
      <c r="BL315" s="458"/>
      <c r="BM315" s="458"/>
      <c r="BN315" s="458"/>
      <c r="BO315" s="458"/>
      <c r="BP315" s="458"/>
      <c r="BQ315" s="458"/>
      <c r="BR315" s="458"/>
      <c r="BS315" s="458"/>
      <c r="BT315" s="458"/>
      <c r="BU315" s="458"/>
      <c r="BV315" s="458"/>
      <c r="BW315" s="458"/>
      <c r="BX315" s="458"/>
      <c r="BY315" s="458"/>
      <c r="BZ315" s="458"/>
      <c r="CA315" s="458"/>
      <c r="CB315" s="458"/>
      <c r="CC315" s="458"/>
      <c r="CD315" s="458"/>
      <c r="CE315" s="458"/>
      <c r="CF315" s="458"/>
      <c r="CG315" s="458"/>
      <c r="CH315" s="458"/>
      <c r="CI315" s="458"/>
      <c r="CJ315" s="458"/>
      <c r="CK315" s="458"/>
      <c r="CL315" s="458"/>
      <c r="CM315" s="458"/>
      <c r="CN315" s="458"/>
      <c r="CO315" s="458"/>
      <c r="CP315" s="458"/>
      <c r="CQ315" s="458"/>
      <c r="CR315" s="458"/>
      <c r="CS315" s="458"/>
      <c r="CT315" s="458"/>
      <c r="CU315" s="458"/>
      <c r="CV315" s="458"/>
      <c r="CW315" s="458"/>
      <c r="CX315" s="458"/>
      <c r="CY315" s="458"/>
      <c r="CZ315" s="458"/>
      <c r="DA315" s="458"/>
      <c r="DB315" s="458"/>
      <c r="DC315" s="458"/>
      <c r="DD315" s="458"/>
      <c r="DE315" s="458"/>
      <c r="DF315" s="458"/>
      <c r="DG315" s="458"/>
      <c r="DH315" s="458"/>
      <c r="DI315" s="458"/>
      <c r="DJ315" s="458"/>
      <c r="DK315" s="458"/>
      <c r="DL315" s="458"/>
      <c r="DM315" s="458"/>
      <c r="DN315" s="458"/>
      <c r="DO315" s="458"/>
      <c r="DP315" s="458"/>
      <c r="DQ315" s="458"/>
      <c r="DR315" s="458"/>
      <c r="DS315" s="458"/>
      <c r="DT315" s="458"/>
      <c r="DU315" s="458"/>
      <c r="DV315" s="458"/>
      <c r="DW315" s="458"/>
      <c r="DX315" s="458"/>
      <c r="DY315" s="458"/>
      <c r="DZ315" s="458"/>
      <c r="EA315" s="458"/>
      <c r="EB315" s="458"/>
      <c r="EC315" s="458"/>
      <c r="ED315" s="458"/>
      <c r="EE315" s="458"/>
      <c r="EF315" s="458"/>
      <c r="EG315" s="458"/>
      <c r="EH315" s="458"/>
      <c r="EI315" s="458"/>
      <c r="EJ315" s="458"/>
      <c r="EK315" s="458"/>
      <c r="EL315" s="458"/>
      <c r="EM315" s="458"/>
      <c r="EN315" s="458"/>
      <c r="EO315" s="458"/>
      <c r="EP315" s="458"/>
      <c r="EQ315" s="458"/>
      <c r="ER315" s="458"/>
      <c r="ES315" s="458"/>
      <c r="ET315" s="458"/>
      <c r="EU315" s="458"/>
      <c r="EV315" s="458"/>
      <c r="EW315" s="458"/>
      <c r="EX315" s="458"/>
      <c r="EY315" s="458"/>
      <c r="EZ315" s="458"/>
      <c r="FA315" s="458"/>
      <c r="FB315" s="458"/>
      <c r="FC315" s="458"/>
      <c r="FD315" s="458"/>
      <c r="FE315" s="458"/>
      <c r="FF315" s="458"/>
      <c r="FG315" s="458"/>
      <c r="FH315" s="458"/>
      <c r="FI315" s="458"/>
      <c r="FJ315" s="458"/>
      <c r="FK315" s="458"/>
      <c r="FL315" s="458"/>
      <c r="FM315" s="458"/>
      <c r="FN315" s="458"/>
      <c r="FO315" s="458"/>
      <c r="FP315" s="458"/>
      <c r="FQ315" s="458"/>
      <c r="FR315" s="458"/>
      <c r="FS315" s="458"/>
      <c r="FT315" s="458"/>
      <c r="FU315" s="458"/>
      <c r="FV315" s="458"/>
      <c r="FW315" s="458"/>
      <c r="FX315" s="458"/>
      <c r="FY315" s="458"/>
      <c r="FZ315" s="458"/>
      <c r="GA315" s="458"/>
      <c r="GB315" s="458"/>
      <c r="GC315" s="458"/>
      <c r="GD315" s="458"/>
      <c r="GE315" s="458"/>
      <c r="GF315" s="458"/>
      <c r="GG315" s="458"/>
      <c r="GH315" s="458"/>
      <c r="GI315" s="458"/>
      <c r="GJ315" s="458"/>
      <c r="GK315" s="458"/>
      <c r="GL315" s="458"/>
      <c r="GM315" s="458"/>
      <c r="GN315" s="458"/>
      <c r="GO315" s="458"/>
      <c r="GP315" s="458"/>
      <c r="GQ315" s="458"/>
      <c r="GR315" s="458"/>
      <c r="GS315" s="458"/>
      <c r="GT315" s="458"/>
      <c r="GU315" s="458"/>
      <c r="GV315" s="458"/>
      <c r="GW315" s="458"/>
      <c r="GX315" s="458"/>
      <c r="GY315" s="458"/>
      <c r="GZ315" s="458"/>
      <c r="HA315" s="458"/>
      <c r="HB315" s="458"/>
      <c r="HC315" s="458"/>
      <c r="HD315" s="458"/>
      <c r="HE315" s="458"/>
      <c r="HF315" s="458"/>
      <c r="HG315" s="458"/>
      <c r="HH315" s="458"/>
      <c r="HI315" s="458"/>
      <c r="HJ315" s="458"/>
      <c r="HK315" s="458"/>
      <c r="HL315" s="458"/>
      <c r="HM315" s="458"/>
      <c r="HN315" s="458"/>
      <c r="HO315" s="458"/>
      <c r="HP315" s="458"/>
      <c r="HQ315" s="458"/>
      <c r="HR315" s="458"/>
      <c r="HS315" s="458"/>
      <c r="HT315" s="458"/>
      <c r="HU315" s="458"/>
      <c r="HV315" s="458"/>
      <c r="HW315" s="458"/>
      <c r="HX315" s="458"/>
      <c r="HY315" s="458"/>
      <c r="HZ315" s="458"/>
      <c r="IA315" s="458"/>
      <c r="IB315" s="458"/>
      <c r="IC315" s="458"/>
      <c r="ID315" s="458"/>
      <c r="IE315" s="458"/>
      <c r="IF315" s="458"/>
      <c r="IG315" s="458"/>
      <c r="IH315" s="458"/>
      <c r="II315" s="458"/>
      <c r="IJ315" s="458"/>
      <c r="IK315" s="458"/>
      <c r="IL315" s="458"/>
      <c r="IM315" s="458"/>
      <c r="IN315" s="458"/>
      <c r="IO315" s="458"/>
      <c r="IP315" s="458"/>
      <c r="IQ315" s="458"/>
      <c r="IR315" s="458"/>
      <c r="IS315" s="458"/>
    </row>
    <row r="316" spans="1:253" s="455" customFormat="1" ht="56.25" x14ac:dyDescent="0.2">
      <c r="A316" s="444">
        <v>3354</v>
      </c>
      <c r="B316" s="445" t="s">
        <v>51</v>
      </c>
      <c r="C316" s="445" t="s">
        <v>52</v>
      </c>
      <c r="D316" s="445" t="s">
        <v>91</v>
      </c>
      <c r="E316" s="445"/>
      <c r="F316" s="445"/>
      <c r="G316" s="446">
        <v>51</v>
      </c>
      <c r="H316" s="445">
        <v>88</v>
      </c>
      <c r="I316" s="445"/>
      <c r="J316" s="445">
        <v>1</v>
      </c>
      <c r="K316" s="447">
        <v>3</v>
      </c>
      <c r="L316" s="445"/>
      <c r="M316" s="445">
        <v>5</v>
      </c>
      <c r="N316" s="445" t="s">
        <v>164</v>
      </c>
      <c r="O316" s="449" t="s">
        <v>1336</v>
      </c>
      <c r="P316" s="450">
        <v>5.2949999999999999</v>
      </c>
      <c r="Q316" s="451">
        <f t="shared" si="6"/>
        <v>5.2949999999999999</v>
      </c>
      <c r="R316" s="451">
        <f>SUMIF('Wege im Detail'!$A:$A,"3354",'Wege im Detail'!$P:$P)</f>
        <v>9.5820000000000007</v>
      </c>
      <c r="S316" s="452" t="s">
        <v>1337</v>
      </c>
      <c r="T316" s="453">
        <v>43586</v>
      </c>
      <c r="U316" s="448"/>
      <c r="W316" s="448"/>
      <c r="X316" s="458"/>
      <c r="Y316" s="458"/>
      <c r="Z316" s="458"/>
      <c r="AA316" s="458"/>
      <c r="AB316" s="458"/>
      <c r="AC316" s="458"/>
      <c r="AD316" s="458"/>
      <c r="AE316" s="458"/>
      <c r="AF316" s="458"/>
      <c r="AG316" s="458"/>
      <c r="AH316" s="458"/>
      <c r="AI316" s="458"/>
      <c r="AJ316" s="458"/>
      <c r="AK316" s="458"/>
      <c r="AL316" s="458"/>
      <c r="AM316" s="458"/>
      <c r="AN316" s="458"/>
      <c r="AO316" s="458"/>
      <c r="AP316" s="458"/>
      <c r="AQ316" s="458"/>
      <c r="AR316" s="458"/>
      <c r="AS316" s="458"/>
      <c r="AT316" s="458"/>
      <c r="AU316" s="458"/>
      <c r="AV316" s="458"/>
      <c r="AW316" s="458"/>
      <c r="AX316" s="458"/>
      <c r="AY316" s="458"/>
      <c r="AZ316" s="458"/>
      <c r="BA316" s="458"/>
      <c r="BB316" s="458"/>
      <c r="BC316" s="458"/>
      <c r="BD316" s="458"/>
      <c r="BE316" s="458"/>
      <c r="BF316" s="458"/>
      <c r="BG316" s="458"/>
      <c r="BH316" s="458"/>
      <c r="BI316" s="458"/>
      <c r="BJ316" s="458"/>
      <c r="BK316" s="458"/>
      <c r="BL316" s="458"/>
      <c r="BM316" s="458"/>
      <c r="BN316" s="458"/>
      <c r="BO316" s="458"/>
      <c r="BP316" s="458"/>
      <c r="BQ316" s="458"/>
      <c r="BR316" s="458"/>
      <c r="BS316" s="458"/>
      <c r="BT316" s="458"/>
      <c r="BU316" s="458"/>
      <c r="BV316" s="458"/>
      <c r="BW316" s="458"/>
      <c r="BX316" s="458"/>
      <c r="BY316" s="458"/>
      <c r="BZ316" s="458"/>
      <c r="CA316" s="458"/>
      <c r="CB316" s="458"/>
      <c r="CC316" s="458"/>
      <c r="CD316" s="458"/>
      <c r="CE316" s="458"/>
      <c r="CF316" s="458"/>
      <c r="CG316" s="458"/>
      <c r="CH316" s="458"/>
      <c r="CI316" s="458"/>
      <c r="CJ316" s="458"/>
      <c r="CK316" s="458"/>
      <c r="CL316" s="458"/>
      <c r="CM316" s="458"/>
      <c r="CN316" s="458"/>
      <c r="CO316" s="458"/>
      <c r="CP316" s="458"/>
      <c r="CQ316" s="458"/>
      <c r="CR316" s="458"/>
      <c r="CS316" s="458"/>
      <c r="CT316" s="458"/>
      <c r="CU316" s="458"/>
      <c r="CV316" s="458"/>
      <c r="CW316" s="458"/>
      <c r="CX316" s="458"/>
      <c r="CY316" s="458"/>
      <c r="CZ316" s="458"/>
      <c r="DA316" s="458"/>
      <c r="DB316" s="458"/>
      <c r="DC316" s="458"/>
      <c r="DD316" s="458"/>
      <c r="DE316" s="458"/>
      <c r="DF316" s="458"/>
      <c r="DG316" s="458"/>
      <c r="DH316" s="458"/>
      <c r="DI316" s="458"/>
      <c r="DJ316" s="458"/>
      <c r="DK316" s="458"/>
      <c r="DL316" s="458"/>
      <c r="DM316" s="458"/>
      <c r="DN316" s="458"/>
      <c r="DO316" s="458"/>
      <c r="DP316" s="458"/>
      <c r="DQ316" s="458"/>
      <c r="DR316" s="458"/>
      <c r="DS316" s="458"/>
      <c r="DT316" s="458"/>
      <c r="DU316" s="458"/>
      <c r="DV316" s="458"/>
      <c r="DW316" s="458"/>
      <c r="DX316" s="458"/>
      <c r="DY316" s="458"/>
      <c r="DZ316" s="458"/>
      <c r="EA316" s="458"/>
      <c r="EB316" s="458"/>
      <c r="EC316" s="458"/>
      <c r="ED316" s="458"/>
      <c r="EE316" s="458"/>
      <c r="EF316" s="458"/>
      <c r="EG316" s="458"/>
      <c r="EH316" s="458"/>
      <c r="EI316" s="458"/>
      <c r="EJ316" s="458"/>
      <c r="EK316" s="458"/>
      <c r="EL316" s="458"/>
      <c r="EM316" s="458"/>
      <c r="EN316" s="458"/>
      <c r="EO316" s="458"/>
      <c r="EP316" s="458"/>
      <c r="EQ316" s="458"/>
      <c r="ER316" s="458"/>
      <c r="ES316" s="458"/>
      <c r="ET316" s="458"/>
      <c r="EU316" s="458"/>
      <c r="EV316" s="458"/>
      <c r="EW316" s="458"/>
      <c r="EX316" s="458"/>
      <c r="EY316" s="458"/>
      <c r="EZ316" s="458"/>
      <c r="FA316" s="458"/>
      <c r="FB316" s="458"/>
      <c r="FC316" s="458"/>
      <c r="FD316" s="458"/>
      <c r="FE316" s="458"/>
      <c r="FF316" s="458"/>
      <c r="FG316" s="458"/>
      <c r="FH316" s="458"/>
      <c r="FI316" s="458"/>
      <c r="FJ316" s="458"/>
      <c r="FK316" s="458"/>
      <c r="FL316" s="458"/>
      <c r="FM316" s="458"/>
      <c r="FN316" s="458"/>
      <c r="FO316" s="458"/>
      <c r="FP316" s="458"/>
      <c r="FQ316" s="458"/>
      <c r="FR316" s="458"/>
      <c r="FS316" s="458"/>
      <c r="FT316" s="458"/>
      <c r="FU316" s="458"/>
      <c r="FV316" s="458"/>
      <c r="FW316" s="458"/>
      <c r="FX316" s="458"/>
      <c r="FY316" s="458"/>
      <c r="FZ316" s="458"/>
      <c r="GA316" s="458"/>
      <c r="GB316" s="458"/>
      <c r="GC316" s="458"/>
      <c r="GD316" s="458"/>
      <c r="GE316" s="458"/>
      <c r="GF316" s="458"/>
      <c r="GG316" s="458"/>
      <c r="GH316" s="458"/>
      <c r="GI316" s="458"/>
      <c r="GJ316" s="458"/>
      <c r="GK316" s="458"/>
      <c r="GL316" s="458"/>
      <c r="GM316" s="458"/>
      <c r="GN316" s="458"/>
      <c r="GO316" s="458"/>
      <c r="GP316" s="458"/>
      <c r="GQ316" s="458"/>
      <c r="GR316" s="458"/>
      <c r="GS316" s="458"/>
      <c r="GT316" s="458"/>
      <c r="GU316" s="458"/>
      <c r="GV316" s="458"/>
      <c r="GW316" s="458"/>
      <c r="GX316" s="458"/>
      <c r="GY316" s="458"/>
      <c r="GZ316" s="458"/>
      <c r="HA316" s="458"/>
      <c r="HB316" s="458"/>
      <c r="HC316" s="458"/>
      <c r="HD316" s="458"/>
      <c r="HE316" s="458"/>
      <c r="HF316" s="458"/>
      <c r="HG316" s="458"/>
      <c r="HH316" s="458"/>
      <c r="HI316" s="458"/>
      <c r="HJ316" s="458"/>
      <c r="HK316" s="458"/>
      <c r="HL316" s="458"/>
      <c r="HM316" s="458"/>
      <c r="HN316" s="458"/>
      <c r="HO316" s="458"/>
      <c r="HP316" s="458"/>
      <c r="HQ316" s="458"/>
      <c r="HR316" s="458"/>
      <c r="HS316" s="458"/>
      <c r="HT316" s="458"/>
      <c r="HU316" s="458"/>
      <c r="HV316" s="458"/>
      <c r="HW316" s="458"/>
      <c r="HX316" s="458"/>
      <c r="HY316" s="458"/>
      <c r="HZ316" s="458"/>
      <c r="IA316" s="458"/>
      <c r="IB316" s="458"/>
      <c r="IC316" s="458"/>
      <c r="ID316" s="458"/>
      <c r="IE316" s="458"/>
      <c r="IF316" s="458"/>
      <c r="IG316" s="458"/>
      <c r="IH316" s="458"/>
      <c r="II316" s="458"/>
      <c r="IJ316" s="458"/>
      <c r="IK316" s="458"/>
      <c r="IL316" s="458"/>
      <c r="IM316" s="458"/>
      <c r="IN316" s="458"/>
      <c r="IO316" s="458"/>
      <c r="IP316" s="458"/>
      <c r="IQ316" s="458"/>
      <c r="IR316" s="458"/>
      <c r="IS316" s="458"/>
    </row>
    <row r="317" spans="1:253" s="455" customFormat="1" ht="33.75" x14ac:dyDescent="0.2">
      <c r="A317" s="444">
        <v>3354</v>
      </c>
      <c r="B317" s="445" t="s">
        <v>51</v>
      </c>
      <c r="C317" s="445" t="s">
        <v>52</v>
      </c>
      <c r="D317" s="445" t="s">
        <v>91</v>
      </c>
      <c r="E317" s="445"/>
      <c r="F317" s="445"/>
      <c r="G317" s="446">
        <v>51</v>
      </c>
      <c r="H317" s="445">
        <v>88</v>
      </c>
      <c r="I317" s="445"/>
      <c r="J317" s="445">
        <v>2</v>
      </c>
      <c r="K317" s="447">
        <v>3</v>
      </c>
      <c r="L317" s="445"/>
      <c r="M317" s="445">
        <v>1</v>
      </c>
      <c r="N317" s="445" t="s">
        <v>1184</v>
      </c>
      <c r="O317" s="449" t="s">
        <v>1338</v>
      </c>
      <c r="P317" s="450">
        <v>3.0979999999999999</v>
      </c>
      <c r="Q317" s="451">
        <f t="shared" si="6"/>
        <v>3.0979999999999999</v>
      </c>
      <c r="R317" s="451">
        <f>SUMIF('Wege im Detail'!$A:$A,"3354",'Wege im Detail'!$P:$P)</f>
        <v>9.5820000000000007</v>
      </c>
      <c r="S317" s="452" t="s">
        <v>1337</v>
      </c>
      <c r="T317" s="453">
        <v>43586</v>
      </c>
      <c r="U317" s="448"/>
      <c r="W317" s="448"/>
      <c r="X317" s="458"/>
      <c r="Y317" s="458"/>
      <c r="Z317" s="458"/>
      <c r="AA317" s="458"/>
      <c r="AB317" s="458"/>
      <c r="AC317" s="458"/>
      <c r="AD317" s="458"/>
      <c r="AE317" s="458"/>
      <c r="AF317" s="458"/>
      <c r="AG317" s="458"/>
      <c r="AH317" s="458"/>
      <c r="AI317" s="458"/>
      <c r="AJ317" s="458"/>
      <c r="AK317" s="458"/>
      <c r="AL317" s="458"/>
      <c r="AM317" s="458"/>
      <c r="AN317" s="458"/>
      <c r="AO317" s="458"/>
      <c r="AP317" s="458"/>
      <c r="AQ317" s="458"/>
      <c r="AR317" s="458"/>
      <c r="AS317" s="458"/>
      <c r="AT317" s="458"/>
      <c r="AU317" s="458"/>
      <c r="AV317" s="458"/>
      <c r="AW317" s="458"/>
      <c r="AX317" s="458"/>
      <c r="AY317" s="458"/>
      <c r="AZ317" s="458"/>
      <c r="BA317" s="458"/>
      <c r="BB317" s="458"/>
      <c r="BC317" s="458"/>
      <c r="BD317" s="458"/>
      <c r="BE317" s="458"/>
      <c r="BF317" s="458"/>
      <c r="BG317" s="458"/>
      <c r="BH317" s="458"/>
      <c r="BI317" s="458"/>
      <c r="BJ317" s="458"/>
      <c r="BK317" s="458"/>
      <c r="BL317" s="458"/>
      <c r="BM317" s="458"/>
      <c r="BN317" s="458"/>
      <c r="BO317" s="458"/>
      <c r="BP317" s="458"/>
      <c r="BQ317" s="458"/>
      <c r="BR317" s="458"/>
      <c r="BS317" s="458"/>
      <c r="BT317" s="458"/>
      <c r="BU317" s="458"/>
      <c r="BV317" s="458"/>
      <c r="BW317" s="458"/>
      <c r="BX317" s="458"/>
      <c r="BY317" s="458"/>
      <c r="BZ317" s="458"/>
      <c r="CA317" s="458"/>
      <c r="CB317" s="458"/>
      <c r="CC317" s="458"/>
      <c r="CD317" s="458"/>
      <c r="CE317" s="458"/>
      <c r="CF317" s="458"/>
      <c r="CG317" s="458"/>
      <c r="CH317" s="458"/>
      <c r="CI317" s="458"/>
      <c r="CJ317" s="458"/>
      <c r="CK317" s="458"/>
      <c r="CL317" s="458"/>
      <c r="CM317" s="458"/>
      <c r="CN317" s="458"/>
      <c r="CO317" s="458"/>
      <c r="CP317" s="458"/>
      <c r="CQ317" s="458"/>
      <c r="CR317" s="458"/>
      <c r="CS317" s="458"/>
      <c r="CT317" s="458"/>
      <c r="CU317" s="458"/>
      <c r="CV317" s="458"/>
      <c r="CW317" s="458"/>
      <c r="CX317" s="458"/>
      <c r="CY317" s="458"/>
      <c r="CZ317" s="458"/>
      <c r="DA317" s="458"/>
      <c r="DB317" s="458"/>
      <c r="DC317" s="458"/>
      <c r="DD317" s="458"/>
      <c r="DE317" s="458"/>
      <c r="DF317" s="458"/>
      <c r="DG317" s="458"/>
      <c r="DH317" s="458"/>
      <c r="DI317" s="458"/>
      <c r="DJ317" s="458"/>
      <c r="DK317" s="458"/>
      <c r="DL317" s="458"/>
      <c r="DM317" s="458"/>
      <c r="DN317" s="458"/>
      <c r="DO317" s="458"/>
      <c r="DP317" s="458"/>
      <c r="DQ317" s="458"/>
      <c r="DR317" s="458"/>
      <c r="DS317" s="458"/>
      <c r="DT317" s="458"/>
      <c r="DU317" s="458"/>
      <c r="DV317" s="458"/>
      <c r="DW317" s="458"/>
      <c r="DX317" s="458"/>
      <c r="DY317" s="458"/>
      <c r="DZ317" s="458"/>
      <c r="EA317" s="458"/>
      <c r="EB317" s="458"/>
      <c r="EC317" s="458"/>
      <c r="ED317" s="458"/>
      <c r="EE317" s="458"/>
      <c r="EF317" s="458"/>
      <c r="EG317" s="458"/>
      <c r="EH317" s="458"/>
      <c r="EI317" s="458"/>
      <c r="EJ317" s="458"/>
      <c r="EK317" s="458"/>
      <c r="EL317" s="458"/>
      <c r="EM317" s="458"/>
      <c r="EN317" s="458"/>
      <c r="EO317" s="458"/>
      <c r="EP317" s="458"/>
      <c r="EQ317" s="458"/>
      <c r="ER317" s="458"/>
      <c r="ES317" s="458"/>
      <c r="ET317" s="458"/>
      <c r="EU317" s="458"/>
      <c r="EV317" s="458"/>
      <c r="EW317" s="458"/>
      <c r="EX317" s="458"/>
      <c r="EY317" s="458"/>
      <c r="EZ317" s="458"/>
      <c r="FA317" s="458"/>
      <c r="FB317" s="458"/>
      <c r="FC317" s="458"/>
      <c r="FD317" s="458"/>
      <c r="FE317" s="458"/>
      <c r="FF317" s="458"/>
      <c r="FG317" s="458"/>
      <c r="FH317" s="458"/>
      <c r="FI317" s="458"/>
      <c r="FJ317" s="458"/>
      <c r="FK317" s="458"/>
      <c r="FL317" s="458"/>
      <c r="FM317" s="458"/>
      <c r="FN317" s="458"/>
      <c r="FO317" s="458"/>
      <c r="FP317" s="458"/>
      <c r="FQ317" s="458"/>
      <c r="FR317" s="458"/>
      <c r="FS317" s="458"/>
      <c r="FT317" s="458"/>
      <c r="FU317" s="458"/>
      <c r="FV317" s="458"/>
      <c r="FW317" s="458"/>
      <c r="FX317" s="458"/>
      <c r="FY317" s="458"/>
      <c r="FZ317" s="458"/>
      <c r="GA317" s="458"/>
      <c r="GB317" s="458"/>
      <c r="GC317" s="458"/>
      <c r="GD317" s="458"/>
      <c r="GE317" s="458"/>
      <c r="GF317" s="458"/>
      <c r="GG317" s="458"/>
      <c r="GH317" s="458"/>
      <c r="GI317" s="458"/>
      <c r="GJ317" s="458"/>
      <c r="GK317" s="458"/>
      <c r="GL317" s="458"/>
      <c r="GM317" s="458"/>
      <c r="GN317" s="458"/>
      <c r="GO317" s="458"/>
      <c r="GP317" s="458"/>
      <c r="GQ317" s="458"/>
      <c r="GR317" s="458"/>
      <c r="GS317" s="458"/>
      <c r="GT317" s="458"/>
      <c r="GU317" s="458"/>
      <c r="GV317" s="458"/>
      <c r="GW317" s="458"/>
      <c r="GX317" s="458"/>
      <c r="GY317" s="458"/>
      <c r="GZ317" s="458"/>
      <c r="HA317" s="458"/>
      <c r="HB317" s="458"/>
      <c r="HC317" s="458"/>
      <c r="HD317" s="458"/>
      <c r="HE317" s="458"/>
      <c r="HF317" s="458"/>
      <c r="HG317" s="458"/>
      <c r="HH317" s="458"/>
      <c r="HI317" s="458"/>
      <c r="HJ317" s="458"/>
      <c r="HK317" s="458"/>
      <c r="HL317" s="458"/>
      <c r="HM317" s="458"/>
      <c r="HN317" s="458"/>
      <c r="HO317" s="458"/>
      <c r="HP317" s="458"/>
      <c r="HQ317" s="458"/>
      <c r="HR317" s="458"/>
      <c r="HS317" s="458"/>
      <c r="HT317" s="458"/>
      <c r="HU317" s="458"/>
      <c r="HV317" s="458"/>
      <c r="HW317" s="458"/>
      <c r="HX317" s="458"/>
      <c r="HY317" s="458"/>
      <c r="HZ317" s="458"/>
      <c r="IA317" s="458"/>
      <c r="IB317" s="458"/>
      <c r="IC317" s="458"/>
      <c r="ID317" s="458"/>
      <c r="IE317" s="458"/>
      <c r="IF317" s="458"/>
      <c r="IG317" s="458"/>
      <c r="IH317" s="458"/>
      <c r="II317" s="458"/>
      <c r="IJ317" s="458"/>
      <c r="IK317" s="458"/>
      <c r="IL317" s="458"/>
      <c r="IM317" s="458"/>
      <c r="IN317" s="458"/>
      <c r="IO317" s="458"/>
      <c r="IP317" s="458"/>
      <c r="IQ317" s="458"/>
      <c r="IR317" s="458"/>
      <c r="IS317" s="458"/>
    </row>
    <row r="318" spans="1:253" s="455" customFormat="1" ht="33.75" x14ac:dyDescent="0.2">
      <c r="A318" s="444">
        <v>3354</v>
      </c>
      <c r="B318" s="445" t="s">
        <v>51</v>
      </c>
      <c r="C318" s="445" t="s">
        <v>52</v>
      </c>
      <c r="D318" s="445" t="s">
        <v>91</v>
      </c>
      <c r="E318" s="445"/>
      <c r="F318" s="445"/>
      <c r="G318" s="446">
        <v>51</v>
      </c>
      <c r="H318" s="445">
        <v>88</v>
      </c>
      <c r="I318" s="445"/>
      <c r="J318" s="445">
        <v>3</v>
      </c>
      <c r="K318" s="447">
        <v>3</v>
      </c>
      <c r="L318" s="445"/>
      <c r="M318" s="445">
        <v>1</v>
      </c>
      <c r="N318" s="445" t="s">
        <v>126</v>
      </c>
      <c r="O318" s="449" t="s">
        <v>1339</v>
      </c>
      <c r="P318" s="450">
        <v>1.1890000000000001</v>
      </c>
      <c r="Q318" s="451">
        <f t="shared" si="6"/>
        <v>1.1890000000000001</v>
      </c>
      <c r="R318" s="451">
        <f>SUMIF('Wege im Detail'!$A:$A,"3354",'Wege im Detail'!$P:$P)</f>
        <v>9.5820000000000007</v>
      </c>
      <c r="S318" s="452" t="s">
        <v>1337</v>
      </c>
      <c r="T318" s="453">
        <v>43586</v>
      </c>
      <c r="U318" s="448"/>
      <c r="W318" s="448"/>
      <c r="X318" s="458"/>
      <c r="Y318" s="458"/>
      <c r="Z318" s="458"/>
      <c r="AA318" s="458"/>
      <c r="AB318" s="458"/>
      <c r="AC318" s="458"/>
      <c r="AD318" s="458"/>
      <c r="AE318" s="458"/>
      <c r="AF318" s="458"/>
      <c r="AG318" s="458"/>
      <c r="AH318" s="458"/>
      <c r="AI318" s="458"/>
      <c r="AJ318" s="458"/>
      <c r="AK318" s="458"/>
      <c r="AL318" s="458"/>
      <c r="AM318" s="458"/>
      <c r="AN318" s="458"/>
      <c r="AO318" s="458"/>
      <c r="AP318" s="458"/>
      <c r="AQ318" s="458"/>
      <c r="AR318" s="458"/>
      <c r="AS318" s="458"/>
      <c r="AT318" s="458"/>
      <c r="AU318" s="458"/>
      <c r="AV318" s="458"/>
      <c r="AW318" s="458"/>
      <c r="AX318" s="458"/>
      <c r="AY318" s="458"/>
      <c r="AZ318" s="458"/>
      <c r="BA318" s="458"/>
      <c r="BB318" s="458"/>
      <c r="BC318" s="458"/>
      <c r="BD318" s="458"/>
      <c r="BE318" s="458"/>
      <c r="BF318" s="458"/>
      <c r="BG318" s="458"/>
      <c r="BH318" s="458"/>
      <c r="BI318" s="458"/>
      <c r="BJ318" s="458"/>
      <c r="BK318" s="458"/>
      <c r="BL318" s="458"/>
      <c r="BM318" s="458"/>
      <c r="BN318" s="458"/>
      <c r="BO318" s="458"/>
      <c r="BP318" s="458"/>
      <c r="BQ318" s="458"/>
      <c r="BR318" s="458"/>
      <c r="BS318" s="458"/>
      <c r="BT318" s="458"/>
      <c r="BU318" s="458"/>
      <c r="BV318" s="458"/>
      <c r="BW318" s="458"/>
      <c r="BX318" s="458"/>
      <c r="BY318" s="458"/>
      <c r="BZ318" s="458"/>
      <c r="CA318" s="458"/>
      <c r="CB318" s="458"/>
      <c r="CC318" s="458"/>
      <c r="CD318" s="458"/>
      <c r="CE318" s="458"/>
      <c r="CF318" s="458"/>
      <c r="CG318" s="458"/>
      <c r="CH318" s="458"/>
      <c r="CI318" s="458"/>
      <c r="CJ318" s="458"/>
      <c r="CK318" s="458"/>
      <c r="CL318" s="458"/>
      <c r="CM318" s="458"/>
      <c r="CN318" s="458"/>
      <c r="CO318" s="458"/>
      <c r="CP318" s="458"/>
      <c r="CQ318" s="458"/>
      <c r="CR318" s="458"/>
      <c r="CS318" s="458"/>
      <c r="CT318" s="458"/>
      <c r="CU318" s="458"/>
      <c r="CV318" s="458"/>
      <c r="CW318" s="458"/>
      <c r="CX318" s="458"/>
      <c r="CY318" s="458"/>
      <c r="CZ318" s="458"/>
      <c r="DA318" s="458"/>
      <c r="DB318" s="458"/>
      <c r="DC318" s="458"/>
      <c r="DD318" s="458"/>
      <c r="DE318" s="458"/>
      <c r="DF318" s="458"/>
      <c r="DG318" s="458"/>
      <c r="DH318" s="458"/>
      <c r="DI318" s="458"/>
      <c r="DJ318" s="458"/>
      <c r="DK318" s="458"/>
      <c r="DL318" s="458"/>
      <c r="DM318" s="458"/>
      <c r="DN318" s="458"/>
      <c r="DO318" s="458"/>
      <c r="DP318" s="458"/>
      <c r="DQ318" s="458"/>
      <c r="DR318" s="458"/>
      <c r="DS318" s="458"/>
      <c r="DT318" s="458"/>
      <c r="DU318" s="458"/>
      <c r="DV318" s="458"/>
      <c r="DW318" s="458"/>
      <c r="DX318" s="458"/>
      <c r="DY318" s="458"/>
      <c r="DZ318" s="458"/>
      <c r="EA318" s="458"/>
      <c r="EB318" s="458"/>
      <c r="EC318" s="458"/>
      <c r="ED318" s="458"/>
      <c r="EE318" s="458"/>
      <c r="EF318" s="458"/>
      <c r="EG318" s="458"/>
      <c r="EH318" s="458"/>
      <c r="EI318" s="458"/>
      <c r="EJ318" s="458"/>
      <c r="EK318" s="458"/>
      <c r="EL318" s="458"/>
      <c r="EM318" s="458"/>
      <c r="EN318" s="458"/>
      <c r="EO318" s="458"/>
      <c r="EP318" s="458"/>
      <c r="EQ318" s="458"/>
      <c r="ER318" s="458"/>
      <c r="ES318" s="458"/>
      <c r="ET318" s="458"/>
      <c r="EU318" s="458"/>
      <c r="EV318" s="458"/>
      <c r="EW318" s="458"/>
      <c r="EX318" s="458"/>
      <c r="EY318" s="458"/>
      <c r="EZ318" s="458"/>
      <c r="FA318" s="458"/>
      <c r="FB318" s="458"/>
      <c r="FC318" s="458"/>
      <c r="FD318" s="458"/>
      <c r="FE318" s="458"/>
      <c r="FF318" s="458"/>
      <c r="FG318" s="458"/>
      <c r="FH318" s="458"/>
      <c r="FI318" s="458"/>
      <c r="FJ318" s="458"/>
      <c r="FK318" s="458"/>
      <c r="FL318" s="458"/>
      <c r="FM318" s="458"/>
      <c r="FN318" s="458"/>
      <c r="FO318" s="458"/>
      <c r="FP318" s="458"/>
      <c r="FQ318" s="458"/>
      <c r="FR318" s="458"/>
      <c r="FS318" s="458"/>
      <c r="FT318" s="458"/>
      <c r="FU318" s="458"/>
      <c r="FV318" s="458"/>
      <c r="FW318" s="458"/>
      <c r="FX318" s="458"/>
      <c r="FY318" s="458"/>
      <c r="FZ318" s="458"/>
      <c r="GA318" s="458"/>
      <c r="GB318" s="458"/>
      <c r="GC318" s="458"/>
      <c r="GD318" s="458"/>
      <c r="GE318" s="458"/>
      <c r="GF318" s="458"/>
      <c r="GG318" s="458"/>
      <c r="GH318" s="458"/>
      <c r="GI318" s="458"/>
      <c r="GJ318" s="458"/>
      <c r="GK318" s="458"/>
      <c r="GL318" s="458"/>
      <c r="GM318" s="458"/>
      <c r="GN318" s="458"/>
      <c r="GO318" s="458"/>
      <c r="GP318" s="458"/>
      <c r="GQ318" s="458"/>
      <c r="GR318" s="458"/>
      <c r="GS318" s="458"/>
      <c r="GT318" s="458"/>
      <c r="GU318" s="458"/>
      <c r="GV318" s="458"/>
      <c r="GW318" s="458"/>
      <c r="GX318" s="458"/>
      <c r="GY318" s="458"/>
      <c r="GZ318" s="458"/>
      <c r="HA318" s="458"/>
      <c r="HB318" s="458"/>
      <c r="HC318" s="458"/>
      <c r="HD318" s="458"/>
      <c r="HE318" s="458"/>
      <c r="HF318" s="458"/>
      <c r="HG318" s="458"/>
      <c r="HH318" s="458"/>
      <c r="HI318" s="458"/>
      <c r="HJ318" s="458"/>
      <c r="HK318" s="458"/>
      <c r="HL318" s="458"/>
      <c r="HM318" s="458"/>
      <c r="HN318" s="458"/>
      <c r="HO318" s="458"/>
      <c r="HP318" s="458"/>
      <c r="HQ318" s="458"/>
      <c r="HR318" s="458"/>
      <c r="HS318" s="458"/>
      <c r="HT318" s="458"/>
      <c r="HU318" s="458"/>
      <c r="HV318" s="458"/>
      <c r="HW318" s="458"/>
      <c r="HX318" s="458"/>
      <c r="HY318" s="458"/>
      <c r="HZ318" s="458"/>
      <c r="IA318" s="458"/>
      <c r="IB318" s="458"/>
      <c r="IC318" s="458"/>
      <c r="ID318" s="458"/>
      <c r="IE318" s="458"/>
      <c r="IF318" s="458"/>
      <c r="IG318" s="458"/>
      <c r="IH318" s="458"/>
      <c r="II318" s="458"/>
      <c r="IJ318" s="458"/>
      <c r="IK318" s="458"/>
      <c r="IL318" s="458"/>
      <c r="IM318" s="458"/>
      <c r="IN318" s="458"/>
      <c r="IO318" s="458"/>
      <c r="IP318" s="458"/>
      <c r="IQ318" s="458"/>
      <c r="IR318" s="458"/>
      <c r="IS318" s="458"/>
    </row>
    <row r="319" spans="1:253" s="455" customFormat="1" ht="45" x14ac:dyDescent="0.2">
      <c r="A319" s="444">
        <v>3357</v>
      </c>
      <c r="B319" s="445" t="s">
        <v>51</v>
      </c>
      <c r="C319" s="445" t="s">
        <v>52</v>
      </c>
      <c r="D319" s="445" t="s">
        <v>91</v>
      </c>
      <c r="E319" s="445"/>
      <c r="F319" s="445"/>
      <c r="G319" s="446">
        <v>104</v>
      </c>
      <c r="H319" s="445">
        <v>79</v>
      </c>
      <c r="I319" s="445"/>
      <c r="J319" s="445">
        <v>1</v>
      </c>
      <c r="K319" s="447">
        <v>2</v>
      </c>
      <c r="L319" s="445"/>
      <c r="M319" s="445">
        <v>1</v>
      </c>
      <c r="N319" s="445" t="s">
        <v>79</v>
      </c>
      <c r="O319" s="449" t="s">
        <v>1340</v>
      </c>
      <c r="P319" s="450">
        <v>2.7959999999999998</v>
      </c>
      <c r="Q319" s="451">
        <f t="shared" si="6"/>
        <v>2.7959999999999998</v>
      </c>
      <c r="R319" s="451">
        <f>SUMIF('Wege im Detail'!$A:$A,"3357",'Wege im Detail'!$P:$P)</f>
        <v>4.2149999999999999</v>
      </c>
      <c r="S319" s="452" t="s">
        <v>422</v>
      </c>
      <c r="T319" s="453">
        <v>43586</v>
      </c>
      <c r="U319" s="448"/>
      <c r="V319" s="458"/>
      <c r="W319" s="448"/>
      <c r="X319" s="458"/>
      <c r="Y319" s="458"/>
      <c r="Z319" s="458"/>
      <c r="AA319" s="458"/>
      <c r="AB319" s="458"/>
      <c r="AC319" s="458"/>
      <c r="AD319" s="458"/>
      <c r="AE319" s="458"/>
      <c r="AF319" s="458"/>
      <c r="AG319" s="458"/>
      <c r="AH319" s="458"/>
      <c r="AI319" s="458"/>
      <c r="AJ319" s="458"/>
      <c r="AK319" s="458"/>
      <c r="AL319" s="458"/>
      <c r="AM319" s="458"/>
      <c r="AN319" s="458"/>
      <c r="AO319" s="458"/>
      <c r="AP319" s="458"/>
      <c r="AQ319" s="458"/>
      <c r="AR319" s="458"/>
      <c r="AS319" s="458"/>
      <c r="AT319" s="458"/>
      <c r="AU319" s="458"/>
      <c r="AV319" s="458"/>
      <c r="AW319" s="458"/>
      <c r="AX319" s="458"/>
      <c r="AY319" s="458"/>
      <c r="AZ319" s="458"/>
      <c r="BA319" s="458"/>
      <c r="BB319" s="458"/>
      <c r="BC319" s="458"/>
      <c r="BD319" s="458"/>
      <c r="BE319" s="458"/>
      <c r="BF319" s="458"/>
      <c r="BG319" s="458"/>
      <c r="BH319" s="458"/>
      <c r="BI319" s="458"/>
      <c r="BJ319" s="458"/>
      <c r="BK319" s="458"/>
      <c r="BL319" s="458"/>
      <c r="BM319" s="458"/>
      <c r="BN319" s="458"/>
      <c r="BO319" s="458"/>
      <c r="BP319" s="458"/>
      <c r="BQ319" s="458"/>
      <c r="BR319" s="458"/>
      <c r="BS319" s="458"/>
      <c r="BT319" s="458"/>
      <c r="BU319" s="458"/>
      <c r="BV319" s="458"/>
      <c r="BW319" s="458"/>
      <c r="BX319" s="458"/>
      <c r="BY319" s="458"/>
      <c r="BZ319" s="458"/>
      <c r="CA319" s="458"/>
      <c r="CB319" s="458"/>
      <c r="CC319" s="458"/>
      <c r="CD319" s="458"/>
      <c r="CE319" s="458"/>
      <c r="CF319" s="458"/>
      <c r="CG319" s="458"/>
      <c r="CH319" s="458"/>
      <c r="CI319" s="458"/>
      <c r="CJ319" s="458"/>
      <c r="CK319" s="458"/>
      <c r="CL319" s="458"/>
      <c r="CM319" s="458"/>
      <c r="CN319" s="458"/>
      <c r="CO319" s="458"/>
      <c r="CP319" s="458"/>
      <c r="CQ319" s="458"/>
      <c r="CR319" s="458"/>
      <c r="CS319" s="458"/>
      <c r="CT319" s="458"/>
      <c r="CU319" s="458"/>
      <c r="CV319" s="458"/>
      <c r="CW319" s="458"/>
      <c r="CX319" s="458"/>
      <c r="CY319" s="458"/>
      <c r="CZ319" s="458"/>
      <c r="DA319" s="458"/>
      <c r="DB319" s="458"/>
      <c r="DC319" s="458"/>
      <c r="DD319" s="458"/>
      <c r="DE319" s="458"/>
      <c r="DF319" s="458"/>
      <c r="DG319" s="458"/>
      <c r="DH319" s="458"/>
      <c r="DI319" s="458"/>
      <c r="DJ319" s="458"/>
      <c r="DK319" s="458"/>
      <c r="DL319" s="458"/>
      <c r="DM319" s="458"/>
      <c r="DN319" s="458"/>
      <c r="DO319" s="458"/>
      <c r="DP319" s="458"/>
      <c r="DQ319" s="458"/>
      <c r="DR319" s="458"/>
      <c r="DS319" s="458"/>
      <c r="DT319" s="458"/>
      <c r="DU319" s="458"/>
      <c r="DV319" s="458"/>
      <c r="DW319" s="458"/>
      <c r="DX319" s="458"/>
      <c r="DY319" s="458"/>
      <c r="DZ319" s="458"/>
      <c r="EA319" s="458"/>
      <c r="EB319" s="458"/>
      <c r="EC319" s="458"/>
      <c r="ED319" s="458"/>
      <c r="EE319" s="458"/>
      <c r="EF319" s="458"/>
      <c r="EG319" s="458"/>
      <c r="EH319" s="458"/>
      <c r="EI319" s="458"/>
      <c r="EJ319" s="458"/>
      <c r="EK319" s="458"/>
      <c r="EL319" s="458"/>
      <c r="EM319" s="458"/>
      <c r="EN319" s="458"/>
      <c r="EO319" s="458"/>
      <c r="EP319" s="458"/>
      <c r="EQ319" s="458"/>
      <c r="ER319" s="458"/>
      <c r="ES319" s="458"/>
      <c r="ET319" s="458"/>
      <c r="EU319" s="458"/>
      <c r="EV319" s="458"/>
      <c r="EW319" s="458"/>
      <c r="EX319" s="458"/>
      <c r="EY319" s="458"/>
      <c r="EZ319" s="458"/>
      <c r="FA319" s="458"/>
      <c r="FB319" s="458"/>
      <c r="FC319" s="458"/>
      <c r="FD319" s="458"/>
      <c r="FE319" s="458"/>
      <c r="FF319" s="458"/>
      <c r="FG319" s="458"/>
      <c r="FH319" s="458"/>
      <c r="FI319" s="458"/>
      <c r="FJ319" s="458"/>
      <c r="FK319" s="458"/>
      <c r="FL319" s="458"/>
      <c r="FM319" s="458"/>
      <c r="FN319" s="458"/>
      <c r="FO319" s="458"/>
      <c r="FP319" s="458"/>
      <c r="FQ319" s="458"/>
      <c r="FR319" s="458"/>
      <c r="FS319" s="458"/>
      <c r="FT319" s="458"/>
      <c r="FU319" s="458"/>
      <c r="FV319" s="458"/>
      <c r="FW319" s="458"/>
      <c r="FX319" s="458"/>
      <c r="FY319" s="458"/>
      <c r="FZ319" s="458"/>
      <c r="GA319" s="458"/>
      <c r="GB319" s="458"/>
      <c r="GC319" s="458"/>
      <c r="GD319" s="458"/>
      <c r="GE319" s="458"/>
      <c r="GF319" s="458"/>
      <c r="GG319" s="458"/>
      <c r="GH319" s="458"/>
      <c r="GI319" s="458"/>
      <c r="GJ319" s="458"/>
      <c r="GK319" s="458"/>
      <c r="GL319" s="458"/>
      <c r="GM319" s="458"/>
      <c r="GN319" s="458"/>
      <c r="GO319" s="458"/>
      <c r="GP319" s="458"/>
      <c r="GQ319" s="458"/>
      <c r="GR319" s="458"/>
      <c r="GS319" s="458"/>
      <c r="GT319" s="458"/>
      <c r="GU319" s="458"/>
      <c r="GV319" s="458"/>
      <c r="GW319" s="458"/>
      <c r="GX319" s="458"/>
      <c r="GY319" s="458"/>
      <c r="GZ319" s="458"/>
      <c r="HA319" s="458"/>
      <c r="HB319" s="458"/>
      <c r="HC319" s="458"/>
      <c r="HD319" s="458"/>
      <c r="HE319" s="458"/>
      <c r="HF319" s="458"/>
      <c r="HG319" s="458"/>
      <c r="HH319" s="458"/>
      <c r="HI319" s="458"/>
      <c r="HJ319" s="458"/>
      <c r="HK319" s="458"/>
      <c r="HL319" s="458"/>
      <c r="HM319" s="458"/>
      <c r="HN319" s="458"/>
      <c r="HO319" s="458"/>
      <c r="HP319" s="458"/>
      <c r="HQ319" s="458"/>
      <c r="HR319" s="458"/>
      <c r="HS319" s="458"/>
      <c r="HT319" s="458"/>
      <c r="HU319" s="458"/>
      <c r="HV319" s="458"/>
      <c r="HW319" s="458"/>
      <c r="HX319" s="458"/>
      <c r="HY319" s="458"/>
      <c r="HZ319" s="458"/>
      <c r="IA319" s="458"/>
      <c r="IB319" s="458"/>
      <c r="IC319" s="458"/>
      <c r="ID319" s="458"/>
      <c r="IE319" s="458"/>
      <c r="IF319" s="458"/>
      <c r="IG319" s="458"/>
      <c r="IH319" s="458"/>
      <c r="II319" s="458"/>
      <c r="IJ319" s="458"/>
      <c r="IK319" s="458"/>
      <c r="IL319" s="458"/>
      <c r="IM319" s="458"/>
      <c r="IN319" s="458"/>
      <c r="IO319" s="458"/>
      <c r="IP319" s="458"/>
      <c r="IQ319" s="458"/>
      <c r="IR319" s="458"/>
      <c r="IS319" s="458"/>
    </row>
    <row r="320" spans="1:253" s="455" customFormat="1" ht="45" x14ac:dyDescent="0.2">
      <c r="A320" s="444">
        <v>3357</v>
      </c>
      <c r="B320" s="445" t="s">
        <v>51</v>
      </c>
      <c r="C320" s="445" t="s">
        <v>52</v>
      </c>
      <c r="D320" s="445" t="s">
        <v>91</v>
      </c>
      <c r="E320" s="445"/>
      <c r="F320" s="445"/>
      <c r="G320" s="446">
        <v>104</v>
      </c>
      <c r="H320" s="445">
        <v>79</v>
      </c>
      <c r="I320" s="445"/>
      <c r="J320" s="445">
        <v>2</v>
      </c>
      <c r="K320" s="447">
        <v>2</v>
      </c>
      <c r="L320" s="445"/>
      <c r="M320" s="445">
        <v>1</v>
      </c>
      <c r="N320" s="445" t="s">
        <v>126</v>
      </c>
      <c r="O320" s="449" t="s">
        <v>1341</v>
      </c>
      <c r="P320" s="450">
        <v>1.419</v>
      </c>
      <c r="Q320" s="451">
        <f t="shared" ref="Q320:Q329" si="7">P320</f>
        <v>1.419</v>
      </c>
      <c r="R320" s="451">
        <f>SUMIF('Wege im Detail'!$A:$A,"3357",'Wege im Detail'!$P:$P)</f>
        <v>4.2149999999999999</v>
      </c>
      <c r="S320" s="452" t="s">
        <v>422</v>
      </c>
      <c r="T320" s="453">
        <v>43586</v>
      </c>
      <c r="U320" s="448"/>
      <c r="V320" s="458"/>
      <c r="W320" s="448"/>
      <c r="X320" s="458"/>
      <c r="Y320" s="458"/>
      <c r="Z320" s="458"/>
      <c r="AA320" s="458"/>
      <c r="AB320" s="458"/>
      <c r="AC320" s="458"/>
      <c r="AD320" s="458"/>
      <c r="AE320" s="458"/>
      <c r="AF320" s="458"/>
      <c r="AG320" s="458"/>
      <c r="AH320" s="458"/>
      <c r="AI320" s="458"/>
      <c r="AJ320" s="458"/>
      <c r="AK320" s="458"/>
      <c r="AL320" s="458"/>
      <c r="AM320" s="458"/>
      <c r="AN320" s="458"/>
      <c r="AO320" s="458"/>
      <c r="AP320" s="458"/>
      <c r="AQ320" s="458"/>
      <c r="AR320" s="458"/>
      <c r="AS320" s="458"/>
      <c r="AT320" s="458"/>
      <c r="AU320" s="458"/>
      <c r="AV320" s="458"/>
      <c r="AW320" s="458"/>
      <c r="AX320" s="458"/>
      <c r="AY320" s="458"/>
      <c r="AZ320" s="458"/>
      <c r="BA320" s="458"/>
      <c r="BB320" s="458"/>
      <c r="BC320" s="458"/>
      <c r="BD320" s="458"/>
      <c r="BE320" s="458"/>
      <c r="BF320" s="458"/>
      <c r="BG320" s="458"/>
      <c r="BH320" s="458"/>
      <c r="BI320" s="458"/>
      <c r="BJ320" s="458"/>
      <c r="BK320" s="458"/>
      <c r="BL320" s="458"/>
      <c r="BM320" s="458"/>
      <c r="BN320" s="458"/>
      <c r="BO320" s="458"/>
      <c r="BP320" s="458"/>
      <c r="BQ320" s="458"/>
      <c r="BR320" s="458"/>
      <c r="BS320" s="458"/>
      <c r="BT320" s="458"/>
      <c r="BU320" s="458"/>
      <c r="BV320" s="458"/>
      <c r="BW320" s="458"/>
      <c r="BX320" s="458"/>
      <c r="BY320" s="458"/>
      <c r="BZ320" s="458"/>
      <c r="CA320" s="458"/>
      <c r="CB320" s="458"/>
      <c r="CC320" s="458"/>
      <c r="CD320" s="458"/>
      <c r="CE320" s="458"/>
      <c r="CF320" s="458"/>
      <c r="CG320" s="458"/>
      <c r="CH320" s="458"/>
      <c r="CI320" s="458"/>
      <c r="CJ320" s="458"/>
      <c r="CK320" s="458"/>
      <c r="CL320" s="458"/>
      <c r="CM320" s="458"/>
      <c r="CN320" s="458"/>
      <c r="CO320" s="458"/>
      <c r="CP320" s="458"/>
      <c r="CQ320" s="458"/>
      <c r="CR320" s="458"/>
      <c r="CS320" s="458"/>
      <c r="CT320" s="458"/>
      <c r="CU320" s="458"/>
      <c r="CV320" s="458"/>
      <c r="CW320" s="458"/>
      <c r="CX320" s="458"/>
      <c r="CY320" s="458"/>
      <c r="CZ320" s="458"/>
      <c r="DA320" s="458"/>
      <c r="DB320" s="458"/>
      <c r="DC320" s="458"/>
      <c r="DD320" s="458"/>
      <c r="DE320" s="458"/>
      <c r="DF320" s="458"/>
      <c r="DG320" s="458"/>
      <c r="DH320" s="458"/>
      <c r="DI320" s="458"/>
      <c r="DJ320" s="458"/>
      <c r="DK320" s="458"/>
      <c r="DL320" s="458"/>
      <c r="DM320" s="458"/>
      <c r="DN320" s="458"/>
      <c r="DO320" s="458"/>
      <c r="DP320" s="458"/>
      <c r="DQ320" s="458"/>
      <c r="DR320" s="458"/>
      <c r="DS320" s="458"/>
      <c r="DT320" s="458"/>
      <c r="DU320" s="458"/>
      <c r="DV320" s="458"/>
      <c r="DW320" s="458"/>
      <c r="DX320" s="458"/>
      <c r="DY320" s="458"/>
      <c r="DZ320" s="458"/>
      <c r="EA320" s="458"/>
      <c r="EB320" s="458"/>
      <c r="EC320" s="458"/>
      <c r="ED320" s="458"/>
      <c r="EE320" s="458"/>
      <c r="EF320" s="458"/>
      <c r="EG320" s="458"/>
      <c r="EH320" s="458"/>
      <c r="EI320" s="458"/>
      <c r="EJ320" s="458"/>
      <c r="EK320" s="458"/>
      <c r="EL320" s="458"/>
      <c r="EM320" s="458"/>
      <c r="EN320" s="458"/>
      <c r="EO320" s="458"/>
      <c r="EP320" s="458"/>
      <c r="EQ320" s="458"/>
      <c r="ER320" s="458"/>
      <c r="ES320" s="458"/>
      <c r="ET320" s="458"/>
      <c r="EU320" s="458"/>
      <c r="EV320" s="458"/>
      <c r="EW320" s="458"/>
      <c r="EX320" s="458"/>
      <c r="EY320" s="458"/>
      <c r="EZ320" s="458"/>
      <c r="FA320" s="458"/>
      <c r="FB320" s="458"/>
      <c r="FC320" s="458"/>
      <c r="FD320" s="458"/>
      <c r="FE320" s="458"/>
      <c r="FF320" s="458"/>
      <c r="FG320" s="458"/>
      <c r="FH320" s="458"/>
      <c r="FI320" s="458"/>
      <c r="FJ320" s="458"/>
      <c r="FK320" s="458"/>
      <c r="FL320" s="458"/>
      <c r="FM320" s="458"/>
      <c r="FN320" s="458"/>
      <c r="FO320" s="458"/>
      <c r="FP320" s="458"/>
      <c r="FQ320" s="458"/>
      <c r="FR320" s="458"/>
      <c r="FS320" s="458"/>
      <c r="FT320" s="458"/>
      <c r="FU320" s="458"/>
      <c r="FV320" s="458"/>
      <c r="FW320" s="458"/>
      <c r="FX320" s="458"/>
      <c r="FY320" s="458"/>
      <c r="FZ320" s="458"/>
      <c r="GA320" s="458"/>
      <c r="GB320" s="458"/>
      <c r="GC320" s="458"/>
      <c r="GD320" s="458"/>
      <c r="GE320" s="458"/>
      <c r="GF320" s="458"/>
      <c r="GG320" s="458"/>
      <c r="GH320" s="458"/>
      <c r="GI320" s="458"/>
      <c r="GJ320" s="458"/>
      <c r="GK320" s="458"/>
      <c r="GL320" s="458"/>
      <c r="GM320" s="458"/>
      <c r="GN320" s="458"/>
      <c r="GO320" s="458"/>
      <c r="GP320" s="458"/>
      <c r="GQ320" s="458"/>
      <c r="GR320" s="458"/>
      <c r="GS320" s="458"/>
      <c r="GT320" s="458"/>
      <c r="GU320" s="458"/>
      <c r="GV320" s="458"/>
      <c r="GW320" s="458"/>
      <c r="GX320" s="458"/>
      <c r="GY320" s="458"/>
      <c r="GZ320" s="458"/>
      <c r="HA320" s="458"/>
      <c r="HB320" s="458"/>
      <c r="HC320" s="458"/>
      <c r="HD320" s="458"/>
      <c r="HE320" s="458"/>
      <c r="HF320" s="458"/>
      <c r="HG320" s="458"/>
      <c r="HH320" s="458"/>
      <c r="HI320" s="458"/>
      <c r="HJ320" s="458"/>
      <c r="HK320" s="458"/>
      <c r="HL320" s="458"/>
      <c r="HM320" s="458"/>
      <c r="HN320" s="458"/>
      <c r="HO320" s="458"/>
      <c r="HP320" s="458"/>
      <c r="HQ320" s="458"/>
      <c r="HR320" s="458"/>
      <c r="HS320" s="458"/>
      <c r="HT320" s="458"/>
      <c r="HU320" s="458"/>
      <c r="HV320" s="458"/>
      <c r="HW320" s="458"/>
      <c r="HX320" s="458"/>
      <c r="HY320" s="458"/>
      <c r="HZ320" s="458"/>
      <c r="IA320" s="458"/>
      <c r="IB320" s="458"/>
      <c r="IC320" s="458"/>
      <c r="ID320" s="458"/>
      <c r="IE320" s="458"/>
      <c r="IF320" s="458"/>
      <c r="IG320" s="458"/>
      <c r="IH320" s="458"/>
      <c r="II320" s="458"/>
      <c r="IJ320" s="458"/>
      <c r="IK320" s="458"/>
      <c r="IL320" s="458"/>
      <c r="IM320" s="458"/>
      <c r="IN320" s="458"/>
      <c r="IO320" s="458"/>
      <c r="IP320" s="458"/>
      <c r="IQ320" s="458"/>
      <c r="IR320" s="458"/>
      <c r="IS320" s="458"/>
    </row>
    <row r="321" spans="1:253" s="458" customFormat="1" ht="45" x14ac:dyDescent="0.2">
      <c r="A321" s="444">
        <v>3358</v>
      </c>
      <c r="B321" s="445" t="s">
        <v>51</v>
      </c>
      <c r="C321" s="445" t="s">
        <v>52</v>
      </c>
      <c r="D321" s="445" t="s">
        <v>91</v>
      </c>
      <c r="E321" s="445"/>
      <c r="F321" s="445"/>
      <c r="G321" s="446">
        <v>61</v>
      </c>
      <c r="H321" s="445">
        <v>89</v>
      </c>
      <c r="I321" s="445"/>
      <c r="J321" s="445">
        <v>1</v>
      </c>
      <c r="K321" s="447">
        <v>1</v>
      </c>
      <c r="L321" s="445"/>
      <c r="M321" s="445">
        <v>1</v>
      </c>
      <c r="N321" s="445" t="s">
        <v>79</v>
      </c>
      <c r="O321" s="449" t="s">
        <v>1342</v>
      </c>
      <c r="P321" s="450">
        <v>3.169</v>
      </c>
      <c r="Q321" s="451">
        <f t="shared" si="7"/>
        <v>3.169</v>
      </c>
      <c r="R321" s="451">
        <f>SUMIF('Wege im Detail'!$A:$A,"3358",'Wege im Detail'!$P:$P)</f>
        <v>3.169</v>
      </c>
      <c r="S321" s="452" t="s">
        <v>424</v>
      </c>
      <c r="T321" s="453">
        <v>43586</v>
      </c>
      <c r="U321" s="448"/>
      <c r="W321" s="448"/>
    </row>
    <row r="322" spans="1:253" s="458" customFormat="1" ht="45" x14ac:dyDescent="0.2">
      <c r="A322" s="444">
        <v>3359</v>
      </c>
      <c r="B322" s="445" t="s">
        <v>51</v>
      </c>
      <c r="C322" s="445" t="s">
        <v>52</v>
      </c>
      <c r="D322" s="445" t="s">
        <v>91</v>
      </c>
      <c r="E322" s="445"/>
      <c r="F322" s="445"/>
      <c r="G322" s="446">
        <v>59</v>
      </c>
      <c r="H322" s="445">
        <v>81</v>
      </c>
      <c r="I322" s="445"/>
      <c r="J322" s="445">
        <v>1</v>
      </c>
      <c r="K322" s="447">
        <v>2</v>
      </c>
      <c r="L322" s="445"/>
      <c r="M322" s="445">
        <v>1</v>
      </c>
      <c r="N322" s="445" t="s">
        <v>425</v>
      </c>
      <c r="O322" s="449" t="s">
        <v>1343</v>
      </c>
      <c r="P322" s="450">
        <v>6.7430000000000003</v>
      </c>
      <c r="Q322" s="451">
        <f t="shared" si="7"/>
        <v>6.7430000000000003</v>
      </c>
      <c r="R322" s="451">
        <f>SUMIF('Wege im Detail'!$A:$A,"3359",'Wege im Detail'!$P:$P)</f>
        <v>11.063000000000001</v>
      </c>
      <c r="S322" s="452" t="s">
        <v>426</v>
      </c>
      <c r="T322" s="453">
        <v>43891</v>
      </c>
      <c r="U322" s="448"/>
      <c r="V322" s="455"/>
      <c r="W322" s="448"/>
    </row>
    <row r="323" spans="1:253" s="458" customFormat="1" ht="45" x14ac:dyDescent="0.2">
      <c r="A323" s="444">
        <v>3359</v>
      </c>
      <c r="B323" s="445" t="s">
        <v>51</v>
      </c>
      <c r="C323" s="445" t="s">
        <v>52</v>
      </c>
      <c r="D323" s="445" t="s">
        <v>91</v>
      </c>
      <c r="E323" s="445"/>
      <c r="F323" s="445"/>
      <c r="G323" s="446">
        <v>59</v>
      </c>
      <c r="H323" s="445">
        <v>81</v>
      </c>
      <c r="I323" s="445"/>
      <c r="J323" s="445">
        <v>2</v>
      </c>
      <c r="K323" s="447">
        <v>2</v>
      </c>
      <c r="L323" s="445"/>
      <c r="M323" s="445">
        <v>1</v>
      </c>
      <c r="N323" s="445" t="s">
        <v>436</v>
      </c>
      <c r="O323" s="464" t="s">
        <v>1344</v>
      </c>
      <c r="P323" s="450">
        <v>4.32</v>
      </c>
      <c r="Q323" s="451">
        <f t="shared" si="7"/>
        <v>4.32</v>
      </c>
      <c r="R323" s="451">
        <f>SUMIF('Wege im Detail'!$A:$A,"3359",'Wege im Detail'!$P:$P)</f>
        <v>11.063000000000001</v>
      </c>
      <c r="S323" s="452" t="s">
        <v>426</v>
      </c>
      <c r="T323" s="453">
        <v>43891</v>
      </c>
      <c r="U323" s="448"/>
      <c r="V323" s="468"/>
      <c r="W323" s="448"/>
    </row>
    <row r="324" spans="1:253" s="458" customFormat="1" ht="56.25" x14ac:dyDescent="0.2">
      <c r="A324" s="444">
        <v>3360</v>
      </c>
      <c r="B324" s="445" t="s">
        <v>51</v>
      </c>
      <c r="C324" s="445" t="s">
        <v>52</v>
      </c>
      <c r="D324" s="445" t="s">
        <v>91</v>
      </c>
      <c r="E324" s="445"/>
      <c r="F324" s="445"/>
      <c r="G324" s="446">
        <v>51</v>
      </c>
      <c r="H324" s="445">
        <v>90</v>
      </c>
      <c r="I324" s="445"/>
      <c r="J324" s="445">
        <v>1</v>
      </c>
      <c r="K324" s="447">
        <v>1</v>
      </c>
      <c r="L324" s="445"/>
      <c r="M324" s="445">
        <v>1</v>
      </c>
      <c r="N324" s="445" t="s">
        <v>79</v>
      </c>
      <c r="O324" s="449" t="s">
        <v>1345</v>
      </c>
      <c r="P324" s="450">
        <v>7.4210000000000003</v>
      </c>
      <c r="Q324" s="451">
        <f t="shared" si="7"/>
        <v>7.4210000000000003</v>
      </c>
      <c r="R324" s="451">
        <f>SUMIF('Wege im Detail'!$A:$A,"3360",'Wege im Detail'!$P:$P)</f>
        <v>7.4210000000000003</v>
      </c>
      <c r="S324" s="452" t="s">
        <v>1346</v>
      </c>
      <c r="T324" s="453">
        <v>43891</v>
      </c>
      <c r="U324" s="448"/>
      <c r="W324" s="448"/>
    </row>
    <row r="325" spans="1:253" s="458" customFormat="1" ht="33.75" x14ac:dyDescent="0.2">
      <c r="A325" s="444">
        <v>3364</v>
      </c>
      <c r="B325" s="445" t="s">
        <v>51</v>
      </c>
      <c r="C325" s="445" t="s">
        <v>52</v>
      </c>
      <c r="D325" s="445" t="s">
        <v>91</v>
      </c>
      <c r="E325" s="445"/>
      <c r="F325" s="445"/>
      <c r="G325" s="446">
        <v>62</v>
      </c>
      <c r="H325" s="445">
        <v>95</v>
      </c>
      <c r="I325" s="445"/>
      <c r="J325" s="445">
        <v>1</v>
      </c>
      <c r="K325" s="447">
        <v>2</v>
      </c>
      <c r="L325" s="445"/>
      <c r="M325" s="445">
        <v>1</v>
      </c>
      <c r="N325" s="445" t="s">
        <v>1184</v>
      </c>
      <c r="O325" s="464" t="s">
        <v>1347</v>
      </c>
      <c r="P325" s="450">
        <v>4.407</v>
      </c>
      <c r="Q325" s="451">
        <f t="shared" si="7"/>
        <v>4.407</v>
      </c>
      <c r="R325" s="451">
        <f>SUMIF('Wege im Detail'!$A:$A,"3364",'Wege im Detail'!$P:$P)</f>
        <v>11.898</v>
      </c>
      <c r="S325" s="452" t="s">
        <v>429</v>
      </c>
      <c r="T325" s="453">
        <v>43891</v>
      </c>
      <c r="U325" s="448"/>
      <c r="W325" s="448"/>
    </row>
    <row r="326" spans="1:253" s="458" customFormat="1" ht="45" x14ac:dyDescent="0.2">
      <c r="A326" s="444">
        <v>3364</v>
      </c>
      <c r="B326" s="445" t="s">
        <v>51</v>
      </c>
      <c r="C326" s="445" t="s">
        <v>52</v>
      </c>
      <c r="D326" s="445" t="s">
        <v>91</v>
      </c>
      <c r="E326" s="445"/>
      <c r="F326" s="445"/>
      <c r="G326" s="446">
        <v>62</v>
      </c>
      <c r="H326" s="445">
        <v>95</v>
      </c>
      <c r="I326" s="445"/>
      <c r="J326" s="445">
        <v>2</v>
      </c>
      <c r="K326" s="447">
        <v>2</v>
      </c>
      <c r="L326" s="445"/>
      <c r="M326" s="445">
        <v>1</v>
      </c>
      <c r="N326" s="445" t="s">
        <v>656</v>
      </c>
      <c r="O326" s="464" t="s">
        <v>1348</v>
      </c>
      <c r="P326" s="450">
        <v>7.4909999999999997</v>
      </c>
      <c r="Q326" s="451">
        <f t="shared" si="7"/>
        <v>7.4909999999999997</v>
      </c>
      <c r="R326" s="451">
        <f>SUMIF('Wege im Detail'!$A:$A,"3364",'Wege im Detail'!$P:$P)</f>
        <v>11.898</v>
      </c>
      <c r="S326" s="452" t="s">
        <v>429</v>
      </c>
      <c r="T326" s="453">
        <v>43891</v>
      </c>
      <c r="U326" s="448"/>
      <c r="W326" s="448"/>
    </row>
    <row r="327" spans="1:253" s="458" customFormat="1" ht="45" x14ac:dyDescent="0.2">
      <c r="A327" s="444">
        <v>3369</v>
      </c>
      <c r="B327" s="445" t="s">
        <v>51</v>
      </c>
      <c r="C327" s="445" t="s">
        <v>52</v>
      </c>
      <c r="D327" s="445" t="s">
        <v>91</v>
      </c>
      <c r="E327" s="445"/>
      <c r="F327" s="445"/>
      <c r="G327" s="446">
        <v>104</v>
      </c>
      <c r="H327" s="445">
        <v>74</v>
      </c>
      <c r="I327" s="445" t="s">
        <v>117</v>
      </c>
      <c r="J327" s="445">
        <v>1</v>
      </c>
      <c r="K327" s="447">
        <v>2</v>
      </c>
      <c r="L327" s="445"/>
      <c r="M327" s="445">
        <v>5</v>
      </c>
      <c r="N327" s="445" t="s">
        <v>72</v>
      </c>
      <c r="O327" s="449" t="s">
        <v>1349</v>
      </c>
      <c r="P327" s="450">
        <v>2.3620000000000001</v>
      </c>
      <c r="Q327" s="451">
        <f t="shared" si="7"/>
        <v>2.3620000000000001</v>
      </c>
      <c r="R327" s="451">
        <f>SUMIF('Wege im Detail'!$A:$A,"3369",'Wege im Detail'!$P:$P)</f>
        <v>5.4830000000000005</v>
      </c>
      <c r="S327" s="452" t="s">
        <v>430</v>
      </c>
      <c r="T327" s="453">
        <v>43891</v>
      </c>
      <c r="U327" s="448"/>
      <c r="V327" s="457" t="s">
        <v>58</v>
      </c>
      <c r="W327" s="448"/>
    </row>
    <row r="328" spans="1:253" s="458" customFormat="1" ht="45" x14ac:dyDescent="0.2">
      <c r="A328" s="444">
        <v>3369</v>
      </c>
      <c r="B328" s="445" t="s">
        <v>51</v>
      </c>
      <c r="C328" s="445" t="s">
        <v>52</v>
      </c>
      <c r="D328" s="445" t="s">
        <v>91</v>
      </c>
      <c r="E328" s="445"/>
      <c r="F328" s="445"/>
      <c r="G328" s="446">
        <v>104</v>
      </c>
      <c r="H328" s="445">
        <v>74</v>
      </c>
      <c r="I328" s="445" t="s">
        <v>117</v>
      </c>
      <c r="J328" s="445">
        <v>2</v>
      </c>
      <c r="K328" s="447">
        <v>2</v>
      </c>
      <c r="L328" s="445"/>
      <c r="M328" s="445">
        <v>5</v>
      </c>
      <c r="N328" s="445" t="s">
        <v>181</v>
      </c>
      <c r="O328" s="449" t="s">
        <v>1350</v>
      </c>
      <c r="P328" s="450">
        <v>3.121</v>
      </c>
      <c r="Q328" s="451">
        <f t="shared" si="7"/>
        <v>3.121</v>
      </c>
      <c r="R328" s="451">
        <f>SUMIF('Wege im Detail'!$A:$A,"3369",'Wege im Detail'!$P:$P)</f>
        <v>5.4830000000000005</v>
      </c>
      <c r="S328" s="452" t="s">
        <v>430</v>
      </c>
      <c r="T328" s="453">
        <v>43891</v>
      </c>
      <c r="U328" s="448"/>
      <c r="V328" s="457" t="s">
        <v>58</v>
      </c>
      <c r="W328" s="448"/>
      <c r="X328" s="455"/>
      <c r="Y328" s="455"/>
      <c r="Z328" s="455"/>
      <c r="AA328" s="455"/>
      <c r="AB328" s="455"/>
      <c r="AC328" s="455"/>
      <c r="AD328" s="455"/>
      <c r="AE328" s="455"/>
      <c r="AF328" s="455"/>
      <c r="AG328" s="455"/>
      <c r="AH328" s="455"/>
      <c r="AI328" s="455"/>
      <c r="AJ328" s="455"/>
      <c r="AK328" s="455"/>
      <c r="AL328" s="455"/>
      <c r="AM328" s="455"/>
      <c r="AN328" s="455"/>
      <c r="AO328" s="455"/>
      <c r="AP328" s="455"/>
      <c r="AQ328" s="455"/>
      <c r="AR328" s="455"/>
      <c r="AS328" s="455"/>
      <c r="AT328" s="455"/>
      <c r="AU328" s="455"/>
      <c r="AV328" s="455"/>
      <c r="AW328" s="455"/>
      <c r="AX328" s="455"/>
      <c r="AY328" s="455"/>
      <c r="AZ328" s="455"/>
      <c r="BA328" s="455"/>
      <c r="BB328" s="455"/>
      <c r="BC328" s="455"/>
      <c r="BD328" s="455"/>
      <c r="BE328" s="455"/>
      <c r="BF328" s="455"/>
      <c r="BG328" s="455"/>
      <c r="BH328" s="455"/>
      <c r="BI328" s="455"/>
      <c r="BJ328" s="455"/>
      <c r="BK328" s="455"/>
      <c r="BL328" s="455"/>
      <c r="BM328" s="455"/>
      <c r="BN328" s="455"/>
      <c r="BO328" s="455"/>
      <c r="BP328" s="455"/>
      <c r="BQ328" s="455"/>
      <c r="BR328" s="455"/>
      <c r="BS328" s="455"/>
      <c r="BT328" s="455"/>
      <c r="BU328" s="455"/>
      <c r="BV328" s="455"/>
      <c r="BW328" s="455"/>
      <c r="BX328" s="455"/>
      <c r="BY328" s="455"/>
      <c r="BZ328" s="455"/>
      <c r="CA328" s="455"/>
      <c r="CB328" s="455"/>
      <c r="CC328" s="455"/>
      <c r="CD328" s="455"/>
      <c r="CE328" s="455"/>
      <c r="CF328" s="455"/>
      <c r="CG328" s="455"/>
      <c r="CH328" s="455"/>
      <c r="CI328" s="455"/>
      <c r="CJ328" s="455"/>
      <c r="CK328" s="455"/>
      <c r="CL328" s="455"/>
      <c r="CM328" s="455"/>
      <c r="CN328" s="455"/>
      <c r="CO328" s="455"/>
      <c r="CP328" s="455"/>
      <c r="CQ328" s="455"/>
      <c r="CR328" s="455"/>
      <c r="CS328" s="455"/>
      <c r="CT328" s="455"/>
      <c r="CU328" s="455"/>
      <c r="CV328" s="455"/>
      <c r="CW328" s="455"/>
      <c r="CX328" s="455"/>
      <c r="CY328" s="455"/>
      <c r="CZ328" s="455"/>
      <c r="DA328" s="455"/>
      <c r="DB328" s="455"/>
      <c r="DC328" s="455"/>
      <c r="DD328" s="455"/>
      <c r="DE328" s="455"/>
      <c r="DF328" s="455"/>
      <c r="DG328" s="455"/>
      <c r="DH328" s="455"/>
      <c r="DI328" s="455"/>
      <c r="DJ328" s="455"/>
      <c r="DK328" s="455"/>
      <c r="DL328" s="455"/>
      <c r="DM328" s="455"/>
      <c r="DN328" s="455"/>
      <c r="DO328" s="455"/>
      <c r="DP328" s="455"/>
      <c r="DQ328" s="455"/>
      <c r="DR328" s="455"/>
      <c r="DS328" s="455"/>
      <c r="DT328" s="455"/>
      <c r="DU328" s="455"/>
      <c r="DV328" s="455"/>
      <c r="DW328" s="455"/>
      <c r="DX328" s="455"/>
      <c r="DY328" s="455"/>
      <c r="DZ328" s="455"/>
      <c r="EA328" s="455"/>
      <c r="EB328" s="455"/>
      <c r="EC328" s="455"/>
      <c r="ED328" s="455"/>
      <c r="EE328" s="455"/>
      <c r="EF328" s="455"/>
      <c r="EG328" s="455"/>
      <c r="EH328" s="455"/>
      <c r="EI328" s="455"/>
      <c r="EJ328" s="455"/>
      <c r="EK328" s="455"/>
      <c r="EL328" s="455"/>
      <c r="EM328" s="455"/>
      <c r="EN328" s="455"/>
      <c r="EO328" s="455"/>
      <c r="EP328" s="455"/>
      <c r="EQ328" s="455"/>
      <c r="ER328" s="455"/>
      <c r="ES328" s="455"/>
      <c r="ET328" s="455"/>
      <c r="EU328" s="455"/>
      <c r="EV328" s="455"/>
      <c r="EW328" s="455"/>
      <c r="EX328" s="455"/>
      <c r="EY328" s="455"/>
      <c r="EZ328" s="455"/>
      <c r="FA328" s="455"/>
      <c r="FB328" s="455"/>
      <c r="FC328" s="455"/>
      <c r="FD328" s="455"/>
      <c r="FE328" s="455"/>
      <c r="FF328" s="455"/>
      <c r="FG328" s="455"/>
      <c r="FH328" s="455"/>
      <c r="FI328" s="455"/>
      <c r="FJ328" s="455"/>
      <c r="FK328" s="455"/>
      <c r="FL328" s="455"/>
      <c r="FM328" s="455"/>
      <c r="FN328" s="455"/>
      <c r="FO328" s="455"/>
      <c r="FP328" s="455"/>
      <c r="FQ328" s="455"/>
      <c r="FR328" s="455"/>
      <c r="FS328" s="455"/>
      <c r="FT328" s="455"/>
      <c r="FU328" s="455"/>
      <c r="FV328" s="455"/>
      <c r="FW328" s="455"/>
      <c r="FX328" s="455"/>
      <c r="FY328" s="455"/>
      <c r="FZ328" s="455"/>
      <c r="GA328" s="455"/>
      <c r="GB328" s="455"/>
      <c r="GC328" s="455"/>
      <c r="GD328" s="455"/>
      <c r="GE328" s="455"/>
      <c r="GF328" s="455"/>
      <c r="GG328" s="455"/>
      <c r="GH328" s="455"/>
      <c r="GI328" s="455"/>
      <c r="GJ328" s="455"/>
      <c r="GK328" s="455"/>
      <c r="GL328" s="455"/>
      <c r="GM328" s="455"/>
      <c r="GN328" s="455"/>
      <c r="GO328" s="455"/>
      <c r="GP328" s="455"/>
      <c r="GQ328" s="455"/>
      <c r="GR328" s="455"/>
      <c r="GS328" s="455"/>
      <c r="GT328" s="455"/>
      <c r="GU328" s="455"/>
      <c r="GV328" s="455"/>
      <c r="GW328" s="455"/>
      <c r="GX328" s="455"/>
      <c r="GY328" s="455"/>
      <c r="GZ328" s="455"/>
      <c r="HA328" s="455"/>
      <c r="HB328" s="455"/>
      <c r="HC328" s="455"/>
      <c r="HD328" s="455"/>
      <c r="HE328" s="455"/>
      <c r="HF328" s="455"/>
      <c r="HG328" s="455"/>
      <c r="HH328" s="455"/>
      <c r="HI328" s="455"/>
      <c r="HJ328" s="455"/>
      <c r="HK328" s="455"/>
      <c r="HL328" s="455"/>
      <c r="HM328" s="455"/>
      <c r="HN328" s="455"/>
      <c r="HO328" s="455"/>
      <c r="HP328" s="455"/>
      <c r="HQ328" s="455"/>
      <c r="HR328" s="455"/>
      <c r="HS328" s="455"/>
      <c r="HT328" s="455"/>
      <c r="HU328" s="455"/>
      <c r="HV328" s="455"/>
      <c r="HW328" s="455"/>
      <c r="HX328" s="455"/>
      <c r="HY328" s="455"/>
      <c r="HZ328" s="455"/>
      <c r="IA328" s="455"/>
      <c r="IB328" s="455"/>
      <c r="IC328" s="455"/>
      <c r="ID328" s="455"/>
      <c r="IE328" s="455"/>
      <c r="IF328" s="455"/>
      <c r="IG328" s="455"/>
      <c r="IH328" s="455"/>
      <c r="II328" s="455"/>
      <c r="IJ328" s="455"/>
      <c r="IK328" s="455"/>
      <c r="IL328" s="455"/>
      <c r="IM328" s="455"/>
      <c r="IN328" s="455"/>
      <c r="IO328" s="455"/>
      <c r="IP328" s="455"/>
      <c r="IQ328" s="455"/>
      <c r="IR328" s="455"/>
      <c r="IS328" s="455"/>
    </row>
    <row r="329" spans="1:253" s="458" customFormat="1" ht="45" x14ac:dyDescent="0.2">
      <c r="A329" s="444">
        <v>3370</v>
      </c>
      <c r="B329" s="445" t="s">
        <v>51</v>
      </c>
      <c r="C329" s="445" t="s">
        <v>52</v>
      </c>
      <c r="D329" s="445" t="s">
        <v>91</v>
      </c>
      <c r="E329" s="445"/>
      <c r="F329" s="445"/>
      <c r="G329" s="446">
        <v>59</v>
      </c>
      <c r="H329" s="445">
        <v>75</v>
      </c>
      <c r="I329" s="445"/>
      <c r="J329" s="445">
        <v>1</v>
      </c>
      <c r="K329" s="447">
        <v>4</v>
      </c>
      <c r="L329" s="445"/>
      <c r="M329" s="445">
        <v>2</v>
      </c>
      <c r="N329" s="445" t="s">
        <v>67</v>
      </c>
      <c r="O329" s="449" t="s">
        <v>1351</v>
      </c>
      <c r="P329" s="450">
        <v>4.593</v>
      </c>
      <c r="Q329" s="451">
        <f t="shared" si="7"/>
        <v>4.593</v>
      </c>
      <c r="R329" s="451">
        <f>SUMIF('Wege im Detail'!$A:$A,"3370",'Wege im Detail'!$P:$P)</f>
        <v>10.223000000000001</v>
      </c>
      <c r="S329" s="452" t="s">
        <v>1352</v>
      </c>
      <c r="T329" s="453">
        <v>43891</v>
      </c>
      <c r="U329" s="448"/>
      <c r="W329" s="448"/>
      <c r="X329" s="455"/>
      <c r="Y329" s="455"/>
      <c r="Z329" s="455"/>
      <c r="AA329" s="455"/>
      <c r="AB329" s="455"/>
      <c r="AC329" s="455"/>
      <c r="AD329" s="455"/>
      <c r="AE329" s="455"/>
      <c r="AF329" s="455"/>
      <c r="AG329" s="455"/>
      <c r="AH329" s="455"/>
      <c r="AI329" s="455"/>
      <c r="AJ329" s="455"/>
      <c r="AK329" s="455"/>
      <c r="AL329" s="455"/>
      <c r="AM329" s="455"/>
      <c r="AN329" s="455"/>
      <c r="AO329" s="455"/>
      <c r="AP329" s="455"/>
      <c r="AQ329" s="455"/>
      <c r="AR329" s="455"/>
      <c r="AS329" s="455"/>
      <c r="AT329" s="455"/>
      <c r="AU329" s="455"/>
      <c r="AV329" s="455"/>
      <c r="AW329" s="455"/>
      <c r="AX329" s="455"/>
      <c r="AY329" s="455"/>
      <c r="AZ329" s="455"/>
      <c r="BA329" s="455"/>
      <c r="BB329" s="455"/>
      <c r="BC329" s="455"/>
      <c r="BD329" s="455"/>
      <c r="BE329" s="455"/>
      <c r="BF329" s="455"/>
      <c r="BG329" s="455"/>
      <c r="BH329" s="455"/>
      <c r="BI329" s="455"/>
      <c r="BJ329" s="455"/>
      <c r="BK329" s="455"/>
      <c r="BL329" s="455"/>
      <c r="BM329" s="455"/>
      <c r="BN329" s="455"/>
      <c r="BO329" s="455"/>
      <c r="BP329" s="455"/>
      <c r="BQ329" s="455"/>
      <c r="BR329" s="455"/>
      <c r="BS329" s="455"/>
      <c r="BT329" s="455"/>
      <c r="BU329" s="455"/>
      <c r="BV329" s="455"/>
      <c r="BW329" s="455"/>
      <c r="BX329" s="455"/>
      <c r="BY329" s="455"/>
      <c r="BZ329" s="455"/>
      <c r="CA329" s="455"/>
      <c r="CB329" s="455"/>
      <c r="CC329" s="455"/>
      <c r="CD329" s="455"/>
      <c r="CE329" s="455"/>
      <c r="CF329" s="455"/>
      <c r="CG329" s="455"/>
      <c r="CH329" s="455"/>
      <c r="CI329" s="455"/>
      <c r="CJ329" s="455"/>
      <c r="CK329" s="455"/>
      <c r="CL329" s="455"/>
      <c r="CM329" s="455"/>
      <c r="CN329" s="455"/>
      <c r="CO329" s="455"/>
      <c r="CP329" s="455"/>
      <c r="CQ329" s="455"/>
      <c r="CR329" s="455"/>
      <c r="CS329" s="455"/>
      <c r="CT329" s="455"/>
      <c r="CU329" s="455"/>
      <c r="CV329" s="455"/>
      <c r="CW329" s="455"/>
      <c r="CX329" s="455"/>
      <c r="CY329" s="455"/>
      <c r="CZ329" s="455"/>
      <c r="DA329" s="455"/>
      <c r="DB329" s="455"/>
      <c r="DC329" s="455"/>
      <c r="DD329" s="455"/>
      <c r="DE329" s="455"/>
      <c r="DF329" s="455"/>
      <c r="DG329" s="455"/>
      <c r="DH329" s="455"/>
      <c r="DI329" s="455"/>
      <c r="DJ329" s="455"/>
      <c r="DK329" s="455"/>
      <c r="DL329" s="455"/>
      <c r="DM329" s="455"/>
      <c r="DN329" s="455"/>
      <c r="DO329" s="455"/>
      <c r="DP329" s="455"/>
      <c r="DQ329" s="455"/>
      <c r="DR329" s="455"/>
      <c r="DS329" s="455"/>
      <c r="DT329" s="455"/>
      <c r="DU329" s="455"/>
      <c r="DV329" s="455"/>
      <c r="DW329" s="455"/>
      <c r="DX329" s="455"/>
      <c r="DY329" s="455"/>
      <c r="DZ329" s="455"/>
      <c r="EA329" s="455"/>
      <c r="EB329" s="455"/>
      <c r="EC329" s="455"/>
      <c r="ED329" s="455"/>
      <c r="EE329" s="455"/>
      <c r="EF329" s="455"/>
      <c r="EG329" s="455"/>
      <c r="EH329" s="455"/>
      <c r="EI329" s="455"/>
      <c r="EJ329" s="455"/>
      <c r="EK329" s="455"/>
      <c r="EL329" s="455"/>
      <c r="EM329" s="455"/>
      <c r="EN329" s="455"/>
      <c r="EO329" s="455"/>
      <c r="EP329" s="455"/>
      <c r="EQ329" s="455"/>
      <c r="ER329" s="455"/>
      <c r="ES329" s="455"/>
      <c r="ET329" s="455"/>
      <c r="EU329" s="455"/>
      <c r="EV329" s="455"/>
      <c r="EW329" s="455"/>
      <c r="EX329" s="455"/>
      <c r="EY329" s="455"/>
      <c r="EZ329" s="455"/>
      <c r="FA329" s="455"/>
      <c r="FB329" s="455"/>
      <c r="FC329" s="455"/>
      <c r="FD329" s="455"/>
      <c r="FE329" s="455"/>
      <c r="FF329" s="455"/>
      <c r="FG329" s="455"/>
      <c r="FH329" s="455"/>
      <c r="FI329" s="455"/>
      <c r="FJ329" s="455"/>
      <c r="FK329" s="455"/>
      <c r="FL329" s="455"/>
      <c r="FM329" s="455"/>
      <c r="FN329" s="455"/>
      <c r="FO329" s="455"/>
      <c r="FP329" s="455"/>
      <c r="FQ329" s="455"/>
      <c r="FR329" s="455"/>
      <c r="FS329" s="455"/>
      <c r="FT329" s="455"/>
      <c r="FU329" s="455"/>
      <c r="FV329" s="455"/>
      <c r="FW329" s="455"/>
      <c r="FX329" s="455"/>
      <c r="FY329" s="455"/>
      <c r="FZ329" s="455"/>
      <c r="GA329" s="455"/>
      <c r="GB329" s="455"/>
      <c r="GC329" s="455"/>
      <c r="GD329" s="455"/>
      <c r="GE329" s="455"/>
      <c r="GF329" s="455"/>
      <c r="GG329" s="455"/>
      <c r="GH329" s="455"/>
      <c r="GI329" s="455"/>
      <c r="GJ329" s="455"/>
      <c r="GK329" s="455"/>
      <c r="GL329" s="455"/>
      <c r="GM329" s="455"/>
      <c r="GN329" s="455"/>
      <c r="GO329" s="455"/>
      <c r="GP329" s="455"/>
      <c r="GQ329" s="455"/>
      <c r="GR329" s="455"/>
      <c r="GS329" s="455"/>
      <c r="GT329" s="455"/>
      <c r="GU329" s="455"/>
      <c r="GV329" s="455"/>
      <c r="GW329" s="455"/>
      <c r="GX329" s="455"/>
      <c r="GY329" s="455"/>
      <c r="GZ329" s="455"/>
      <c r="HA329" s="455"/>
      <c r="HB329" s="455"/>
      <c r="HC329" s="455"/>
      <c r="HD329" s="455"/>
      <c r="HE329" s="455"/>
      <c r="HF329" s="455"/>
      <c r="HG329" s="455"/>
      <c r="HH329" s="455"/>
      <c r="HI329" s="455"/>
      <c r="HJ329" s="455"/>
      <c r="HK329" s="455"/>
      <c r="HL329" s="455"/>
      <c r="HM329" s="455"/>
      <c r="HN329" s="455"/>
      <c r="HO329" s="455"/>
      <c r="HP329" s="455"/>
      <c r="HQ329" s="455"/>
      <c r="HR329" s="455"/>
      <c r="HS329" s="455"/>
      <c r="HT329" s="455"/>
      <c r="HU329" s="455"/>
      <c r="HV329" s="455"/>
      <c r="HW329" s="455"/>
      <c r="HX329" s="455"/>
      <c r="HY329" s="455"/>
      <c r="HZ329" s="455"/>
      <c r="IA329" s="455"/>
      <c r="IB329" s="455"/>
      <c r="IC329" s="455"/>
      <c r="ID329" s="455"/>
      <c r="IE329" s="455"/>
      <c r="IF329" s="455"/>
      <c r="IG329" s="455"/>
      <c r="IH329" s="455"/>
      <c r="II329" s="455"/>
      <c r="IJ329" s="455"/>
      <c r="IK329" s="455"/>
      <c r="IL329" s="455"/>
      <c r="IM329" s="455"/>
      <c r="IN329" s="455"/>
      <c r="IO329" s="455"/>
      <c r="IP329" s="455"/>
      <c r="IQ329" s="455"/>
      <c r="IR329" s="455"/>
      <c r="IS329" s="455"/>
    </row>
    <row r="330" spans="1:253" s="458" customFormat="1" ht="45" x14ac:dyDescent="0.2">
      <c r="A330" s="444">
        <v>3370</v>
      </c>
      <c r="B330" s="445" t="s">
        <v>51</v>
      </c>
      <c r="C330" s="445" t="s">
        <v>52</v>
      </c>
      <c r="D330" s="445" t="s">
        <v>91</v>
      </c>
      <c r="E330" s="445"/>
      <c r="F330" s="445"/>
      <c r="G330" s="446">
        <v>59</v>
      </c>
      <c r="H330" s="445">
        <v>75</v>
      </c>
      <c r="I330" s="445"/>
      <c r="J330" s="445">
        <v>2</v>
      </c>
      <c r="K330" s="447">
        <v>4</v>
      </c>
      <c r="L330" s="445"/>
      <c r="M330" s="445">
        <v>2</v>
      </c>
      <c r="N330" s="445" t="s">
        <v>433</v>
      </c>
      <c r="O330" s="449" t="s">
        <v>1353</v>
      </c>
      <c r="P330" s="450">
        <v>1.4690000000000001</v>
      </c>
      <c r="Q330" s="451">
        <v>10.172000000000001</v>
      </c>
      <c r="R330" s="451">
        <f>SUMIF('Wege im Detail'!$A:$A,"3370",'Wege im Detail'!$P:$P)</f>
        <v>10.223000000000001</v>
      </c>
      <c r="S330" s="452" t="s">
        <v>1352</v>
      </c>
      <c r="T330" s="453">
        <v>43891</v>
      </c>
      <c r="U330" s="448"/>
      <c r="W330" s="448"/>
      <c r="X330" s="455"/>
      <c r="Y330" s="455"/>
      <c r="Z330" s="455"/>
      <c r="AA330" s="455"/>
      <c r="AB330" s="455"/>
      <c r="AC330" s="455"/>
      <c r="AD330" s="455"/>
      <c r="AE330" s="455"/>
      <c r="AF330" s="455"/>
      <c r="AG330" s="455"/>
      <c r="AH330" s="455"/>
      <c r="AI330" s="455"/>
      <c r="AJ330" s="455"/>
      <c r="AK330" s="455"/>
      <c r="AL330" s="455"/>
      <c r="AM330" s="455"/>
      <c r="AN330" s="455"/>
      <c r="AO330" s="455"/>
      <c r="AP330" s="455"/>
      <c r="AQ330" s="455"/>
      <c r="AR330" s="455"/>
      <c r="AS330" s="455"/>
      <c r="AT330" s="455"/>
      <c r="AU330" s="455"/>
      <c r="AV330" s="455"/>
      <c r="AW330" s="455"/>
      <c r="AX330" s="455"/>
      <c r="AY330" s="455"/>
      <c r="AZ330" s="455"/>
      <c r="BA330" s="455"/>
      <c r="BB330" s="455"/>
      <c r="BC330" s="455"/>
      <c r="BD330" s="455"/>
      <c r="BE330" s="455"/>
      <c r="BF330" s="455"/>
      <c r="BG330" s="455"/>
      <c r="BH330" s="455"/>
      <c r="BI330" s="455"/>
      <c r="BJ330" s="455"/>
      <c r="BK330" s="455"/>
      <c r="BL330" s="455"/>
      <c r="BM330" s="455"/>
      <c r="BN330" s="455"/>
      <c r="BO330" s="455"/>
      <c r="BP330" s="455"/>
      <c r="BQ330" s="455"/>
      <c r="BR330" s="455"/>
      <c r="BS330" s="455"/>
      <c r="BT330" s="455"/>
      <c r="BU330" s="455"/>
      <c r="BV330" s="455"/>
      <c r="BW330" s="455"/>
      <c r="BX330" s="455"/>
      <c r="BY330" s="455"/>
      <c r="BZ330" s="455"/>
      <c r="CA330" s="455"/>
      <c r="CB330" s="455"/>
      <c r="CC330" s="455"/>
      <c r="CD330" s="455"/>
      <c r="CE330" s="455"/>
      <c r="CF330" s="455"/>
      <c r="CG330" s="455"/>
      <c r="CH330" s="455"/>
      <c r="CI330" s="455"/>
      <c r="CJ330" s="455"/>
      <c r="CK330" s="455"/>
      <c r="CL330" s="455"/>
      <c r="CM330" s="455"/>
      <c r="CN330" s="455"/>
      <c r="CO330" s="455"/>
      <c r="CP330" s="455"/>
      <c r="CQ330" s="455"/>
      <c r="CR330" s="455"/>
      <c r="CS330" s="455"/>
      <c r="CT330" s="455"/>
      <c r="CU330" s="455"/>
      <c r="CV330" s="455"/>
      <c r="CW330" s="455"/>
      <c r="CX330" s="455"/>
      <c r="CY330" s="455"/>
      <c r="CZ330" s="455"/>
      <c r="DA330" s="455"/>
      <c r="DB330" s="455"/>
      <c r="DC330" s="455"/>
      <c r="DD330" s="455"/>
      <c r="DE330" s="455"/>
      <c r="DF330" s="455"/>
      <c r="DG330" s="455"/>
      <c r="DH330" s="455"/>
      <c r="DI330" s="455"/>
      <c r="DJ330" s="455"/>
      <c r="DK330" s="455"/>
      <c r="DL330" s="455"/>
      <c r="DM330" s="455"/>
      <c r="DN330" s="455"/>
      <c r="DO330" s="455"/>
      <c r="DP330" s="455"/>
      <c r="DQ330" s="455"/>
      <c r="DR330" s="455"/>
      <c r="DS330" s="455"/>
      <c r="DT330" s="455"/>
      <c r="DU330" s="455"/>
      <c r="DV330" s="455"/>
      <c r="DW330" s="455"/>
      <c r="DX330" s="455"/>
      <c r="DY330" s="455"/>
      <c r="DZ330" s="455"/>
      <c r="EA330" s="455"/>
      <c r="EB330" s="455"/>
      <c r="EC330" s="455"/>
      <c r="ED330" s="455"/>
      <c r="EE330" s="455"/>
      <c r="EF330" s="455"/>
      <c r="EG330" s="455"/>
      <c r="EH330" s="455"/>
      <c r="EI330" s="455"/>
      <c r="EJ330" s="455"/>
      <c r="EK330" s="455"/>
      <c r="EL330" s="455"/>
      <c r="EM330" s="455"/>
      <c r="EN330" s="455"/>
      <c r="EO330" s="455"/>
      <c r="EP330" s="455"/>
      <c r="EQ330" s="455"/>
      <c r="ER330" s="455"/>
      <c r="ES330" s="455"/>
      <c r="ET330" s="455"/>
      <c r="EU330" s="455"/>
      <c r="EV330" s="455"/>
      <c r="EW330" s="455"/>
      <c r="EX330" s="455"/>
      <c r="EY330" s="455"/>
      <c r="EZ330" s="455"/>
      <c r="FA330" s="455"/>
      <c r="FB330" s="455"/>
      <c r="FC330" s="455"/>
      <c r="FD330" s="455"/>
      <c r="FE330" s="455"/>
      <c r="FF330" s="455"/>
      <c r="FG330" s="455"/>
      <c r="FH330" s="455"/>
      <c r="FI330" s="455"/>
      <c r="FJ330" s="455"/>
      <c r="FK330" s="455"/>
      <c r="FL330" s="455"/>
      <c r="FM330" s="455"/>
      <c r="FN330" s="455"/>
      <c r="FO330" s="455"/>
      <c r="FP330" s="455"/>
      <c r="FQ330" s="455"/>
      <c r="FR330" s="455"/>
      <c r="FS330" s="455"/>
      <c r="FT330" s="455"/>
      <c r="FU330" s="455"/>
      <c r="FV330" s="455"/>
      <c r="FW330" s="455"/>
      <c r="FX330" s="455"/>
      <c r="FY330" s="455"/>
      <c r="FZ330" s="455"/>
      <c r="GA330" s="455"/>
      <c r="GB330" s="455"/>
      <c r="GC330" s="455"/>
      <c r="GD330" s="455"/>
      <c r="GE330" s="455"/>
      <c r="GF330" s="455"/>
      <c r="GG330" s="455"/>
      <c r="GH330" s="455"/>
      <c r="GI330" s="455"/>
      <c r="GJ330" s="455"/>
      <c r="GK330" s="455"/>
      <c r="GL330" s="455"/>
      <c r="GM330" s="455"/>
      <c r="GN330" s="455"/>
      <c r="GO330" s="455"/>
      <c r="GP330" s="455"/>
      <c r="GQ330" s="455"/>
      <c r="GR330" s="455"/>
      <c r="GS330" s="455"/>
      <c r="GT330" s="455"/>
      <c r="GU330" s="455"/>
      <c r="GV330" s="455"/>
      <c r="GW330" s="455"/>
      <c r="GX330" s="455"/>
      <c r="GY330" s="455"/>
      <c r="GZ330" s="455"/>
      <c r="HA330" s="455"/>
      <c r="HB330" s="455"/>
      <c r="HC330" s="455"/>
      <c r="HD330" s="455"/>
      <c r="HE330" s="455"/>
      <c r="HF330" s="455"/>
      <c r="HG330" s="455"/>
      <c r="HH330" s="455"/>
      <c r="HI330" s="455"/>
      <c r="HJ330" s="455"/>
      <c r="HK330" s="455"/>
      <c r="HL330" s="455"/>
      <c r="HM330" s="455"/>
      <c r="HN330" s="455"/>
      <c r="HO330" s="455"/>
      <c r="HP330" s="455"/>
      <c r="HQ330" s="455"/>
      <c r="HR330" s="455"/>
      <c r="HS330" s="455"/>
      <c r="HT330" s="455"/>
      <c r="HU330" s="455"/>
      <c r="HV330" s="455"/>
      <c r="HW330" s="455"/>
      <c r="HX330" s="455"/>
      <c r="HY330" s="455"/>
      <c r="HZ330" s="455"/>
      <c r="IA330" s="455"/>
      <c r="IB330" s="455"/>
      <c r="IC330" s="455"/>
      <c r="ID330" s="455"/>
      <c r="IE330" s="455"/>
      <c r="IF330" s="455"/>
      <c r="IG330" s="455"/>
      <c r="IH330" s="455"/>
      <c r="II330" s="455"/>
      <c r="IJ330" s="455"/>
      <c r="IK330" s="455"/>
      <c r="IL330" s="455"/>
      <c r="IM330" s="455"/>
      <c r="IN330" s="455"/>
      <c r="IO330" s="455"/>
      <c r="IP330" s="455"/>
      <c r="IQ330" s="455"/>
      <c r="IR330" s="455"/>
      <c r="IS330" s="455"/>
    </row>
    <row r="331" spans="1:253" s="458" customFormat="1" ht="45" x14ac:dyDescent="0.2">
      <c r="A331" s="444">
        <v>3370</v>
      </c>
      <c r="B331" s="445" t="s">
        <v>51</v>
      </c>
      <c r="C331" s="445" t="s">
        <v>52</v>
      </c>
      <c r="D331" s="445" t="s">
        <v>91</v>
      </c>
      <c r="E331" s="445"/>
      <c r="F331" s="445"/>
      <c r="G331" s="446">
        <v>59</v>
      </c>
      <c r="H331" s="445">
        <v>75</v>
      </c>
      <c r="I331" s="445"/>
      <c r="J331" s="445">
        <v>3</v>
      </c>
      <c r="K331" s="447">
        <v>4</v>
      </c>
      <c r="L331" s="445"/>
      <c r="M331" s="445">
        <v>5</v>
      </c>
      <c r="N331" s="445" t="s">
        <v>72</v>
      </c>
      <c r="O331" s="449" t="s">
        <v>1354</v>
      </c>
      <c r="P331" s="450">
        <v>3.5310000000000001</v>
      </c>
      <c r="Q331" s="451">
        <v>10.172000000000001</v>
      </c>
      <c r="R331" s="451">
        <f>SUMIF('Wege im Detail'!$A:$A,"3370",'Wege im Detail'!$P:$P)</f>
        <v>10.223000000000001</v>
      </c>
      <c r="S331" s="452" t="s">
        <v>1352</v>
      </c>
      <c r="T331" s="453">
        <v>43891</v>
      </c>
      <c r="U331" s="448"/>
      <c r="W331" s="448"/>
      <c r="X331" s="455"/>
      <c r="Y331" s="455"/>
      <c r="Z331" s="455"/>
      <c r="AA331" s="455"/>
      <c r="AB331" s="455"/>
      <c r="AC331" s="455"/>
      <c r="AD331" s="455"/>
      <c r="AE331" s="455"/>
      <c r="AF331" s="455"/>
      <c r="AG331" s="455"/>
      <c r="AH331" s="455"/>
      <c r="AI331" s="455"/>
      <c r="AJ331" s="455"/>
      <c r="AK331" s="455"/>
      <c r="AL331" s="455"/>
      <c r="AM331" s="455"/>
      <c r="AN331" s="455"/>
      <c r="AO331" s="455"/>
      <c r="AP331" s="455"/>
      <c r="AQ331" s="455"/>
      <c r="AR331" s="455"/>
      <c r="AS331" s="455"/>
      <c r="AT331" s="455"/>
      <c r="AU331" s="455"/>
      <c r="AV331" s="455"/>
      <c r="AW331" s="455"/>
      <c r="AX331" s="455"/>
      <c r="AY331" s="455"/>
      <c r="AZ331" s="455"/>
      <c r="BA331" s="455"/>
      <c r="BB331" s="455"/>
      <c r="BC331" s="455"/>
      <c r="BD331" s="455"/>
      <c r="BE331" s="455"/>
      <c r="BF331" s="455"/>
      <c r="BG331" s="455"/>
      <c r="BH331" s="455"/>
      <c r="BI331" s="455"/>
      <c r="BJ331" s="455"/>
      <c r="BK331" s="455"/>
      <c r="BL331" s="455"/>
      <c r="BM331" s="455"/>
      <c r="BN331" s="455"/>
      <c r="BO331" s="455"/>
      <c r="BP331" s="455"/>
      <c r="BQ331" s="455"/>
      <c r="BR331" s="455"/>
      <c r="BS331" s="455"/>
      <c r="BT331" s="455"/>
      <c r="BU331" s="455"/>
      <c r="BV331" s="455"/>
      <c r="BW331" s="455"/>
      <c r="BX331" s="455"/>
      <c r="BY331" s="455"/>
      <c r="BZ331" s="455"/>
      <c r="CA331" s="455"/>
      <c r="CB331" s="455"/>
      <c r="CC331" s="455"/>
      <c r="CD331" s="455"/>
      <c r="CE331" s="455"/>
      <c r="CF331" s="455"/>
      <c r="CG331" s="455"/>
      <c r="CH331" s="455"/>
      <c r="CI331" s="455"/>
      <c r="CJ331" s="455"/>
      <c r="CK331" s="455"/>
      <c r="CL331" s="455"/>
      <c r="CM331" s="455"/>
      <c r="CN331" s="455"/>
      <c r="CO331" s="455"/>
      <c r="CP331" s="455"/>
      <c r="CQ331" s="455"/>
      <c r="CR331" s="455"/>
      <c r="CS331" s="455"/>
      <c r="CT331" s="455"/>
      <c r="CU331" s="455"/>
      <c r="CV331" s="455"/>
      <c r="CW331" s="455"/>
      <c r="CX331" s="455"/>
      <c r="CY331" s="455"/>
      <c r="CZ331" s="455"/>
      <c r="DA331" s="455"/>
      <c r="DB331" s="455"/>
      <c r="DC331" s="455"/>
      <c r="DD331" s="455"/>
      <c r="DE331" s="455"/>
      <c r="DF331" s="455"/>
      <c r="DG331" s="455"/>
      <c r="DH331" s="455"/>
      <c r="DI331" s="455"/>
      <c r="DJ331" s="455"/>
      <c r="DK331" s="455"/>
      <c r="DL331" s="455"/>
      <c r="DM331" s="455"/>
      <c r="DN331" s="455"/>
      <c r="DO331" s="455"/>
      <c r="DP331" s="455"/>
      <c r="DQ331" s="455"/>
      <c r="DR331" s="455"/>
      <c r="DS331" s="455"/>
      <c r="DT331" s="455"/>
      <c r="DU331" s="455"/>
      <c r="DV331" s="455"/>
      <c r="DW331" s="455"/>
      <c r="DX331" s="455"/>
      <c r="DY331" s="455"/>
      <c r="DZ331" s="455"/>
      <c r="EA331" s="455"/>
      <c r="EB331" s="455"/>
      <c r="EC331" s="455"/>
      <c r="ED331" s="455"/>
      <c r="EE331" s="455"/>
      <c r="EF331" s="455"/>
      <c r="EG331" s="455"/>
      <c r="EH331" s="455"/>
      <c r="EI331" s="455"/>
      <c r="EJ331" s="455"/>
      <c r="EK331" s="455"/>
      <c r="EL331" s="455"/>
      <c r="EM331" s="455"/>
      <c r="EN331" s="455"/>
      <c r="EO331" s="455"/>
      <c r="EP331" s="455"/>
      <c r="EQ331" s="455"/>
      <c r="ER331" s="455"/>
      <c r="ES331" s="455"/>
      <c r="ET331" s="455"/>
      <c r="EU331" s="455"/>
      <c r="EV331" s="455"/>
      <c r="EW331" s="455"/>
      <c r="EX331" s="455"/>
      <c r="EY331" s="455"/>
      <c r="EZ331" s="455"/>
      <c r="FA331" s="455"/>
      <c r="FB331" s="455"/>
      <c r="FC331" s="455"/>
      <c r="FD331" s="455"/>
      <c r="FE331" s="455"/>
      <c r="FF331" s="455"/>
      <c r="FG331" s="455"/>
      <c r="FH331" s="455"/>
      <c r="FI331" s="455"/>
      <c r="FJ331" s="455"/>
      <c r="FK331" s="455"/>
      <c r="FL331" s="455"/>
      <c r="FM331" s="455"/>
      <c r="FN331" s="455"/>
      <c r="FO331" s="455"/>
      <c r="FP331" s="455"/>
      <c r="FQ331" s="455"/>
      <c r="FR331" s="455"/>
      <c r="FS331" s="455"/>
      <c r="FT331" s="455"/>
      <c r="FU331" s="455"/>
      <c r="FV331" s="455"/>
      <c r="FW331" s="455"/>
      <c r="FX331" s="455"/>
      <c r="FY331" s="455"/>
      <c r="FZ331" s="455"/>
      <c r="GA331" s="455"/>
      <c r="GB331" s="455"/>
      <c r="GC331" s="455"/>
      <c r="GD331" s="455"/>
      <c r="GE331" s="455"/>
      <c r="GF331" s="455"/>
      <c r="GG331" s="455"/>
      <c r="GH331" s="455"/>
      <c r="GI331" s="455"/>
      <c r="GJ331" s="455"/>
      <c r="GK331" s="455"/>
      <c r="GL331" s="455"/>
      <c r="GM331" s="455"/>
      <c r="GN331" s="455"/>
      <c r="GO331" s="455"/>
      <c r="GP331" s="455"/>
      <c r="GQ331" s="455"/>
      <c r="GR331" s="455"/>
      <c r="GS331" s="455"/>
      <c r="GT331" s="455"/>
      <c r="GU331" s="455"/>
      <c r="GV331" s="455"/>
      <c r="GW331" s="455"/>
      <c r="GX331" s="455"/>
      <c r="GY331" s="455"/>
      <c r="GZ331" s="455"/>
      <c r="HA331" s="455"/>
      <c r="HB331" s="455"/>
      <c r="HC331" s="455"/>
      <c r="HD331" s="455"/>
      <c r="HE331" s="455"/>
      <c r="HF331" s="455"/>
      <c r="HG331" s="455"/>
      <c r="HH331" s="455"/>
      <c r="HI331" s="455"/>
      <c r="HJ331" s="455"/>
      <c r="HK331" s="455"/>
      <c r="HL331" s="455"/>
      <c r="HM331" s="455"/>
      <c r="HN331" s="455"/>
      <c r="HO331" s="455"/>
      <c r="HP331" s="455"/>
      <c r="HQ331" s="455"/>
      <c r="HR331" s="455"/>
      <c r="HS331" s="455"/>
      <c r="HT331" s="455"/>
      <c r="HU331" s="455"/>
      <c r="HV331" s="455"/>
      <c r="HW331" s="455"/>
      <c r="HX331" s="455"/>
      <c r="HY331" s="455"/>
      <c r="HZ331" s="455"/>
      <c r="IA331" s="455"/>
      <c r="IB331" s="455"/>
      <c r="IC331" s="455"/>
      <c r="ID331" s="455"/>
      <c r="IE331" s="455"/>
      <c r="IF331" s="455"/>
      <c r="IG331" s="455"/>
      <c r="IH331" s="455"/>
      <c r="II331" s="455"/>
      <c r="IJ331" s="455"/>
      <c r="IK331" s="455"/>
      <c r="IL331" s="455"/>
      <c r="IM331" s="455"/>
      <c r="IN331" s="455"/>
      <c r="IO331" s="455"/>
      <c r="IP331" s="455"/>
      <c r="IQ331" s="455"/>
      <c r="IR331" s="455"/>
      <c r="IS331" s="455"/>
    </row>
    <row r="332" spans="1:253" s="458" customFormat="1" ht="33.75" x14ac:dyDescent="0.2">
      <c r="A332" s="444">
        <v>3370</v>
      </c>
      <c r="B332" s="445" t="s">
        <v>51</v>
      </c>
      <c r="C332" s="445" t="s">
        <v>52</v>
      </c>
      <c r="D332" s="445" t="s">
        <v>91</v>
      </c>
      <c r="E332" s="445"/>
      <c r="F332" s="445"/>
      <c r="G332" s="446">
        <v>59</v>
      </c>
      <c r="H332" s="445">
        <v>75</v>
      </c>
      <c r="I332" s="445"/>
      <c r="J332" s="445">
        <v>4</v>
      </c>
      <c r="K332" s="447">
        <v>4</v>
      </c>
      <c r="L332" s="445"/>
      <c r="M332" s="445">
        <v>5</v>
      </c>
      <c r="N332" s="445" t="s">
        <v>181</v>
      </c>
      <c r="O332" s="449" t="s">
        <v>1355</v>
      </c>
      <c r="P332" s="450">
        <v>0.63</v>
      </c>
      <c r="Q332" s="451">
        <v>10.172000000000001</v>
      </c>
      <c r="R332" s="451">
        <f>SUMIF('Wege im Detail'!$A:$A,"3370",'Wege im Detail'!$P:$P)</f>
        <v>10.223000000000001</v>
      </c>
      <c r="S332" s="452" t="s">
        <v>1352</v>
      </c>
      <c r="T332" s="453">
        <v>43891</v>
      </c>
      <c r="U332" s="448"/>
      <c r="W332" s="448"/>
      <c r="X332" s="455"/>
      <c r="Y332" s="455"/>
      <c r="Z332" s="455"/>
      <c r="AA332" s="455"/>
      <c r="AB332" s="455"/>
      <c r="AC332" s="455"/>
      <c r="AD332" s="455"/>
      <c r="AE332" s="455"/>
      <c r="AF332" s="455"/>
      <c r="AG332" s="455"/>
      <c r="AH332" s="455"/>
      <c r="AI332" s="455"/>
      <c r="AJ332" s="455"/>
      <c r="AK332" s="455"/>
      <c r="AL332" s="455"/>
      <c r="AM332" s="455"/>
      <c r="AN332" s="455"/>
      <c r="AO332" s="455"/>
      <c r="AP332" s="455"/>
      <c r="AQ332" s="455"/>
      <c r="AR332" s="455"/>
      <c r="AS332" s="455"/>
      <c r="AT332" s="455"/>
      <c r="AU332" s="455"/>
      <c r="AV332" s="455"/>
      <c r="AW332" s="455"/>
      <c r="AX332" s="455"/>
      <c r="AY332" s="455"/>
      <c r="AZ332" s="455"/>
      <c r="BA332" s="455"/>
      <c r="BB332" s="455"/>
      <c r="BC332" s="455"/>
      <c r="BD332" s="455"/>
      <c r="BE332" s="455"/>
      <c r="BF332" s="455"/>
      <c r="BG332" s="455"/>
      <c r="BH332" s="455"/>
      <c r="BI332" s="455"/>
      <c r="BJ332" s="455"/>
      <c r="BK332" s="455"/>
      <c r="BL332" s="455"/>
      <c r="BM332" s="455"/>
      <c r="BN332" s="455"/>
      <c r="BO332" s="455"/>
      <c r="BP332" s="455"/>
      <c r="BQ332" s="455"/>
      <c r="BR332" s="455"/>
      <c r="BS332" s="455"/>
      <c r="BT332" s="455"/>
      <c r="BU332" s="455"/>
      <c r="BV332" s="455"/>
      <c r="BW332" s="455"/>
      <c r="BX332" s="455"/>
      <c r="BY332" s="455"/>
      <c r="BZ332" s="455"/>
      <c r="CA332" s="455"/>
      <c r="CB332" s="455"/>
      <c r="CC332" s="455"/>
      <c r="CD332" s="455"/>
      <c r="CE332" s="455"/>
      <c r="CF332" s="455"/>
      <c r="CG332" s="455"/>
      <c r="CH332" s="455"/>
      <c r="CI332" s="455"/>
      <c r="CJ332" s="455"/>
      <c r="CK332" s="455"/>
      <c r="CL332" s="455"/>
      <c r="CM332" s="455"/>
      <c r="CN332" s="455"/>
      <c r="CO332" s="455"/>
      <c r="CP332" s="455"/>
      <c r="CQ332" s="455"/>
      <c r="CR332" s="455"/>
      <c r="CS332" s="455"/>
      <c r="CT332" s="455"/>
      <c r="CU332" s="455"/>
      <c r="CV332" s="455"/>
      <c r="CW332" s="455"/>
      <c r="CX332" s="455"/>
      <c r="CY332" s="455"/>
      <c r="CZ332" s="455"/>
      <c r="DA332" s="455"/>
      <c r="DB332" s="455"/>
      <c r="DC332" s="455"/>
      <c r="DD332" s="455"/>
      <c r="DE332" s="455"/>
      <c r="DF332" s="455"/>
      <c r="DG332" s="455"/>
      <c r="DH332" s="455"/>
      <c r="DI332" s="455"/>
      <c r="DJ332" s="455"/>
      <c r="DK332" s="455"/>
      <c r="DL332" s="455"/>
      <c r="DM332" s="455"/>
      <c r="DN332" s="455"/>
      <c r="DO332" s="455"/>
      <c r="DP332" s="455"/>
      <c r="DQ332" s="455"/>
      <c r="DR332" s="455"/>
      <c r="DS332" s="455"/>
      <c r="DT332" s="455"/>
      <c r="DU332" s="455"/>
      <c r="DV332" s="455"/>
      <c r="DW332" s="455"/>
      <c r="DX332" s="455"/>
      <c r="DY332" s="455"/>
      <c r="DZ332" s="455"/>
      <c r="EA332" s="455"/>
      <c r="EB332" s="455"/>
      <c r="EC332" s="455"/>
      <c r="ED332" s="455"/>
      <c r="EE332" s="455"/>
      <c r="EF332" s="455"/>
      <c r="EG332" s="455"/>
      <c r="EH332" s="455"/>
      <c r="EI332" s="455"/>
      <c r="EJ332" s="455"/>
      <c r="EK332" s="455"/>
      <c r="EL332" s="455"/>
      <c r="EM332" s="455"/>
      <c r="EN332" s="455"/>
      <c r="EO332" s="455"/>
      <c r="EP332" s="455"/>
      <c r="EQ332" s="455"/>
      <c r="ER332" s="455"/>
      <c r="ES332" s="455"/>
      <c r="ET332" s="455"/>
      <c r="EU332" s="455"/>
      <c r="EV332" s="455"/>
      <c r="EW332" s="455"/>
      <c r="EX332" s="455"/>
      <c r="EY332" s="455"/>
      <c r="EZ332" s="455"/>
      <c r="FA332" s="455"/>
      <c r="FB332" s="455"/>
      <c r="FC332" s="455"/>
      <c r="FD332" s="455"/>
      <c r="FE332" s="455"/>
      <c r="FF332" s="455"/>
      <c r="FG332" s="455"/>
      <c r="FH332" s="455"/>
      <c r="FI332" s="455"/>
      <c r="FJ332" s="455"/>
      <c r="FK332" s="455"/>
      <c r="FL332" s="455"/>
      <c r="FM332" s="455"/>
      <c r="FN332" s="455"/>
      <c r="FO332" s="455"/>
      <c r="FP332" s="455"/>
      <c r="FQ332" s="455"/>
      <c r="FR332" s="455"/>
      <c r="FS332" s="455"/>
      <c r="FT332" s="455"/>
      <c r="FU332" s="455"/>
      <c r="FV332" s="455"/>
      <c r="FW332" s="455"/>
      <c r="FX332" s="455"/>
      <c r="FY332" s="455"/>
      <c r="FZ332" s="455"/>
      <c r="GA332" s="455"/>
      <c r="GB332" s="455"/>
      <c r="GC332" s="455"/>
      <c r="GD332" s="455"/>
      <c r="GE332" s="455"/>
      <c r="GF332" s="455"/>
      <c r="GG332" s="455"/>
      <c r="GH332" s="455"/>
      <c r="GI332" s="455"/>
      <c r="GJ332" s="455"/>
      <c r="GK332" s="455"/>
      <c r="GL332" s="455"/>
      <c r="GM332" s="455"/>
      <c r="GN332" s="455"/>
      <c r="GO332" s="455"/>
      <c r="GP332" s="455"/>
      <c r="GQ332" s="455"/>
      <c r="GR332" s="455"/>
      <c r="GS332" s="455"/>
      <c r="GT332" s="455"/>
      <c r="GU332" s="455"/>
      <c r="GV332" s="455"/>
      <c r="GW332" s="455"/>
      <c r="GX332" s="455"/>
      <c r="GY332" s="455"/>
      <c r="GZ332" s="455"/>
      <c r="HA332" s="455"/>
      <c r="HB332" s="455"/>
      <c r="HC332" s="455"/>
      <c r="HD332" s="455"/>
      <c r="HE332" s="455"/>
      <c r="HF332" s="455"/>
      <c r="HG332" s="455"/>
      <c r="HH332" s="455"/>
      <c r="HI332" s="455"/>
      <c r="HJ332" s="455"/>
      <c r="HK332" s="455"/>
      <c r="HL332" s="455"/>
      <c r="HM332" s="455"/>
      <c r="HN332" s="455"/>
      <c r="HO332" s="455"/>
      <c r="HP332" s="455"/>
      <c r="HQ332" s="455"/>
      <c r="HR332" s="455"/>
      <c r="HS332" s="455"/>
      <c r="HT332" s="455"/>
      <c r="HU332" s="455"/>
      <c r="HV332" s="455"/>
      <c r="HW332" s="455"/>
      <c r="HX332" s="455"/>
      <c r="HY332" s="455"/>
      <c r="HZ332" s="455"/>
      <c r="IA332" s="455"/>
      <c r="IB332" s="455"/>
      <c r="IC332" s="455"/>
      <c r="ID332" s="455"/>
      <c r="IE332" s="455"/>
      <c r="IF332" s="455"/>
      <c r="IG332" s="455"/>
      <c r="IH332" s="455"/>
      <c r="II332" s="455"/>
      <c r="IJ332" s="455"/>
      <c r="IK332" s="455"/>
      <c r="IL332" s="455"/>
      <c r="IM332" s="455"/>
      <c r="IN332" s="455"/>
      <c r="IO332" s="455"/>
      <c r="IP332" s="455"/>
      <c r="IQ332" s="455"/>
      <c r="IR332" s="455"/>
      <c r="IS332" s="455"/>
    </row>
    <row r="333" spans="1:253" s="458" customFormat="1" ht="67.5" x14ac:dyDescent="0.2">
      <c r="A333" s="444">
        <v>3371</v>
      </c>
      <c r="B333" s="445" t="s">
        <v>51</v>
      </c>
      <c r="C333" s="445" t="s">
        <v>52</v>
      </c>
      <c r="D333" s="445" t="s">
        <v>91</v>
      </c>
      <c r="E333" s="445"/>
      <c r="F333" s="445"/>
      <c r="G333" s="446">
        <v>104</v>
      </c>
      <c r="H333" s="445">
        <v>91</v>
      </c>
      <c r="I333" s="445"/>
      <c r="J333" s="445">
        <v>1</v>
      </c>
      <c r="K333" s="447">
        <v>2</v>
      </c>
      <c r="L333" s="445"/>
      <c r="M333" s="445">
        <v>2</v>
      </c>
      <c r="N333" s="445" t="s">
        <v>433</v>
      </c>
      <c r="O333" s="449" t="s">
        <v>1356</v>
      </c>
      <c r="P333" s="450">
        <v>4.3220000000000001</v>
      </c>
      <c r="Q333" s="451">
        <f t="shared" ref="Q333:Q364" si="8">P333</f>
        <v>4.3220000000000001</v>
      </c>
      <c r="R333" s="451">
        <f>SUMIF('Wege im Detail'!$A:$A,"3371",'Wege im Detail'!$P:$P)</f>
        <v>5.5470000000000006</v>
      </c>
      <c r="S333" s="452" t="s">
        <v>1357</v>
      </c>
      <c r="T333" s="453">
        <v>43891</v>
      </c>
      <c r="U333" s="448"/>
      <c r="W333" s="448"/>
      <c r="X333" s="455"/>
      <c r="Y333" s="455"/>
      <c r="Z333" s="455"/>
      <c r="AA333" s="455"/>
      <c r="AB333" s="455"/>
      <c r="AC333" s="455"/>
      <c r="AD333" s="455"/>
      <c r="AE333" s="455"/>
      <c r="AF333" s="455"/>
      <c r="AG333" s="455"/>
      <c r="AH333" s="455"/>
      <c r="AI333" s="455"/>
      <c r="AJ333" s="455"/>
      <c r="AK333" s="455"/>
      <c r="AL333" s="455"/>
      <c r="AM333" s="455"/>
      <c r="AN333" s="455"/>
      <c r="AO333" s="455"/>
      <c r="AP333" s="455"/>
      <c r="AQ333" s="455"/>
      <c r="AR333" s="455"/>
      <c r="AS333" s="455"/>
      <c r="AT333" s="455"/>
      <c r="AU333" s="455"/>
      <c r="AV333" s="455"/>
      <c r="AW333" s="455"/>
      <c r="AX333" s="455"/>
      <c r="AY333" s="455"/>
      <c r="AZ333" s="455"/>
      <c r="BA333" s="455"/>
      <c r="BB333" s="455"/>
      <c r="BC333" s="455"/>
      <c r="BD333" s="455"/>
      <c r="BE333" s="455"/>
      <c r="BF333" s="455"/>
      <c r="BG333" s="455"/>
      <c r="BH333" s="455"/>
      <c r="BI333" s="455"/>
      <c r="BJ333" s="455"/>
      <c r="BK333" s="455"/>
      <c r="BL333" s="455"/>
      <c r="BM333" s="455"/>
      <c r="BN333" s="455"/>
      <c r="BO333" s="455"/>
      <c r="BP333" s="455"/>
      <c r="BQ333" s="455"/>
      <c r="BR333" s="455"/>
      <c r="BS333" s="455"/>
      <c r="BT333" s="455"/>
      <c r="BU333" s="455"/>
      <c r="BV333" s="455"/>
      <c r="BW333" s="455"/>
      <c r="BX333" s="455"/>
      <c r="BY333" s="455"/>
      <c r="BZ333" s="455"/>
      <c r="CA333" s="455"/>
      <c r="CB333" s="455"/>
      <c r="CC333" s="455"/>
      <c r="CD333" s="455"/>
      <c r="CE333" s="455"/>
      <c r="CF333" s="455"/>
      <c r="CG333" s="455"/>
      <c r="CH333" s="455"/>
      <c r="CI333" s="455"/>
      <c r="CJ333" s="455"/>
      <c r="CK333" s="455"/>
      <c r="CL333" s="455"/>
      <c r="CM333" s="455"/>
      <c r="CN333" s="455"/>
      <c r="CO333" s="455"/>
      <c r="CP333" s="455"/>
      <c r="CQ333" s="455"/>
      <c r="CR333" s="455"/>
      <c r="CS333" s="455"/>
      <c r="CT333" s="455"/>
      <c r="CU333" s="455"/>
      <c r="CV333" s="455"/>
      <c r="CW333" s="455"/>
      <c r="CX333" s="455"/>
      <c r="CY333" s="455"/>
      <c r="CZ333" s="455"/>
      <c r="DA333" s="455"/>
      <c r="DB333" s="455"/>
      <c r="DC333" s="455"/>
      <c r="DD333" s="455"/>
      <c r="DE333" s="455"/>
      <c r="DF333" s="455"/>
      <c r="DG333" s="455"/>
      <c r="DH333" s="455"/>
      <c r="DI333" s="455"/>
      <c r="DJ333" s="455"/>
      <c r="DK333" s="455"/>
      <c r="DL333" s="455"/>
      <c r="DM333" s="455"/>
      <c r="DN333" s="455"/>
      <c r="DO333" s="455"/>
      <c r="DP333" s="455"/>
      <c r="DQ333" s="455"/>
      <c r="DR333" s="455"/>
      <c r="DS333" s="455"/>
      <c r="DT333" s="455"/>
      <c r="DU333" s="455"/>
      <c r="DV333" s="455"/>
      <c r="DW333" s="455"/>
      <c r="DX333" s="455"/>
      <c r="DY333" s="455"/>
      <c r="DZ333" s="455"/>
      <c r="EA333" s="455"/>
      <c r="EB333" s="455"/>
      <c r="EC333" s="455"/>
      <c r="ED333" s="455"/>
      <c r="EE333" s="455"/>
      <c r="EF333" s="455"/>
      <c r="EG333" s="455"/>
      <c r="EH333" s="455"/>
      <c r="EI333" s="455"/>
      <c r="EJ333" s="455"/>
      <c r="EK333" s="455"/>
      <c r="EL333" s="455"/>
      <c r="EM333" s="455"/>
      <c r="EN333" s="455"/>
      <c r="EO333" s="455"/>
      <c r="EP333" s="455"/>
      <c r="EQ333" s="455"/>
      <c r="ER333" s="455"/>
      <c r="ES333" s="455"/>
      <c r="ET333" s="455"/>
      <c r="EU333" s="455"/>
      <c r="EV333" s="455"/>
      <c r="EW333" s="455"/>
      <c r="EX333" s="455"/>
      <c r="EY333" s="455"/>
      <c r="EZ333" s="455"/>
      <c r="FA333" s="455"/>
      <c r="FB333" s="455"/>
      <c r="FC333" s="455"/>
      <c r="FD333" s="455"/>
      <c r="FE333" s="455"/>
      <c r="FF333" s="455"/>
      <c r="FG333" s="455"/>
      <c r="FH333" s="455"/>
      <c r="FI333" s="455"/>
      <c r="FJ333" s="455"/>
      <c r="FK333" s="455"/>
      <c r="FL333" s="455"/>
      <c r="FM333" s="455"/>
      <c r="FN333" s="455"/>
      <c r="FO333" s="455"/>
      <c r="FP333" s="455"/>
      <c r="FQ333" s="455"/>
      <c r="FR333" s="455"/>
      <c r="FS333" s="455"/>
      <c r="FT333" s="455"/>
      <c r="FU333" s="455"/>
      <c r="FV333" s="455"/>
      <c r="FW333" s="455"/>
      <c r="FX333" s="455"/>
      <c r="FY333" s="455"/>
      <c r="FZ333" s="455"/>
      <c r="GA333" s="455"/>
      <c r="GB333" s="455"/>
      <c r="GC333" s="455"/>
      <c r="GD333" s="455"/>
      <c r="GE333" s="455"/>
      <c r="GF333" s="455"/>
      <c r="GG333" s="455"/>
      <c r="GH333" s="455"/>
      <c r="GI333" s="455"/>
      <c r="GJ333" s="455"/>
      <c r="GK333" s="455"/>
      <c r="GL333" s="455"/>
      <c r="GM333" s="455"/>
      <c r="GN333" s="455"/>
      <c r="GO333" s="455"/>
      <c r="GP333" s="455"/>
      <c r="GQ333" s="455"/>
      <c r="GR333" s="455"/>
      <c r="GS333" s="455"/>
      <c r="GT333" s="455"/>
      <c r="GU333" s="455"/>
      <c r="GV333" s="455"/>
      <c r="GW333" s="455"/>
      <c r="GX333" s="455"/>
      <c r="GY333" s="455"/>
      <c r="GZ333" s="455"/>
      <c r="HA333" s="455"/>
      <c r="HB333" s="455"/>
      <c r="HC333" s="455"/>
      <c r="HD333" s="455"/>
      <c r="HE333" s="455"/>
      <c r="HF333" s="455"/>
      <c r="HG333" s="455"/>
      <c r="HH333" s="455"/>
      <c r="HI333" s="455"/>
      <c r="HJ333" s="455"/>
      <c r="HK333" s="455"/>
      <c r="HL333" s="455"/>
      <c r="HM333" s="455"/>
      <c r="HN333" s="455"/>
      <c r="HO333" s="455"/>
      <c r="HP333" s="455"/>
      <c r="HQ333" s="455"/>
      <c r="HR333" s="455"/>
      <c r="HS333" s="455"/>
      <c r="HT333" s="455"/>
      <c r="HU333" s="455"/>
      <c r="HV333" s="455"/>
      <c r="HW333" s="455"/>
      <c r="HX333" s="455"/>
      <c r="HY333" s="455"/>
      <c r="HZ333" s="455"/>
      <c r="IA333" s="455"/>
      <c r="IB333" s="455"/>
      <c r="IC333" s="455"/>
      <c r="ID333" s="455"/>
      <c r="IE333" s="455"/>
      <c r="IF333" s="455"/>
      <c r="IG333" s="455"/>
      <c r="IH333" s="455"/>
      <c r="II333" s="455"/>
      <c r="IJ333" s="455"/>
      <c r="IK333" s="455"/>
      <c r="IL333" s="455"/>
      <c r="IM333" s="455"/>
      <c r="IN333" s="455"/>
      <c r="IO333" s="455"/>
      <c r="IP333" s="455"/>
      <c r="IQ333" s="455"/>
      <c r="IR333" s="455"/>
      <c r="IS333" s="455"/>
    </row>
    <row r="334" spans="1:253" s="458" customFormat="1" ht="45" x14ac:dyDescent="0.2">
      <c r="A334" s="444">
        <v>3371</v>
      </c>
      <c r="B334" s="445" t="s">
        <v>51</v>
      </c>
      <c r="C334" s="445" t="s">
        <v>52</v>
      </c>
      <c r="D334" s="445" t="s">
        <v>91</v>
      </c>
      <c r="E334" s="445"/>
      <c r="F334" s="445"/>
      <c r="G334" s="446">
        <v>104</v>
      </c>
      <c r="H334" s="445">
        <v>91</v>
      </c>
      <c r="I334" s="445"/>
      <c r="J334" s="445">
        <v>2</v>
      </c>
      <c r="K334" s="447">
        <v>2</v>
      </c>
      <c r="L334" s="445"/>
      <c r="M334" s="445">
        <v>5</v>
      </c>
      <c r="N334" s="445" t="s">
        <v>72</v>
      </c>
      <c r="O334" s="449" t="s">
        <v>1358</v>
      </c>
      <c r="P334" s="450">
        <v>1.2250000000000001</v>
      </c>
      <c r="Q334" s="451">
        <f t="shared" si="8"/>
        <v>1.2250000000000001</v>
      </c>
      <c r="R334" s="451">
        <f>SUMIF('Wege im Detail'!$A:$A,"3371",'Wege im Detail'!$P:$P)</f>
        <v>5.5470000000000006</v>
      </c>
      <c r="S334" s="452" t="s">
        <v>1359</v>
      </c>
      <c r="T334" s="453">
        <v>43891</v>
      </c>
      <c r="U334" s="448"/>
      <c r="V334" s="685"/>
      <c r="W334" s="448"/>
    </row>
    <row r="335" spans="1:253" s="458" customFormat="1" ht="45" x14ac:dyDescent="0.2">
      <c r="A335" s="444">
        <v>3373</v>
      </c>
      <c r="B335" s="445" t="s">
        <v>51</v>
      </c>
      <c r="C335" s="445" t="s">
        <v>52</v>
      </c>
      <c r="D335" s="445" t="s">
        <v>91</v>
      </c>
      <c r="E335" s="445"/>
      <c r="F335" s="445"/>
      <c r="G335" s="446">
        <v>54</v>
      </c>
      <c r="H335" s="445">
        <v>80</v>
      </c>
      <c r="I335" s="445"/>
      <c r="J335" s="445">
        <v>1</v>
      </c>
      <c r="K335" s="447">
        <v>2</v>
      </c>
      <c r="L335" s="445"/>
      <c r="M335" s="445">
        <v>2</v>
      </c>
      <c r="N335" s="445" t="s">
        <v>67</v>
      </c>
      <c r="O335" s="449" t="s">
        <v>1360</v>
      </c>
      <c r="P335" s="450">
        <v>11.608000000000001</v>
      </c>
      <c r="Q335" s="451">
        <f t="shared" si="8"/>
        <v>11.608000000000001</v>
      </c>
      <c r="R335" s="451">
        <f>SUMIF('Wege im Detail'!$A:$A,"3373",'Wege im Detail'!$P:$P)</f>
        <v>21.700000000000003</v>
      </c>
      <c r="S335" s="452" t="s">
        <v>435</v>
      </c>
      <c r="T335" s="453">
        <v>43891</v>
      </c>
      <c r="U335" s="448"/>
      <c r="V335" s="684"/>
      <c r="W335" s="448"/>
      <c r="X335" s="455"/>
      <c r="Y335" s="455"/>
      <c r="Z335" s="455"/>
      <c r="AA335" s="455"/>
      <c r="AB335" s="455"/>
      <c r="AC335" s="455"/>
      <c r="AD335" s="455"/>
      <c r="AE335" s="455"/>
      <c r="AF335" s="455"/>
      <c r="AG335" s="455"/>
      <c r="AH335" s="455"/>
      <c r="AI335" s="455"/>
      <c r="AJ335" s="455"/>
      <c r="AK335" s="455"/>
      <c r="AL335" s="455"/>
      <c r="AM335" s="455"/>
      <c r="AN335" s="455"/>
      <c r="AO335" s="455"/>
      <c r="AP335" s="455"/>
      <c r="AQ335" s="455"/>
      <c r="AR335" s="455"/>
      <c r="AS335" s="455"/>
      <c r="AT335" s="455"/>
      <c r="AU335" s="455"/>
      <c r="AV335" s="455"/>
      <c r="AW335" s="455"/>
      <c r="AX335" s="455"/>
      <c r="AY335" s="455"/>
      <c r="AZ335" s="455"/>
      <c r="BA335" s="455"/>
      <c r="BB335" s="455"/>
      <c r="BC335" s="455"/>
      <c r="BD335" s="455"/>
      <c r="BE335" s="455"/>
      <c r="BF335" s="455"/>
      <c r="BG335" s="455"/>
      <c r="BH335" s="455"/>
      <c r="BI335" s="455"/>
      <c r="BJ335" s="455"/>
      <c r="BK335" s="455"/>
      <c r="BL335" s="455"/>
      <c r="BM335" s="455"/>
      <c r="BN335" s="455"/>
      <c r="BO335" s="455"/>
      <c r="BP335" s="455"/>
      <c r="BQ335" s="455"/>
      <c r="BR335" s="455"/>
      <c r="BS335" s="455"/>
      <c r="BT335" s="455"/>
      <c r="BU335" s="455"/>
      <c r="BV335" s="455"/>
      <c r="BW335" s="455"/>
      <c r="BX335" s="455"/>
      <c r="BY335" s="455"/>
      <c r="BZ335" s="455"/>
      <c r="CA335" s="455"/>
      <c r="CB335" s="455"/>
      <c r="CC335" s="455"/>
      <c r="CD335" s="455"/>
      <c r="CE335" s="455"/>
      <c r="CF335" s="455"/>
      <c r="CG335" s="455"/>
      <c r="CH335" s="455"/>
      <c r="CI335" s="455"/>
      <c r="CJ335" s="455"/>
      <c r="CK335" s="455"/>
      <c r="CL335" s="455"/>
      <c r="CM335" s="455"/>
      <c r="CN335" s="455"/>
      <c r="CO335" s="455"/>
      <c r="CP335" s="455"/>
      <c r="CQ335" s="455"/>
      <c r="CR335" s="455"/>
      <c r="CS335" s="455"/>
      <c r="CT335" s="455"/>
      <c r="CU335" s="455"/>
      <c r="CV335" s="455"/>
      <c r="CW335" s="455"/>
      <c r="CX335" s="455"/>
      <c r="CY335" s="455"/>
      <c r="CZ335" s="455"/>
      <c r="DA335" s="455"/>
      <c r="DB335" s="455"/>
      <c r="DC335" s="455"/>
      <c r="DD335" s="455"/>
      <c r="DE335" s="455"/>
      <c r="DF335" s="455"/>
      <c r="DG335" s="455"/>
      <c r="DH335" s="455"/>
      <c r="DI335" s="455"/>
      <c r="DJ335" s="455"/>
      <c r="DK335" s="455"/>
      <c r="DL335" s="455"/>
      <c r="DM335" s="455"/>
      <c r="DN335" s="455"/>
      <c r="DO335" s="455"/>
      <c r="DP335" s="455"/>
      <c r="DQ335" s="455"/>
      <c r="DR335" s="455"/>
      <c r="DS335" s="455"/>
      <c r="DT335" s="455"/>
      <c r="DU335" s="455"/>
      <c r="DV335" s="455"/>
      <c r="DW335" s="455"/>
      <c r="DX335" s="455"/>
      <c r="DY335" s="455"/>
      <c r="DZ335" s="455"/>
      <c r="EA335" s="455"/>
      <c r="EB335" s="455"/>
      <c r="EC335" s="455"/>
      <c r="ED335" s="455"/>
      <c r="EE335" s="455"/>
      <c r="EF335" s="455"/>
      <c r="EG335" s="455"/>
      <c r="EH335" s="455"/>
      <c r="EI335" s="455"/>
      <c r="EJ335" s="455"/>
      <c r="EK335" s="455"/>
      <c r="EL335" s="455"/>
      <c r="EM335" s="455"/>
      <c r="EN335" s="455"/>
      <c r="EO335" s="455"/>
      <c r="EP335" s="455"/>
      <c r="EQ335" s="455"/>
      <c r="ER335" s="455"/>
      <c r="ES335" s="455"/>
      <c r="ET335" s="455"/>
      <c r="EU335" s="455"/>
      <c r="EV335" s="455"/>
      <c r="EW335" s="455"/>
      <c r="EX335" s="455"/>
      <c r="EY335" s="455"/>
      <c r="EZ335" s="455"/>
      <c r="FA335" s="455"/>
      <c r="FB335" s="455"/>
      <c r="FC335" s="455"/>
      <c r="FD335" s="455"/>
      <c r="FE335" s="455"/>
      <c r="FF335" s="455"/>
      <c r="FG335" s="455"/>
      <c r="FH335" s="455"/>
      <c r="FI335" s="455"/>
      <c r="FJ335" s="455"/>
      <c r="FK335" s="455"/>
      <c r="FL335" s="455"/>
      <c r="FM335" s="455"/>
      <c r="FN335" s="455"/>
      <c r="FO335" s="455"/>
      <c r="FP335" s="455"/>
      <c r="FQ335" s="455"/>
      <c r="FR335" s="455"/>
      <c r="FS335" s="455"/>
      <c r="FT335" s="455"/>
      <c r="FU335" s="455"/>
      <c r="FV335" s="455"/>
      <c r="FW335" s="455"/>
      <c r="FX335" s="455"/>
      <c r="FY335" s="455"/>
      <c r="FZ335" s="455"/>
      <c r="GA335" s="455"/>
      <c r="GB335" s="455"/>
      <c r="GC335" s="455"/>
      <c r="GD335" s="455"/>
      <c r="GE335" s="455"/>
      <c r="GF335" s="455"/>
      <c r="GG335" s="455"/>
      <c r="GH335" s="455"/>
      <c r="GI335" s="455"/>
      <c r="GJ335" s="455"/>
      <c r="GK335" s="455"/>
      <c r="GL335" s="455"/>
      <c r="GM335" s="455"/>
      <c r="GN335" s="455"/>
      <c r="GO335" s="455"/>
      <c r="GP335" s="455"/>
      <c r="GQ335" s="455"/>
      <c r="GR335" s="455"/>
      <c r="GS335" s="455"/>
      <c r="GT335" s="455"/>
      <c r="GU335" s="455"/>
      <c r="GV335" s="455"/>
      <c r="GW335" s="455"/>
      <c r="GX335" s="455"/>
      <c r="GY335" s="455"/>
      <c r="GZ335" s="455"/>
      <c r="HA335" s="455"/>
      <c r="HB335" s="455"/>
      <c r="HC335" s="455"/>
      <c r="HD335" s="455"/>
      <c r="HE335" s="455"/>
      <c r="HF335" s="455"/>
      <c r="HG335" s="455"/>
      <c r="HH335" s="455"/>
      <c r="HI335" s="455"/>
      <c r="HJ335" s="455"/>
      <c r="HK335" s="455"/>
      <c r="HL335" s="455"/>
      <c r="HM335" s="455"/>
      <c r="HN335" s="455"/>
      <c r="HO335" s="455"/>
      <c r="HP335" s="455"/>
      <c r="HQ335" s="455"/>
      <c r="HR335" s="455"/>
      <c r="HS335" s="455"/>
      <c r="HT335" s="455"/>
      <c r="HU335" s="455"/>
      <c r="HV335" s="455"/>
      <c r="HW335" s="455"/>
      <c r="HX335" s="455"/>
      <c r="HY335" s="455"/>
      <c r="HZ335" s="455"/>
      <c r="IA335" s="455"/>
      <c r="IB335" s="455"/>
      <c r="IC335" s="455"/>
      <c r="ID335" s="455"/>
      <c r="IE335" s="455"/>
      <c r="IF335" s="455"/>
      <c r="IG335" s="455"/>
      <c r="IH335" s="455"/>
      <c r="II335" s="455"/>
      <c r="IJ335" s="455"/>
      <c r="IK335" s="455"/>
      <c r="IL335" s="455"/>
      <c r="IM335" s="455"/>
      <c r="IN335" s="455"/>
      <c r="IO335" s="455"/>
      <c r="IP335" s="455"/>
      <c r="IQ335" s="455"/>
      <c r="IR335" s="455"/>
      <c r="IS335" s="455"/>
    </row>
    <row r="336" spans="1:253" s="458" customFormat="1" ht="33.75" x14ac:dyDescent="0.2">
      <c r="A336" s="444">
        <v>3373</v>
      </c>
      <c r="B336" s="445" t="s">
        <v>51</v>
      </c>
      <c r="C336" s="445" t="s">
        <v>52</v>
      </c>
      <c r="D336" s="445" t="s">
        <v>91</v>
      </c>
      <c r="E336" s="445"/>
      <c r="F336" s="445"/>
      <c r="G336" s="446">
        <v>54</v>
      </c>
      <c r="H336" s="445">
        <v>80</v>
      </c>
      <c r="I336" s="445"/>
      <c r="J336" s="445">
        <v>2</v>
      </c>
      <c r="K336" s="447">
        <v>2</v>
      </c>
      <c r="L336" s="445"/>
      <c r="M336" s="445">
        <v>1</v>
      </c>
      <c r="N336" s="445" t="s">
        <v>425</v>
      </c>
      <c r="O336" s="449" t="s">
        <v>1361</v>
      </c>
      <c r="P336" s="450">
        <v>10.092000000000001</v>
      </c>
      <c r="Q336" s="451">
        <f t="shared" si="8"/>
        <v>10.092000000000001</v>
      </c>
      <c r="R336" s="451">
        <f>SUMIF('Wege im Detail'!$A:$A,"3373",'Wege im Detail'!$P:$P)</f>
        <v>21.700000000000003</v>
      </c>
      <c r="S336" s="452" t="s">
        <v>435</v>
      </c>
      <c r="T336" s="453">
        <v>43891</v>
      </c>
      <c r="U336" s="448"/>
      <c r="V336" s="457" t="s">
        <v>58</v>
      </c>
      <c r="W336" s="448"/>
    </row>
    <row r="337" spans="1:253" s="458" customFormat="1" ht="45" x14ac:dyDescent="0.2">
      <c r="A337" s="444">
        <v>3376</v>
      </c>
      <c r="B337" s="445" t="s">
        <v>51</v>
      </c>
      <c r="C337" s="445" t="s">
        <v>52</v>
      </c>
      <c r="D337" s="445" t="s">
        <v>91</v>
      </c>
      <c r="E337" s="445"/>
      <c r="F337" s="445"/>
      <c r="G337" s="446">
        <v>57</v>
      </c>
      <c r="H337" s="445">
        <v>81</v>
      </c>
      <c r="I337" s="445" t="s">
        <v>117</v>
      </c>
      <c r="J337" s="445">
        <v>2</v>
      </c>
      <c r="K337" s="447">
        <v>2</v>
      </c>
      <c r="L337" s="445"/>
      <c r="M337" s="445">
        <v>1</v>
      </c>
      <c r="N337" s="445" t="s">
        <v>656</v>
      </c>
      <c r="O337" s="449" t="s">
        <v>1362</v>
      </c>
      <c r="P337" s="450">
        <v>6.18</v>
      </c>
      <c r="Q337" s="451">
        <f t="shared" si="8"/>
        <v>6.18</v>
      </c>
      <c r="R337" s="451">
        <f>SUMIF('Wege im Detail'!$A:$A,"3376",'Wege im Detail'!$P:$P)</f>
        <v>11.216999999999999</v>
      </c>
      <c r="S337" s="452" t="s">
        <v>437</v>
      </c>
      <c r="T337" s="453">
        <v>43891</v>
      </c>
      <c r="U337" s="448"/>
      <c r="V337" s="455"/>
      <c r="W337" s="448"/>
      <c r="X337" s="455"/>
      <c r="Y337" s="455"/>
      <c r="Z337" s="455"/>
      <c r="AA337" s="455"/>
      <c r="AB337" s="455"/>
      <c r="AC337" s="455"/>
      <c r="AD337" s="455"/>
      <c r="AE337" s="455"/>
      <c r="AF337" s="455"/>
      <c r="AG337" s="455"/>
      <c r="AH337" s="455"/>
      <c r="AI337" s="455"/>
      <c r="AJ337" s="455"/>
      <c r="AK337" s="455"/>
      <c r="AL337" s="455"/>
      <c r="AM337" s="455"/>
      <c r="AN337" s="455"/>
      <c r="AO337" s="455"/>
      <c r="AP337" s="455"/>
      <c r="AQ337" s="455"/>
      <c r="AR337" s="455"/>
      <c r="AS337" s="455"/>
      <c r="AT337" s="455"/>
      <c r="AU337" s="455"/>
      <c r="AV337" s="455"/>
      <c r="AW337" s="455"/>
      <c r="AX337" s="455"/>
      <c r="AY337" s="455"/>
      <c r="AZ337" s="455"/>
      <c r="BA337" s="455"/>
      <c r="BB337" s="455"/>
      <c r="BC337" s="455"/>
      <c r="BD337" s="455"/>
      <c r="BE337" s="455"/>
      <c r="BF337" s="455"/>
      <c r="BG337" s="455"/>
      <c r="BH337" s="455"/>
      <c r="BI337" s="455"/>
      <c r="BJ337" s="455"/>
      <c r="BK337" s="455"/>
      <c r="BL337" s="455"/>
      <c r="BM337" s="455"/>
      <c r="BN337" s="455"/>
      <c r="BO337" s="455"/>
      <c r="BP337" s="455"/>
      <c r="BQ337" s="455"/>
      <c r="BR337" s="455"/>
      <c r="BS337" s="455"/>
      <c r="BT337" s="455"/>
      <c r="BU337" s="455"/>
      <c r="BV337" s="455"/>
      <c r="BW337" s="455"/>
      <c r="BX337" s="455"/>
      <c r="BY337" s="455"/>
      <c r="BZ337" s="455"/>
      <c r="CA337" s="455"/>
      <c r="CB337" s="455"/>
      <c r="CC337" s="455"/>
      <c r="CD337" s="455"/>
      <c r="CE337" s="455"/>
      <c r="CF337" s="455"/>
      <c r="CG337" s="455"/>
      <c r="CH337" s="455"/>
      <c r="CI337" s="455"/>
      <c r="CJ337" s="455"/>
      <c r="CK337" s="455"/>
      <c r="CL337" s="455"/>
      <c r="CM337" s="455"/>
      <c r="CN337" s="455"/>
      <c r="CO337" s="455"/>
      <c r="CP337" s="455"/>
      <c r="CQ337" s="455"/>
      <c r="CR337" s="455"/>
      <c r="CS337" s="455"/>
      <c r="CT337" s="455"/>
      <c r="CU337" s="455"/>
      <c r="CV337" s="455"/>
      <c r="CW337" s="455"/>
      <c r="CX337" s="455"/>
      <c r="CY337" s="455"/>
      <c r="CZ337" s="455"/>
      <c r="DA337" s="455"/>
      <c r="DB337" s="455"/>
      <c r="DC337" s="455"/>
      <c r="DD337" s="455"/>
      <c r="DE337" s="455"/>
      <c r="DF337" s="455"/>
      <c r="DG337" s="455"/>
      <c r="DH337" s="455"/>
      <c r="DI337" s="455"/>
      <c r="DJ337" s="455"/>
      <c r="DK337" s="455"/>
      <c r="DL337" s="455"/>
      <c r="DM337" s="455"/>
      <c r="DN337" s="455"/>
      <c r="DO337" s="455"/>
      <c r="DP337" s="455"/>
      <c r="DQ337" s="455"/>
      <c r="DR337" s="455"/>
      <c r="DS337" s="455"/>
      <c r="DT337" s="455"/>
      <c r="DU337" s="455"/>
      <c r="DV337" s="455"/>
      <c r="DW337" s="455"/>
      <c r="DX337" s="455"/>
      <c r="DY337" s="455"/>
      <c r="DZ337" s="455"/>
      <c r="EA337" s="455"/>
      <c r="EB337" s="455"/>
      <c r="EC337" s="455"/>
      <c r="ED337" s="455"/>
      <c r="EE337" s="455"/>
      <c r="EF337" s="455"/>
      <c r="EG337" s="455"/>
      <c r="EH337" s="455"/>
      <c r="EI337" s="455"/>
      <c r="EJ337" s="455"/>
      <c r="EK337" s="455"/>
      <c r="EL337" s="455"/>
      <c r="EM337" s="455"/>
      <c r="EN337" s="455"/>
      <c r="EO337" s="455"/>
      <c r="EP337" s="455"/>
      <c r="EQ337" s="455"/>
      <c r="ER337" s="455"/>
      <c r="ES337" s="455"/>
      <c r="ET337" s="455"/>
      <c r="EU337" s="455"/>
      <c r="EV337" s="455"/>
      <c r="EW337" s="455"/>
      <c r="EX337" s="455"/>
      <c r="EY337" s="455"/>
      <c r="EZ337" s="455"/>
      <c r="FA337" s="455"/>
      <c r="FB337" s="455"/>
      <c r="FC337" s="455"/>
      <c r="FD337" s="455"/>
      <c r="FE337" s="455"/>
      <c r="FF337" s="455"/>
      <c r="FG337" s="455"/>
      <c r="FH337" s="455"/>
      <c r="FI337" s="455"/>
      <c r="FJ337" s="455"/>
      <c r="FK337" s="455"/>
      <c r="FL337" s="455"/>
      <c r="FM337" s="455"/>
      <c r="FN337" s="455"/>
      <c r="FO337" s="455"/>
      <c r="FP337" s="455"/>
      <c r="FQ337" s="455"/>
      <c r="FR337" s="455"/>
      <c r="FS337" s="455"/>
      <c r="FT337" s="455"/>
      <c r="FU337" s="455"/>
      <c r="FV337" s="455"/>
      <c r="FW337" s="455"/>
      <c r="FX337" s="455"/>
      <c r="FY337" s="455"/>
      <c r="FZ337" s="455"/>
      <c r="GA337" s="455"/>
      <c r="GB337" s="455"/>
      <c r="GC337" s="455"/>
      <c r="GD337" s="455"/>
      <c r="GE337" s="455"/>
      <c r="GF337" s="455"/>
      <c r="GG337" s="455"/>
      <c r="GH337" s="455"/>
      <c r="GI337" s="455"/>
      <c r="GJ337" s="455"/>
      <c r="GK337" s="455"/>
      <c r="GL337" s="455"/>
      <c r="GM337" s="455"/>
      <c r="GN337" s="455"/>
      <c r="GO337" s="455"/>
      <c r="GP337" s="455"/>
      <c r="GQ337" s="455"/>
      <c r="GR337" s="455"/>
      <c r="GS337" s="455"/>
      <c r="GT337" s="455"/>
      <c r="GU337" s="455"/>
      <c r="GV337" s="455"/>
      <c r="GW337" s="455"/>
      <c r="GX337" s="455"/>
      <c r="GY337" s="455"/>
      <c r="GZ337" s="455"/>
      <c r="HA337" s="455"/>
      <c r="HB337" s="455"/>
      <c r="HC337" s="455"/>
      <c r="HD337" s="455"/>
      <c r="HE337" s="455"/>
      <c r="HF337" s="455"/>
      <c r="HG337" s="455"/>
      <c r="HH337" s="455"/>
      <c r="HI337" s="455"/>
      <c r="HJ337" s="455"/>
      <c r="HK337" s="455"/>
      <c r="HL337" s="455"/>
      <c r="HM337" s="455"/>
      <c r="HN337" s="455"/>
      <c r="HO337" s="455"/>
      <c r="HP337" s="455"/>
      <c r="HQ337" s="455"/>
      <c r="HR337" s="455"/>
      <c r="HS337" s="455"/>
      <c r="HT337" s="455"/>
      <c r="HU337" s="455"/>
      <c r="HV337" s="455"/>
      <c r="HW337" s="455"/>
      <c r="HX337" s="455"/>
      <c r="HY337" s="455"/>
      <c r="HZ337" s="455"/>
      <c r="IA337" s="455"/>
      <c r="IB337" s="455"/>
      <c r="IC337" s="455"/>
      <c r="ID337" s="455"/>
      <c r="IE337" s="455"/>
      <c r="IF337" s="455"/>
      <c r="IG337" s="455"/>
      <c r="IH337" s="455"/>
      <c r="II337" s="455"/>
      <c r="IJ337" s="455"/>
      <c r="IK337" s="455"/>
      <c r="IL337" s="455"/>
      <c r="IM337" s="455"/>
      <c r="IN337" s="455"/>
      <c r="IO337" s="455"/>
      <c r="IP337" s="455"/>
      <c r="IQ337" s="455"/>
      <c r="IR337" s="455"/>
      <c r="IS337" s="455"/>
    </row>
    <row r="338" spans="1:253" s="458" customFormat="1" ht="45" x14ac:dyDescent="0.2">
      <c r="A338" s="444">
        <v>3376</v>
      </c>
      <c r="B338" s="445" t="s">
        <v>51</v>
      </c>
      <c r="C338" s="445" t="s">
        <v>52</v>
      </c>
      <c r="D338" s="445" t="s">
        <v>91</v>
      </c>
      <c r="E338" s="445"/>
      <c r="F338" s="445"/>
      <c r="G338" s="446">
        <v>57</v>
      </c>
      <c r="H338" s="445">
        <v>81</v>
      </c>
      <c r="I338" s="445" t="s">
        <v>117</v>
      </c>
      <c r="J338" s="445">
        <v>1</v>
      </c>
      <c r="K338" s="447">
        <v>2</v>
      </c>
      <c r="L338" s="445"/>
      <c r="M338" s="445">
        <v>1</v>
      </c>
      <c r="N338" s="445" t="s">
        <v>436</v>
      </c>
      <c r="O338" s="449" t="s">
        <v>1363</v>
      </c>
      <c r="P338" s="450">
        <v>5.0369999999999999</v>
      </c>
      <c r="Q338" s="451">
        <f t="shared" si="8"/>
        <v>5.0369999999999999</v>
      </c>
      <c r="R338" s="451">
        <f>SUMIF('Wege im Detail'!$A:$A,"3376",'Wege im Detail'!$P:$P)</f>
        <v>11.216999999999999</v>
      </c>
      <c r="S338" s="452" t="s">
        <v>437</v>
      </c>
      <c r="T338" s="453">
        <v>43891</v>
      </c>
      <c r="U338" s="448"/>
      <c r="V338" s="455"/>
      <c r="W338" s="448"/>
    </row>
    <row r="339" spans="1:253" s="458" customFormat="1" ht="33.75" x14ac:dyDescent="0.2">
      <c r="A339" s="444">
        <v>3377</v>
      </c>
      <c r="B339" s="445" t="s">
        <v>51</v>
      </c>
      <c r="C339" s="445" t="s">
        <v>52</v>
      </c>
      <c r="D339" s="445" t="s">
        <v>91</v>
      </c>
      <c r="E339" s="445"/>
      <c r="F339" s="445"/>
      <c r="G339" s="446">
        <v>55</v>
      </c>
      <c r="H339" s="445">
        <v>82</v>
      </c>
      <c r="I339" s="445"/>
      <c r="J339" s="445">
        <v>1</v>
      </c>
      <c r="K339" s="447">
        <v>3</v>
      </c>
      <c r="L339" s="445"/>
      <c r="M339" s="445">
        <v>1</v>
      </c>
      <c r="N339" s="445" t="s">
        <v>425</v>
      </c>
      <c r="O339" s="464" t="s">
        <v>1364</v>
      </c>
      <c r="P339" s="450">
        <v>1.99</v>
      </c>
      <c r="Q339" s="451">
        <f t="shared" si="8"/>
        <v>1.99</v>
      </c>
      <c r="R339" s="451">
        <f>SUMIF('Wege im Detail'!$A:$A,"3377",'Wege im Detail'!$P:$P)</f>
        <v>5.2840000000000007</v>
      </c>
      <c r="S339" s="452" t="s">
        <v>439</v>
      </c>
      <c r="T339" s="453">
        <v>43891</v>
      </c>
      <c r="U339" s="448"/>
      <c r="V339" s="462"/>
      <c r="W339" s="448"/>
    </row>
    <row r="340" spans="1:253" s="458" customFormat="1" ht="45" x14ac:dyDescent="0.2">
      <c r="A340" s="444">
        <v>3377</v>
      </c>
      <c r="B340" s="445" t="s">
        <v>51</v>
      </c>
      <c r="C340" s="445" t="s">
        <v>52</v>
      </c>
      <c r="D340" s="445" t="s">
        <v>91</v>
      </c>
      <c r="E340" s="445"/>
      <c r="F340" s="445"/>
      <c r="G340" s="446">
        <v>55</v>
      </c>
      <c r="H340" s="445">
        <v>82</v>
      </c>
      <c r="I340" s="445"/>
      <c r="J340" s="445">
        <v>2</v>
      </c>
      <c r="K340" s="447">
        <v>3</v>
      </c>
      <c r="L340" s="445"/>
      <c r="M340" s="445">
        <v>1</v>
      </c>
      <c r="N340" s="445" t="s">
        <v>1021</v>
      </c>
      <c r="O340" s="464" t="s">
        <v>1365</v>
      </c>
      <c r="P340" s="450">
        <v>2.5990000000000002</v>
      </c>
      <c r="Q340" s="451">
        <f t="shared" si="8"/>
        <v>2.5990000000000002</v>
      </c>
      <c r="R340" s="451">
        <f>SUMIF('Wege im Detail'!$A:$A,"3377",'Wege im Detail'!$P:$P)</f>
        <v>5.2840000000000007</v>
      </c>
      <c r="S340" s="452" t="s">
        <v>439</v>
      </c>
      <c r="T340" s="453">
        <v>43891</v>
      </c>
      <c r="U340" s="448"/>
      <c r="V340" s="462"/>
      <c r="W340" s="448"/>
    </row>
    <row r="341" spans="1:253" s="458" customFormat="1" ht="33.75" x14ac:dyDescent="0.2">
      <c r="A341" s="444">
        <v>3377</v>
      </c>
      <c r="B341" s="445" t="s">
        <v>51</v>
      </c>
      <c r="C341" s="445" t="s">
        <v>52</v>
      </c>
      <c r="D341" s="445" t="s">
        <v>91</v>
      </c>
      <c r="E341" s="445"/>
      <c r="F341" s="445"/>
      <c r="G341" s="446">
        <v>55</v>
      </c>
      <c r="H341" s="445">
        <v>82</v>
      </c>
      <c r="I341" s="445"/>
      <c r="J341" s="445">
        <v>3</v>
      </c>
      <c r="K341" s="447">
        <v>3</v>
      </c>
      <c r="L341" s="445"/>
      <c r="M341" s="445">
        <v>1</v>
      </c>
      <c r="N341" s="445" t="s">
        <v>1021</v>
      </c>
      <c r="O341" s="464" t="s">
        <v>1366</v>
      </c>
      <c r="P341" s="450">
        <v>0.69499999999999995</v>
      </c>
      <c r="Q341" s="451">
        <f t="shared" si="8"/>
        <v>0.69499999999999995</v>
      </c>
      <c r="R341" s="451">
        <f>SUMIF('Wege im Detail'!$A:$A,"3377",'Wege im Detail'!$P:$P)</f>
        <v>5.2840000000000007</v>
      </c>
      <c r="S341" s="452" t="s">
        <v>439</v>
      </c>
      <c r="T341" s="453">
        <v>43891</v>
      </c>
      <c r="U341" s="448"/>
      <c r="V341" s="462"/>
      <c r="W341" s="448"/>
    </row>
    <row r="342" spans="1:253" s="458" customFormat="1" ht="45" x14ac:dyDescent="0.2">
      <c r="A342" s="444">
        <v>3378</v>
      </c>
      <c r="B342" s="445" t="s">
        <v>51</v>
      </c>
      <c r="C342" s="445" t="s">
        <v>52</v>
      </c>
      <c r="D342" s="445" t="s">
        <v>91</v>
      </c>
      <c r="E342" s="445"/>
      <c r="F342" s="445"/>
      <c r="G342" s="446">
        <v>64</v>
      </c>
      <c r="H342" s="445">
        <v>85</v>
      </c>
      <c r="I342" s="445"/>
      <c r="J342" s="445">
        <v>1</v>
      </c>
      <c r="K342" s="447">
        <v>1</v>
      </c>
      <c r="L342" s="445"/>
      <c r="M342" s="445">
        <v>1</v>
      </c>
      <c r="N342" s="445" t="s">
        <v>425</v>
      </c>
      <c r="O342" s="464" t="s">
        <v>1367</v>
      </c>
      <c r="P342" s="450">
        <v>7.01</v>
      </c>
      <c r="Q342" s="451">
        <f t="shared" si="8"/>
        <v>7.01</v>
      </c>
      <c r="R342" s="451">
        <f>SUMIF('Wege im Detail'!$A:$A,"3378",'Wege im Detail'!$P:$P)</f>
        <v>7.01</v>
      </c>
      <c r="S342" s="452" t="s">
        <v>1368</v>
      </c>
      <c r="T342" s="453">
        <v>43891</v>
      </c>
      <c r="U342" s="448"/>
      <c r="V342" s="455"/>
      <c r="W342" s="448"/>
      <c r="X342" s="455"/>
      <c r="Y342" s="455"/>
      <c r="Z342" s="455"/>
      <c r="AA342" s="455"/>
      <c r="AB342" s="455"/>
      <c r="AC342" s="455"/>
      <c r="AD342" s="455"/>
      <c r="AE342" s="455"/>
      <c r="AF342" s="455"/>
      <c r="AG342" s="455"/>
      <c r="AH342" s="455"/>
      <c r="AI342" s="455"/>
      <c r="AJ342" s="455"/>
      <c r="AK342" s="455"/>
      <c r="AL342" s="455"/>
      <c r="AM342" s="455"/>
      <c r="AN342" s="455"/>
      <c r="AO342" s="455"/>
      <c r="AP342" s="455"/>
      <c r="AQ342" s="455"/>
      <c r="AR342" s="455"/>
      <c r="AS342" s="455"/>
      <c r="AT342" s="455"/>
      <c r="AU342" s="455"/>
      <c r="AV342" s="455"/>
      <c r="AW342" s="455"/>
      <c r="AX342" s="455"/>
      <c r="AY342" s="455"/>
      <c r="AZ342" s="455"/>
      <c r="BA342" s="455"/>
      <c r="BB342" s="455"/>
      <c r="BC342" s="455"/>
      <c r="BD342" s="455"/>
      <c r="BE342" s="455"/>
      <c r="BF342" s="455"/>
      <c r="BG342" s="455"/>
      <c r="BH342" s="455"/>
      <c r="BI342" s="455"/>
      <c r="BJ342" s="455"/>
      <c r="BK342" s="455"/>
      <c r="BL342" s="455"/>
      <c r="BM342" s="455"/>
      <c r="BN342" s="455"/>
      <c r="BO342" s="455"/>
      <c r="BP342" s="455"/>
      <c r="BQ342" s="455"/>
      <c r="BR342" s="455"/>
      <c r="BS342" s="455"/>
      <c r="BT342" s="455"/>
      <c r="BU342" s="455"/>
      <c r="BV342" s="455"/>
      <c r="BW342" s="455"/>
      <c r="BX342" s="455"/>
      <c r="BY342" s="455"/>
      <c r="BZ342" s="455"/>
      <c r="CA342" s="455"/>
      <c r="CB342" s="455"/>
      <c r="CC342" s="455"/>
      <c r="CD342" s="455"/>
      <c r="CE342" s="455"/>
      <c r="CF342" s="455"/>
      <c r="CG342" s="455"/>
      <c r="CH342" s="455"/>
      <c r="CI342" s="455"/>
      <c r="CJ342" s="455"/>
      <c r="CK342" s="455"/>
      <c r="CL342" s="455"/>
      <c r="CM342" s="455"/>
      <c r="CN342" s="455"/>
      <c r="CO342" s="455"/>
      <c r="CP342" s="455"/>
      <c r="CQ342" s="455"/>
      <c r="CR342" s="455"/>
      <c r="CS342" s="455"/>
      <c r="CT342" s="455"/>
      <c r="CU342" s="455"/>
      <c r="CV342" s="455"/>
      <c r="CW342" s="455"/>
      <c r="CX342" s="455"/>
      <c r="CY342" s="455"/>
      <c r="CZ342" s="455"/>
      <c r="DA342" s="455"/>
      <c r="DB342" s="455"/>
      <c r="DC342" s="455"/>
      <c r="DD342" s="455"/>
      <c r="DE342" s="455"/>
      <c r="DF342" s="455"/>
      <c r="DG342" s="455"/>
      <c r="DH342" s="455"/>
      <c r="DI342" s="455"/>
      <c r="DJ342" s="455"/>
      <c r="DK342" s="455"/>
      <c r="DL342" s="455"/>
      <c r="DM342" s="455"/>
      <c r="DN342" s="455"/>
      <c r="DO342" s="455"/>
      <c r="DP342" s="455"/>
      <c r="DQ342" s="455"/>
      <c r="DR342" s="455"/>
      <c r="DS342" s="455"/>
      <c r="DT342" s="455"/>
      <c r="DU342" s="455"/>
      <c r="DV342" s="455"/>
      <c r="DW342" s="455"/>
      <c r="DX342" s="455"/>
      <c r="DY342" s="455"/>
      <c r="DZ342" s="455"/>
      <c r="EA342" s="455"/>
      <c r="EB342" s="455"/>
      <c r="EC342" s="455"/>
      <c r="ED342" s="455"/>
      <c r="EE342" s="455"/>
      <c r="EF342" s="455"/>
      <c r="EG342" s="455"/>
      <c r="EH342" s="455"/>
      <c r="EI342" s="455"/>
      <c r="EJ342" s="455"/>
      <c r="EK342" s="455"/>
      <c r="EL342" s="455"/>
      <c r="EM342" s="455"/>
      <c r="EN342" s="455"/>
      <c r="EO342" s="455"/>
      <c r="EP342" s="455"/>
      <c r="EQ342" s="455"/>
      <c r="ER342" s="455"/>
      <c r="ES342" s="455"/>
      <c r="ET342" s="455"/>
      <c r="EU342" s="455"/>
      <c r="EV342" s="455"/>
      <c r="EW342" s="455"/>
      <c r="EX342" s="455"/>
      <c r="EY342" s="455"/>
      <c r="EZ342" s="455"/>
      <c r="FA342" s="455"/>
      <c r="FB342" s="455"/>
      <c r="FC342" s="455"/>
      <c r="FD342" s="455"/>
      <c r="FE342" s="455"/>
      <c r="FF342" s="455"/>
      <c r="FG342" s="455"/>
      <c r="FH342" s="455"/>
      <c r="FI342" s="455"/>
      <c r="FJ342" s="455"/>
      <c r="FK342" s="455"/>
      <c r="FL342" s="455"/>
      <c r="FM342" s="455"/>
      <c r="FN342" s="455"/>
      <c r="FO342" s="455"/>
      <c r="FP342" s="455"/>
      <c r="FQ342" s="455"/>
      <c r="FR342" s="455"/>
      <c r="FS342" s="455"/>
      <c r="FT342" s="455"/>
      <c r="FU342" s="455"/>
      <c r="FV342" s="455"/>
      <c r="FW342" s="455"/>
      <c r="FX342" s="455"/>
      <c r="FY342" s="455"/>
      <c r="FZ342" s="455"/>
      <c r="GA342" s="455"/>
      <c r="GB342" s="455"/>
      <c r="GC342" s="455"/>
      <c r="GD342" s="455"/>
      <c r="GE342" s="455"/>
      <c r="GF342" s="455"/>
      <c r="GG342" s="455"/>
      <c r="GH342" s="455"/>
      <c r="GI342" s="455"/>
      <c r="GJ342" s="455"/>
      <c r="GK342" s="455"/>
      <c r="GL342" s="455"/>
      <c r="GM342" s="455"/>
      <c r="GN342" s="455"/>
      <c r="GO342" s="455"/>
      <c r="GP342" s="455"/>
      <c r="GQ342" s="455"/>
      <c r="GR342" s="455"/>
      <c r="GS342" s="455"/>
      <c r="GT342" s="455"/>
      <c r="GU342" s="455"/>
      <c r="GV342" s="455"/>
      <c r="GW342" s="455"/>
      <c r="GX342" s="455"/>
      <c r="GY342" s="455"/>
      <c r="GZ342" s="455"/>
      <c r="HA342" s="455"/>
      <c r="HB342" s="455"/>
      <c r="HC342" s="455"/>
      <c r="HD342" s="455"/>
      <c r="HE342" s="455"/>
      <c r="HF342" s="455"/>
      <c r="HG342" s="455"/>
      <c r="HH342" s="455"/>
      <c r="HI342" s="455"/>
      <c r="HJ342" s="455"/>
      <c r="HK342" s="455"/>
      <c r="HL342" s="455"/>
      <c r="HM342" s="455"/>
      <c r="HN342" s="455"/>
      <c r="HO342" s="455"/>
      <c r="HP342" s="455"/>
      <c r="HQ342" s="455"/>
      <c r="HR342" s="455"/>
      <c r="HS342" s="455"/>
      <c r="HT342" s="455"/>
      <c r="HU342" s="455"/>
      <c r="HV342" s="455"/>
      <c r="HW342" s="455"/>
      <c r="HX342" s="455"/>
      <c r="HY342" s="455"/>
      <c r="HZ342" s="455"/>
      <c r="IA342" s="455"/>
      <c r="IB342" s="455"/>
      <c r="IC342" s="455"/>
      <c r="ID342" s="455"/>
      <c r="IE342" s="455"/>
      <c r="IF342" s="455"/>
      <c r="IG342" s="455"/>
      <c r="IH342" s="455"/>
      <c r="II342" s="455"/>
      <c r="IJ342" s="455"/>
      <c r="IK342" s="455"/>
      <c r="IL342" s="455"/>
      <c r="IM342" s="455"/>
      <c r="IN342" s="455"/>
      <c r="IO342" s="455"/>
      <c r="IP342" s="455"/>
      <c r="IQ342" s="455"/>
      <c r="IR342" s="455"/>
      <c r="IS342" s="455"/>
    </row>
    <row r="343" spans="1:253" s="458" customFormat="1" ht="45" x14ac:dyDescent="0.2">
      <c r="A343" s="444">
        <v>3386</v>
      </c>
      <c r="B343" s="445" t="s">
        <v>51</v>
      </c>
      <c r="C343" s="445" t="s">
        <v>52</v>
      </c>
      <c r="D343" s="445" t="s">
        <v>91</v>
      </c>
      <c r="E343" s="445"/>
      <c r="F343" s="445"/>
      <c r="G343" s="446">
        <v>59</v>
      </c>
      <c r="H343" s="445">
        <v>83</v>
      </c>
      <c r="I343" s="445"/>
      <c r="J343" s="445">
        <v>1</v>
      </c>
      <c r="K343" s="447">
        <v>1</v>
      </c>
      <c r="L343" s="445"/>
      <c r="M343" s="445">
        <v>1</v>
      </c>
      <c r="N343" s="445" t="s">
        <v>425</v>
      </c>
      <c r="O343" s="464" t="s">
        <v>1369</v>
      </c>
      <c r="P343" s="450">
        <v>9.6859999999999999</v>
      </c>
      <c r="Q343" s="451">
        <f t="shared" si="8"/>
        <v>9.6859999999999999</v>
      </c>
      <c r="R343" s="451">
        <f>SUMIF('Wege im Detail'!$A:$A,"3386",'Wege im Detail'!$P:$P)</f>
        <v>9.6859999999999999</v>
      </c>
      <c r="S343" s="452" t="s">
        <v>441</v>
      </c>
      <c r="T343" s="453">
        <v>43891</v>
      </c>
      <c r="U343" s="448"/>
      <c r="V343" s="457"/>
      <c r="W343" s="448"/>
    </row>
    <row r="344" spans="1:253" s="458" customFormat="1" ht="45" x14ac:dyDescent="0.2">
      <c r="A344" s="444">
        <v>3387</v>
      </c>
      <c r="B344" s="445" t="s">
        <v>51</v>
      </c>
      <c r="C344" s="445" t="s">
        <v>52</v>
      </c>
      <c r="D344" s="445" t="s">
        <v>91</v>
      </c>
      <c r="E344" s="445"/>
      <c r="F344" s="445"/>
      <c r="G344" s="446">
        <v>104</v>
      </c>
      <c r="H344" s="445">
        <v>84</v>
      </c>
      <c r="I344" s="445"/>
      <c r="J344" s="445">
        <v>1</v>
      </c>
      <c r="K344" s="447">
        <v>1</v>
      </c>
      <c r="L344" s="445"/>
      <c r="M344" s="445">
        <v>1</v>
      </c>
      <c r="N344" s="445" t="s">
        <v>425</v>
      </c>
      <c r="O344" s="464" t="s">
        <v>1370</v>
      </c>
      <c r="P344" s="450">
        <v>6.1719999999999997</v>
      </c>
      <c r="Q344" s="451">
        <f t="shared" si="8"/>
        <v>6.1719999999999997</v>
      </c>
      <c r="R344" s="451">
        <f>SUMIF('Wege im Detail'!$A:$A,"3387",'Wege im Detail'!$P:$P)</f>
        <v>6.1719999999999997</v>
      </c>
      <c r="S344" s="452" t="s">
        <v>442</v>
      </c>
      <c r="T344" s="453">
        <v>43891</v>
      </c>
      <c r="U344" s="448"/>
      <c r="W344" s="448"/>
      <c r="X344" s="455"/>
      <c r="Y344" s="455"/>
      <c r="Z344" s="455"/>
      <c r="AA344" s="455"/>
      <c r="AB344" s="455"/>
      <c r="AC344" s="455"/>
      <c r="AD344" s="455"/>
      <c r="AE344" s="455"/>
      <c r="AF344" s="455"/>
      <c r="AG344" s="455"/>
      <c r="AH344" s="455"/>
      <c r="AI344" s="455"/>
      <c r="AJ344" s="455"/>
      <c r="AK344" s="455"/>
      <c r="AL344" s="455"/>
      <c r="AM344" s="455"/>
      <c r="AN344" s="455"/>
      <c r="AO344" s="455"/>
      <c r="AP344" s="455"/>
      <c r="AQ344" s="455"/>
      <c r="AR344" s="455"/>
      <c r="AS344" s="455"/>
      <c r="AT344" s="455"/>
      <c r="AU344" s="455"/>
      <c r="AV344" s="455"/>
      <c r="AW344" s="455"/>
      <c r="AX344" s="455"/>
      <c r="AY344" s="455"/>
      <c r="AZ344" s="455"/>
      <c r="BA344" s="455"/>
      <c r="BB344" s="455"/>
      <c r="BC344" s="455"/>
      <c r="BD344" s="455"/>
      <c r="BE344" s="455"/>
      <c r="BF344" s="455"/>
      <c r="BG344" s="455"/>
      <c r="BH344" s="455"/>
      <c r="BI344" s="455"/>
      <c r="BJ344" s="455"/>
      <c r="BK344" s="455"/>
      <c r="BL344" s="455"/>
      <c r="BM344" s="455"/>
      <c r="BN344" s="455"/>
      <c r="BO344" s="455"/>
      <c r="BP344" s="455"/>
      <c r="BQ344" s="455"/>
      <c r="BR344" s="455"/>
      <c r="BS344" s="455"/>
      <c r="BT344" s="455"/>
      <c r="BU344" s="455"/>
      <c r="BV344" s="455"/>
      <c r="BW344" s="455"/>
      <c r="BX344" s="455"/>
      <c r="BY344" s="455"/>
      <c r="BZ344" s="455"/>
      <c r="CA344" s="455"/>
      <c r="CB344" s="455"/>
      <c r="CC344" s="455"/>
      <c r="CD344" s="455"/>
      <c r="CE344" s="455"/>
      <c r="CF344" s="455"/>
      <c r="CG344" s="455"/>
      <c r="CH344" s="455"/>
      <c r="CI344" s="455"/>
      <c r="CJ344" s="455"/>
      <c r="CK344" s="455"/>
      <c r="CL344" s="455"/>
      <c r="CM344" s="455"/>
      <c r="CN344" s="455"/>
      <c r="CO344" s="455"/>
      <c r="CP344" s="455"/>
      <c r="CQ344" s="455"/>
      <c r="CR344" s="455"/>
      <c r="CS344" s="455"/>
      <c r="CT344" s="455"/>
      <c r="CU344" s="455"/>
      <c r="CV344" s="455"/>
      <c r="CW344" s="455"/>
      <c r="CX344" s="455"/>
      <c r="CY344" s="455"/>
      <c r="CZ344" s="455"/>
      <c r="DA344" s="455"/>
      <c r="DB344" s="455"/>
      <c r="DC344" s="455"/>
      <c r="DD344" s="455"/>
      <c r="DE344" s="455"/>
      <c r="DF344" s="455"/>
      <c r="DG344" s="455"/>
      <c r="DH344" s="455"/>
      <c r="DI344" s="455"/>
      <c r="DJ344" s="455"/>
      <c r="DK344" s="455"/>
      <c r="DL344" s="455"/>
      <c r="DM344" s="455"/>
      <c r="DN344" s="455"/>
      <c r="DO344" s="455"/>
      <c r="DP344" s="455"/>
      <c r="DQ344" s="455"/>
      <c r="DR344" s="455"/>
      <c r="DS344" s="455"/>
      <c r="DT344" s="455"/>
      <c r="DU344" s="455"/>
      <c r="DV344" s="455"/>
      <c r="DW344" s="455"/>
      <c r="DX344" s="455"/>
      <c r="DY344" s="455"/>
      <c r="DZ344" s="455"/>
      <c r="EA344" s="455"/>
      <c r="EB344" s="455"/>
      <c r="EC344" s="455"/>
      <c r="ED344" s="455"/>
      <c r="EE344" s="455"/>
      <c r="EF344" s="455"/>
      <c r="EG344" s="455"/>
      <c r="EH344" s="455"/>
      <c r="EI344" s="455"/>
      <c r="EJ344" s="455"/>
      <c r="EK344" s="455"/>
      <c r="EL344" s="455"/>
      <c r="EM344" s="455"/>
      <c r="EN344" s="455"/>
      <c r="EO344" s="455"/>
      <c r="EP344" s="455"/>
      <c r="EQ344" s="455"/>
      <c r="ER344" s="455"/>
      <c r="ES344" s="455"/>
      <c r="ET344" s="455"/>
      <c r="EU344" s="455"/>
      <c r="EV344" s="455"/>
      <c r="EW344" s="455"/>
      <c r="EX344" s="455"/>
      <c r="EY344" s="455"/>
      <c r="EZ344" s="455"/>
      <c r="FA344" s="455"/>
      <c r="FB344" s="455"/>
      <c r="FC344" s="455"/>
      <c r="FD344" s="455"/>
      <c r="FE344" s="455"/>
      <c r="FF344" s="455"/>
      <c r="FG344" s="455"/>
      <c r="FH344" s="455"/>
      <c r="FI344" s="455"/>
      <c r="FJ344" s="455"/>
      <c r="FK344" s="455"/>
      <c r="FL344" s="455"/>
      <c r="FM344" s="455"/>
      <c r="FN344" s="455"/>
      <c r="FO344" s="455"/>
      <c r="FP344" s="455"/>
      <c r="FQ344" s="455"/>
      <c r="FR344" s="455"/>
      <c r="FS344" s="455"/>
      <c r="FT344" s="455"/>
      <c r="FU344" s="455"/>
      <c r="FV344" s="455"/>
      <c r="FW344" s="455"/>
      <c r="FX344" s="455"/>
      <c r="FY344" s="455"/>
      <c r="FZ344" s="455"/>
      <c r="GA344" s="455"/>
      <c r="GB344" s="455"/>
      <c r="GC344" s="455"/>
      <c r="GD344" s="455"/>
      <c r="GE344" s="455"/>
      <c r="GF344" s="455"/>
      <c r="GG344" s="455"/>
      <c r="GH344" s="455"/>
      <c r="GI344" s="455"/>
      <c r="GJ344" s="455"/>
      <c r="GK344" s="455"/>
      <c r="GL344" s="455"/>
      <c r="GM344" s="455"/>
      <c r="GN344" s="455"/>
      <c r="GO344" s="455"/>
      <c r="GP344" s="455"/>
      <c r="GQ344" s="455"/>
      <c r="GR344" s="455"/>
      <c r="GS344" s="455"/>
      <c r="GT344" s="455"/>
      <c r="GU344" s="455"/>
      <c r="GV344" s="455"/>
      <c r="GW344" s="455"/>
      <c r="GX344" s="455"/>
      <c r="GY344" s="455"/>
      <c r="GZ344" s="455"/>
      <c r="HA344" s="455"/>
      <c r="HB344" s="455"/>
      <c r="HC344" s="455"/>
      <c r="HD344" s="455"/>
      <c r="HE344" s="455"/>
      <c r="HF344" s="455"/>
      <c r="HG344" s="455"/>
      <c r="HH344" s="455"/>
      <c r="HI344" s="455"/>
      <c r="HJ344" s="455"/>
      <c r="HK344" s="455"/>
      <c r="HL344" s="455"/>
      <c r="HM344" s="455"/>
      <c r="HN344" s="455"/>
      <c r="HO344" s="455"/>
      <c r="HP344" s="455"/>
      <c r="HQ344" s="455"/>
      <c r="HR344" s="455"/>
      <c r="HS344" s="455"/>
      <c r="HT344" s="455"/>
      <c r="HU344" s="455"/>
      <c r="HV344" s="455"/>
      <c r="HW344" s="455"/>
      <c r="HX344" s="455"/>
      <c r="HY344" s="455"/>
      <c r="HZ344" s="455"/>
      <c r="IA344" s="455"/>
      <c r="IB344" s="455"/>
      <c r="IC344" s="455"/>
      <c r="ID344" s="455"/>
      <c r="IE344" s="455"/>
      <c r="IF344" s="455"/>
      <c r="IG344" s="455"/>
      <c r="IH344" s="455"/>
      <c r="II344" s="455"/>
      <c r="IJ344" s="455"/>
      <c r="IK344" s="455"/>
      <c r="IL344" s="455"/>
      <c r="IM344" s="455"/>
      <c r="IN344" s="455"/>
      <c r="IO344" s="455"/>
      <c r="IP344" s="455"/>
      <c r="IQ344" s="455"/>
      <c r="IR344" s="455"/>
      <c r="IS344" s="455"/>
    </row>
    <row r="345" spans="1:253" s="458" customFormat="1" ht="45" x14ac:dyDescent="0.2">
      <c r="A345" s="444">
        <v>3391</v>
      </c>
      <c r="B345" s="445" t="s">
        <v>51</v>
      </c>
      <c r="C345" s="445" t="s">
        <v>52</v>
      </c>
      <c r="D345" s="445" t="s">
        <v>91</v>
      </c>
      <c r="E345" s="445"/>
      <c r="F345" s="445"/>
      <c r="G345" s="446">
        <v>104</v>
      </c>
      <c r="H345" s="445">
        <v>86</v>
      </c>
      <c r="I345" s="445"/>
      <c r="J345" s="445">
        <v>1</v>
      </c>
      <c r="K345" s="447">
        <v>1</v>
      </c>
      <c r="L345" s="445"/>
      <c r="M345" s="445">
        <v>1</v>
      </c>
      <c r="N345" s="445" t="s">
        <v>425</v>
      </c>
      <c r="O345" s="464" t="s">
        <v>1371</v>
      </c>
      <c r="P345" s="450">
        <v>9</v>
      </c>
      <c r="Q345" s="451">
        <f t="shared" si="8"/>
        <v>9</v>
      </c>
      <c r="R345" s="451">
        <f>SUMIF('Wege im Detail'!$A:$A,"3391",'Wege im Detail'!$P:$P)</f>
        <v>9</v>
      </c>
      <c r="S345" s="452" t="s">
        <v>1372</v>
      </c>
      <c r="T345" s="453">
        <v>43891</v>
      </c>
      <c r="U345" s="448"/>
      <c r="V345" s="486"/>
      <c r="W345" s="448"/>
      <c r="X345" s="455"/>
      <c r="Y345" s="455"/>
      <c r="Z345" s="455"/>
      <c r="AA345" s="455"/>
      <c r="AB345" s="455"/>
      <c r="AC345" s="455"/>
      <c r="AD345" s="455"/>
      <c r="AE345" s="455"/>
      <c r="AF345" s="455"/>
      <c r="AG345" s="455"/>
      <c r="AH345" s="455"/>
      <c r="AI345" s="455"/>
      <c r="AJ345" s="455"/>
      <c r="AK345" s="455"/>
      <c r="AL345" s="455"/>
      <c r="AM345" s="455"/>
      <c r="AN345" s="455"/>
      <c r="AO345" s="455"/>
      <c r="AP345" s="455"/>
      <c r="AQ345" s="455"/>
      <c r="AR345" s="455"/>
      <c r="AS345" s="455"/>
      <c r="AT345" s="455"/>
      <c r="AU345" s="455"/>
      <c r="AV345" s="455"/>
      <c r="AW345" s="455"/>
      <c r="AX345" s="455"/>
      <c r="AY345" s="455"/>
      <c r="AZ345" s="455"/>
      <c r="BA345" s="455"/>
      <c r="BB345" s="455"/>
      <c r="BC345" s="455"/>
      <c r="BD345" s="455"/>
      <c r="BE345" s="455"/>
      <c r="BF345" s="455"/>
      <c r="BG345" s="455"/>
      <c r="BH345" s="455"/>
      <c r="BI345" s="455"/>
      <c r="BJ345" s="455"/>
      <c r="BK345" s="455"/>
      <c r="BL345" s="455"/>
      <c r="BM345" s="455"/>
      <c r="BN345" s="455"/>
      <c r="BO345" s="455"/>
      <c r="BP345" s="455"/>
      <c r="BQ345" s="455"/>
      <c r="BR345" s="455"/>
      <c r="BS345" s="455"/>
      <c r="BT345" s="455"/>
      <c r="BU345" s="455"/>
      <c r="BV345" s="455"/>
      <c r="BW345" s="455"/>
      <c r="BX345" s="455"/>
      <c r="BY345" s="455"/>
      <c r="BZ345" s="455"/>
      <c r="CA345" s="455"/>
      <c r="CB345" s="455"/>
      <c r="CC345" s="455"/>
      <c r="CD345" s="455"/>
      <c r="CE345" s="455"/>
      <c r="CF345" s="455"/>
      <c r="CG345" s="455"/>
      <c r="CH345" s="455"/>
      <c r="CI345" s="455"/>
      <c r="CJ345" s="455"/>
      <c r="CK345" s="455"/>
      <c r="CL345" s="455"/>
      <c r="CM345" s="455"/>
      <c r="CN345" s="455"/>
      <c r="CO345" s="455"/>
      <c r="CP345" s="455"/>
      <c r="CQ345" s="455"/>
      <c r="CR345" s="455"/>
      <c r="CS345" s="455"/>
      <c r="CT345" s="455"/>
      <c r="CU345" s="455"/>
      <c r="CV345" s="455"/>
      <c r="CW345" s="455"/>
      <c r="CX345" s="455"/>
      <c r="CY345" s="455"/>
      <c r="CZ345" s="455"/>
      <c r="DA345" s="455"/>
      <c r="DB345" s="455"/>
      <c r="DC345" s="455"/>
      <c r="DD345" s="455"/>
      <c r="DE345" s="455"/>
      <c r="DF345" s="455"/>
      <c r="DG345" s="455"/>
      <c r="DH345" s="455"/>
      <c r="DI345" s="455"/>
      <c r="DJ345" s="455"/>
      <c r="DK345" s="455"/>
      <c r="DL345" s="455"/>
      <c r="DM345" s="455"/>
      <c r="DN345" s="455"/>
      <c r="DO345" s="455"/>
      <c r="DP345" s="455"/>
      <c r="DQ345" s="455"/>
      <c r="DR345" s="455"/>
      <c r="DS345" s="455"/>
      <c r="DT345" s="455"/>
      <c r="DU345" s="455"/>
      <c r="DV345" s="455"/>
      <c r="DW345" s="455"/>
      <c r="DX345" s="455"/>
      <c r="DY345" s="455"/>
      <c r="DZ345" s="455"/>
      <c r="EA345" s="455"/>
      <c r="EB345" s="455"/>
      <c r="EC345" s="455"/>
      <c r="ED345" s="455"/>
      <c r="EE345" s="455"/>
      <c r="EF345" s="455"/>
      <c r="EG345" s="455"/>
      <c r="EH345" s="455"/>
      <c r="EI345" s="455"/>
      <c r="EJ345" s="455"/>
      <c r="EK345" s="455"/>
      <c r="EL345" s="455"/>
      <c r="EM345" s="455"/>
      <c r="EN345" s="455"/>
      <c r="EO345" s="455"/>
      <c r="EP345" s="455"/>
      <c r="EQ345" s="455"/>
      <c r="ER345" s="455"/>
      <c r="ES345" s="455"/>
      <c r="ET345" s="455"/>
      <c r="EU345" s="455"/>
      <c r="EV345" s="455"/>
      <c r="EW345" s="455"/>
      <c r="EX345" s="455"/>
      <c r="EY345" s="455"/>
      <c r="EZ345" s="455"/>
      <c r="FA345" s="455"/>
      <c r="FB345" s="455"/>
      <c r="FC345" s="455"/>
      <c r="FD345" s="455"/>
      <c r="FE345" s="455"/>
      <c r="FF345" s="455"/>
      <c r="FG345" s="455"/>
      <c r="FH345" s="455"/>
      <c r="FI345" s="455"/>
      <c r="FJ345" s="455"/>
      <c r="FK345" s="455"/>
      <c r="FL345" s="455"/>
      <c r="FM345" s="455"/>
      <c r="FN345" s="455"/>
      <c r="FO345" s="455"/>
      <c r="FP345" s="455"/>
      <c r="FQ345" s="455"/>
      <c r="FR345" s="455"/>
      <c r="FS345" s="455"/>
      <c r="FT345" s="455"/>
      <c r="FU345" s="455"/>
      <c r="FV345" s="455"/>
      <c r="FW345" s="455"/>
      <c r="FX345" s="455"/>
      <c r="FY345" s="455"/>
      <c r="FZ345" s="455"/>
      <c r="GA345" s="455"/>
      <c r="GB345" s="455"/>
      <c r="GC345" s="455"/>
      <c r="GD345" s="455"/>
      <c r="GE345" s="455"/>
      <c r="GF345" s="455"/>
      <c r="GG345" s="455"/>
      <c r="GH345" s="455"/>
      <c r="GI345" s="455"/>
      <c r="GJ345" s="455"/>
      <c r="GK345" s="455"/>
      <c r="GL345" s="455"/>
      <c r="GM345" s="455"/>
      <c r="GN345" s="455"/>
      <c r="GO345" s="455"/>
      <c r="GP345" s="455"/>
      <c r="GQ345" s="455"/>
      <c r="GR345" s="455"/>
      <c r="GS345" s="455"/>
      <c r="GT345" s="455"/>
      <c r="GU345" s="455"/>
      <c r="GV345" s="455"/>
      <c r="GW345" s="455"/>
      <c r="GX345" s="455"/>
      <c r="GY345" s="455"/>
      <c r="GZ345" s="455"/>
      <c r="HA345" s="455"/>
      <c r="HB345" s="455"/>
      <c r="HC345" s="455"/>
      <c r="HD345" s="455"/>
      <c r="HE345" s="455"/>
      <c r="HF345" s="455"/>
      <c r="HG345" s="455"/>
      <c r="HH345" s="455"/>
      <c r="HI345" s="455"/>
      <c r="HJ345" s="455"/>
      <c r="HK345" s="455"/>
      <c r="HL345" s="455"/>
      <c r="HM345" s="455"/>
      <c r="HN345" s="455"/>
      <c r="HO345" s="455"/>
      <c r="HP345" s="455"/>
      <c r="HQ345" s="455"/>
      <c r="HR345" s="455"/>
      <c r="HS345" s="455"/>
      <c r="HT345" s="455"/>
      <c r="HU345" s="455"/>
      <c r="HV345" s="455"/>
      <c r="HW345" s="455"/>
      <c r="HX345" s="455"/>
      <c r="HY345" s="455"/>
      <c r="HZ345" s="455"/>
      <c r="IA345" s="455"/>
      <c r="IB345" s="455"/>
      <c r="IC345" s="455"/>
      <c r="ID345" s="455"/>
      <c r="IE345" s="455"/>
      <c r="IF345" s="455"/>
      <c r="IG345" s="455"/>
      <c r="IH345" s="455"/>
      <c r="II345" s="455"/>
      <c r="IJ345" s="455"/>
      <c r="IK345" s="455"/>
      <c r="IL345" s="455"/>
      <c r="IM345" s="455"/>
      <c r="IN345" s="455"/>
      <c r="IO345" s="455"/>
      <c r="IP345" s="455"/>
      <c r="IQ345" s="455"/>
      <c r="IR345" s="455"/>
      <c r="IS345" s="455"/>
    </row>
    <row r="346" spans="1:253" s="458" customFormat="1" ht="67.5" x14ac:dyDescent="0.2">
      <c r="A346" s="444">
        <v>3393</v>
      </c>
      <c r="B346" s="445" t="s">
        <v>51</v>
      </c>
      <c r="C346" s="445" t="s">
        <v>52</v>
      </c>
      <c r="D346" s="445" t="s">
        <v>91</v>
      </c>
      <c r="E346" s="445"/>
      <c r="F346" s="445"/>
      <c r="G346" s="446">
        <v>51</v>
      </c>
      <c r="H346" s="445">
        <v>87</v>
      </c>
      <c r="I346" s="445"/>
      <c r="J346" s="445">
        <v>1</v>
      </c>
      <c r="K346" s="447">
        <v>1</v>
      </c>
      <c r="L346" s="445"/>
      <c r="M346" s="445">
        <v>1</v>
      </c>
      <c r="N346" s="445" t="s">
        <v>230</v>
      </c>
      <c r="O346" s="449" t="s">
        <v>1373</v>
      </c>
      <c r="P346" s="450">
        <v>10.097</v>
      </c>
      <c r="Q346" s="451">
        <f t="shared" si="8"/>
        <v>10.097</v>
      </c>
      <c r="R346" s="451">
        <f>SUMIF('Wege im Detail'!$A:$A,"3393",'Wege im Detail'!$P:$P)</f>
        <v>10.097</v>
      </c>
      <c r="S346" s="452" t="s">
        <v>444</v>
      </c>
      <c r="T346" s="453">
        <v>43891</v>
      </c>
      <c r="U346" s="448"/>
      <c r="V346" s="457"/>
      <c r="W346" s="448"/>
    </row>
    <row r="347" spans="1:253" s="458" customFormat="1" ht="45" x14ac:dyDescent="0.2">
      <c r="A347" s="444">
        <v>3395</v>
      </c>
      <c r="B347" s="445" t="s">
        <v>51</v>
      </c>
      <c r="C347" s="445" t="s">
        <v>52</v>
      </c>
      <c r="D347" s="445" t="s">
        <v>91</v>
      </c>
      <c r="E347" s="445"/>
      <c r="F347" s="445"/>
      <c r="G347" s="446">
        <v>61</v>
      </c>
      <c r="H347" s="445">
        <v>120</v>
      </c>
      <c r="I347" s="445"/>
      <c r="J347" s="445">
        <v>1</v>
      </c>
      <c r="K347" s="447">
        <v>2</v>
      </c>
      <c r="L347" s="445"/>
      <c r="M347" s="445">
        <v>2</v>
      </c>
      <c r="N347" s="445" t="s">
        <v>446</v>
      </c>
      <c r="O347" s="449" t="s">
        <v>1374</v>
      </c>
      <c r="P347" s="450">
        <v>7.343</v>
      </c>
      <c r="Q347" s="451">
        <f t="shared" si="8"/>
        <v>7.343</v>
      </c>
      <c r="R347" s="451">
        <f>SUMIF('Wege im Detail'!$A:$A,"3395",'Wege im Detail'!$P:$P)</f>
        <v>7.84</v>
      </c>
      <c r="S347" s="452" t="s">
        <v>1375</v>
      </c>
      <c r="T347" s="453">
        <v>43891</v>
      </c>
      <c r="U347" s="448"/>
      <c r="W347" s="448"/>
    </row>
    <row r="348" spans="1:253" s="458" customFormat="1" ht="33.75" x14ac:dyDescent="0.2">
      <c r="A348" s="444">
        <v>3395</v>
      </c>
      <c r="B348" s="445" t="s">
        <v>51</v>
      </c>
      <c r="C348" s="445" t="s">
        <v>52</v>
      </c>
      <c r="D348" s="445" t="s">
        <v>91</v>
      </c>
      <c r="E348" s="445"/>
      <c r="F348" s="445"/>
      <c r="G348" s="446">
        <v>61</v>
      </c>
      <c r="H348" s="445">
        <v>120</v>
      </c>
      <c r="I348" s="445"/>
      <c r="J348" s="445">
        <v>2</v>
      </c>
      <c r="K348" s="447">
        <v>2</v>
      </c>
      <c r="L348" s="445"/>
      <c r="M348" s="445">
        <v>2</v>
      </c>
      <c r="N348" s="445" t="s">
        <v>433</v>
      </c>
      <c r="O348" s="449" t="s">
        <v>1376</v>
      </c>
      <c r="P348" s="450">
        <v>0.497</v>
      </c>
      <c r="Q348" s="451">
        <f t="shared" si="8"/>
        <v>0.497</v>
      </c>
      <c r="R348" s="451">
        <f>SUMIF('Wege im Detail'!$A:$A,"3395",'Wege im Detail'!$P:$P)</f>
        <v>7.84</v>
      </c>
      <c r="S348" s="452" t="s">
        <v>1375</v>
      </c>
      <c r="T348" s="453">
        <v>43891</v>
      </c>
      <c r="U348" s="448"/>
      <c r="W348" s="448"/>
    </row>
    <row r="349" spans="1:253" s="458" customFormat="1" ht="56.25" x14ac:dyDescent="0.2">
      <c r="A349" s="444">
        <v>3407</v>
      </c>
      <c r="B349" s="445" t="s">
        <v>51</v>
      </c>
      <c r="C349" s="445" t="s">
        <v>52</v>
      </c>
      <c r="D349" s="445" t="s">
        <v>91</v>
      </c>
      <c r="E349" s="445"/>
      <c r="F349" s="445"/>
      <c r="G349" s="446">
        <v>57</v>
      </c>
      <c r="H349" s="445">
        <v>73</v>
      </c>
      <c r="I349" s="445"/>
      <c r="J349" s="445">
        <v>1</v>
      </c>
      <c r="K349" s="447">
        <v>2</v>
      </c>
      <c r="L349" s="445"/>
      <c r="M349" s="445">
        <v>2</v>
      </c>
      <c r="N349" s="445" t="s">
        <v>433</v>
      </c>
      <c r="O349" s="449" t="s">
        <v>1377</v>
      </c>
      <c r="P349" s="450">
        <v>2.44</v>
      </c>
      <c r="Q349" s="451">
        <f t="shared" si="8"/>
        <v>2.44</v>
      </c>
      <c r="R349" s="451">
        <f>SUMIF('Wege im Detail'!$A:$A,"3407",'Wege im Detail'!$P:$P)</f>
        <v>3.3689999999999998</v>
      </c>
      <c r="S349" s="452" t="s">
        <v>448</v>
      </c>
      <c r="T349" s="453">
        <v>43891</v>
      </c>
      <c r="U349" s="448"/>
      <c r="W349" s="448"/>
    </row>
    <row r="350" spans="1:253" s="458" customFormat="1" ht="45" x14ac:dyDescent="0.2">
      <c r="A350" s="444">
        <v>3407</v>
      </c>
      <c r="B350" s="445" t="s">
        <v>51</v>
      </c>
      <c r="C350" s="445" t="s">
        <v>52</v>
      </c>
      <c r="D350" s="445" t="s">
        <v>91</v>
      </c>
      <c r="E350" s="445"/>
      <c r="F350" s="445"/>
      <c r="G350" s="446">
        <v>57</v>
      </c>
      <c r="H350" s="445">
        <v>73</v>
      </c>
      <c r="I350" s="445"/>
      <c r="J350" s="445">
        <v>2</v>
      </c>
      <c r="K350" s="447">
        <v>2</v>
      </c>
      <c r="L350" s="445"/>
      <c r="M350" s="445">
        <v>5</v>
      </c>
      <c r="N350" s="445" t="s">
        <v>72</v>
      </c>
      <c r="O350" s="449" t="s">
        <v>1378</v>
      </c>
      <c r="P350" s="450">
        <v>0.92900000000000005</v>
      </c>
      <c r="Q350" s="451">
        <f t="shared" si="8"/>
        <v>0.92900000000000005</v>
      </c>
      <c r="R350" s="451">
        <f>SUMIF('Wege im Detail'!$A:$A,"3407",'Wege im Detail'!$P:$P)</f>
        <v>3.3689999999999998</v>
      </c>
      <c r="S350" s="452" t="s">
        <v>448</v>
      </c>
      <c r="T350" s="453">
        <v>43891</v>
      </c>
      <c r="U350" s="448"/>
      <c r="W350" s="448"/>
      <c r="X350" s="455"/>
      <c r="Y350" s="455"/>
      <c r="Z350" s="455"/>
      <c r="AA350" s="455"/>
      <c r="AB350" s="455"/>
      <c r="AC350" s="455"/>
      <c r="AD350" s="455"/>
      <c r="AE350" s="455"/>
      <c r="AF350" s="455"/>
      <c r="AG350" s="455"/>
      <c r="AH350" s="455"/>
      <c r="AI350" s="455"/>
      <c r="AJ350" s="455"/>
      <c r="AK350" s="455"/>
      <c r="AL350" s="455"/>
      <c r="AM350" s="455"/>
      <c r="AN350" s="455"/>
      <c r="AO350" s="455"/>
      <c r="AP350" s="455"/>
      <c r="AQ350" s="455"/>
      <c r="AR350" s="455"/>
      <c r="AS350" s="455"/>
      <c r="AT350" s="455"/>
      <c r="AU350" s="455"/>
      <c r="AV350" s="455"/>
      <c r="AW350" s="455"/>
      <c r="AX350" s="455"/>
      <c r="AY350" s="455"/>
      <c r="AZ350" s="455"/>
      <c r="BA350" s="455"/>
      <c r="BB350" s="455"/>
      <c r="BC350" s="455"/>
      <c r="BD350" s="455"/>
      <c r="BE350" s="455"/>
      <c r="BF350" s="455"/>
      <c r="BG350" s="455"/>
      <c r="BH350" s="455"/>
      <c r="BI350" s="455"/>
      <c r="BJ350" s="455"/>
      <c r="BK350" s="455"/>
      <c r="BL350" s="455"/>
      <c r="BM350" s="455"/>
      <c r="BN350" s="455"/>
      <c r="BO350" s="455"/>
      <c r="BP350" s="455"/>
      <c r="BQ350" s="455"/>
      <c r="BR350" s="455"/>
      <c r="BS350" s="455"/>
      <c r="BT350" s="455"/>
      <c r="BU350" s="455"/>
      <c r="BV350" s="455"/>
      <c r="BW350" s="455"/>
      <c r="BX350" s="455"/>
      <c r="BY350" s="455"/>
      <c r="BZ350" s="455"/>
      <c r="CA350" s="455"/>
      <c r="CB350" s="455"/>
      <c r="CC350" s="455"/>
      <c r="CD350" s="455"/>
      <c r="CE350" s="455"/>
      <c r="CF350" s="455"/>
      <c r="CG350" s="455"/>
      <c r="CH350" s="455"/>
      <c r="CI350" s="455"/>
      <c r="CJ350" s="455"/>
      <c r="CK350" s="455"/>
      <c r="CL350" s="455"/>
      <c r="CM350" s="455"/>
      <c r="CN350" s="455"/>
      <c r="CO350" s="455"/>
      <c r="CP350" s="455"/>
      <c r="CQ350" s="455"/>
      <c r="CR350" s="455"/>
      <c r="CS350" s="455"/>
      <c r="CT350" s="455"/>
      <c r="CU350" s="455"/>
      <c r="CV350" s="455"/>
      <c r="CW350" s="455"/>
      <c r="CX350" s="455"/>
      <c r="CY350" s="455"/>
      <c r="CZ350" s="455"/>
      <c r="DA350" s="455"/>
      <c r="DB350" s="455"/>
      <c r="DC350" s="455"/>
      <c r="DD350" s="455"/>
      <c r="DE350" s="455"/>
      <c r="DF350" s="455"/>
      <c r="DG350" s="455"/>
      <c r="DH350" s="455"/>
      <c r="DI350" s="455"/>
      <c r="DJ350" s="455"/>
      <c r="DK350" s="455"/>
      <c r="DL350" s="455"/>
      <c r="DM350" s="455"/>
      <c r="DN350" s="455"/>
      <c r="DO350" s="455"/>
      <c r="DP350" s="455"/>
      <c r="DQ350" s="455"/>
      <c r="DR350" s="455"/>
      <c r="DS350" s="455"/>
      <c r="DT350" s="455"/>
      <c r="DU350" s="455"/>
      <c r="DV350" s="455"/>
      <c r="DW350" s="455"/>
      <c r="DX350" s="455"/>
      <c r="DY350" s="455"/>
      <c r="DZ350" s="455"/>
      <c r="EA350" s="455"/>
      <c r="EB350" s="455"/>
      <c r="EC350" s="455"/>
      <c r="ED350" s="455"/>
      <c r="EE350" s="455"/>
      <c r="EF350" s="455"/>
      <c r="EG350" s="455"/>
      <c r="EH350" s="455"/>
      <c r="EI350" s="455"/>
      <c r="EJ350" s="455"/>
      <c r="EK350" s="455"/>
      <c r="EL350" s="455"/>
      <c r="EM350" s="455"/>
      <c r="EN350" s="455"/>
      <c r="EO350" s="455"/>
      <c r="EP350" s="455"/>
      <c r="EQ350" s="455"/>
      <c r="ER350" s="455"/>
      <c r="ES350" s="455"/>
      <c r="ET350" s="455"/>
      <c r="EU350" s="455"/>
      <c r="EV350" s="455"/>
      <c r="EW350" s="455"/>
      <c r="EX350" s="455"/>
      <c r="EY350" s="455"/>
      <c r="EZ350" s="455"/>
      <c r="FA350" s="455"/>
      <c r="FB350" s="455"/>
      <c r="FC350" s="455"/>
      <c r="FD350" s="455"/>
      <c r="FE350" s="455"/>
      <c r="FF350" s="455"/>
      <c r="FG350" s="455"/>
      <c r="FH350" s="455"/>
      <c r="FI350" s="455"/>
      <c r="FJ350" s="455"/>
      <c r="FK350" s="455"/>
      <c r="FL350" s="455"/>
      <c r="FM350" s="455"/>
      <c r="FN350" s="455"/>
      <c r="FO350" s="455"/>
      <c r="FP350" s="455"/>
      <c r="FQ350" s="455"/>
      <c r="FR350" s="455"/>
      <c r="FS350" s="455"/>
      <c r="FT350" s="455"/>
      <c r="FU350" s="455"/>
      <c r="FV350" s="455"/>
      <c r="FW350" s="455"/>
      <c r="FX350" s="455"/>
      <c r="FY350" s="455"/>
      <c r="FZ350" s="455"/>
      <c r="GA350" s="455"/>
      <c r="GB350" s="455"/>
      <c r="GC350" s="455"/>
      <c r="GD350" s="455"/>
      <c r="GE350" s="455"/>
      <c r="GF350" s="455"/>
      <c r="GG350" s="455"/>
      <c r="GH350" s="455"/>
      <c r="GI350" s="455"/>
      <c r="GJ350" s="455"/>
      <c r="GK350" s="455"/>
      <c r="GL350" s="455"/>
      <c r="GM350" s="455"/>
      <c r="GN350" s="455"/>
      <c r="GO350" s="455"/>
      <c r="GP350" s="455"/>
      <c r="GQ350" s="455"/>
      <c r="GR350" s="455"/>
      <c r="GS350" s="455"/>
      <c r="GT350" s="455"/>
      <c r="GU350" s="455"/>
      <c r="GV350" s="455"/>
      <c r="GW350" s="455"/>
      <c r="GX350" s="455"/>
      <c r="GY350" s="455"/>
      <c r="GZ350" s="455"/>
      <c r="HA350" s="455"/>
      <c r="HB350" s="455"/>
      <c r="HC350" s="455"/>
      <c r="HD350" s="455"/>
      <c r="HE350" s="455"/>
      <c r="HF350" s="455"/>
      <c r="HG350" s="455"/>
      <c r="HH350" s="455"/>
      <c r="HI350" s="455"/>
      <c r="HJ350" s="455"/>
      <c r="HK350" s="455"/>
      <c r="HL350" s="455"/>
      <c r="HM350" s="455"/>
      <c r="HN350" s="455"/>
      <c r="HO350" s="455"/>
      <c r="HP350" s="455"/>
      <c r="HQ350" s="455"/>
      <c r="HR350" s="455"/>
      <c r="HS350" s="455"/>
      <c r="HT350" s="455"/>
      <c r="HU350" s="455"/>
      <c r="HV350" s="455"/>
      <c r="HW350" s="455"/>
      <c r="HX350" s="455"/>
      <c r="HY350" s="455"/>
      <c r="HZ350" s="455"/>
      <c r="IA350" s="455"/>
      <c r="IB350" s="455"/>
      <c r="IC350" s="455"/>
      <c r="ID350" s="455"/>
      <c r="IE350" s="455"/>
      <c r="IF350" s="455"/>
      <c r="IG350" s="455"/>
      <c r="IH350" s="455"/>
      <c r="II350" s="455"/>
      <c r="IJ350" s="455"/>
      <c r="IK350" s="455"/>
      <c r="IL350" s="455"/>
      <c r="IM350" s="455"/>
      <c r="IN350" s="455"/>
      <c r="IO350" s="455"/>
      <c r="IP350" s="455"/>
      <c r="IQ350" s="455"/>
      <c r="IR350" s="455"/>
      <c r="IS350" s="455"/>
    </row>
    <row r="351" spans="1:253" s="458" customFormat="1" ht="33.75" x14ac:dyDescent="0.2">
      <c r="A351" s="444">
        <v>3409</v>
      </c>
      <c r="B351" s="445" t="s">
        <v>51</v>
      </c>
      <c r="C351" s="445" t="s">
        <v>52</v>
      </c>
      <c r="D351" s="445" t="s">
        <v>91</v>
      </c>
      <c r="E351" s="445"/>
      <c r="F351" s="479"/>
      <c r="G351" s="446">
        <v>79</v>
      </c>
      <c r="H351" s="445">
        <v>121</v>
      </c>
      <c r="I351" s="445"/>
      <c r="J351" s="445">
        <v>1</v>
      </c>
      <c r="K351" s="447"/>
      <c r="L351" s="445"/>
      <c r="M351" s="445">
        <v>2</v>
      </c>
      <c r="N351" s="445" t="s">
        <v>67</v>
      </c>
      <c r="O351" s="449" t="s">
        <v>1379</v>
      </c>
      <c r="P351" s="450">
        <v>2.6909999999999998</v>
      </c>
      <c r="Q351" s="451">
        <f t="shared" si="8"/>
        <v>2.6909999999999998</v>
      </c>
      <c r="R351" s="451">
        <f>SUMIF('Wege im Detail'!$A:$A,"3409",'Wege im Detail'!$P:$P)</f>
        <v>13.399999999999999</v>
      </c>
      <c r="S351" s="452" t="s">
        <v>450</v>
      </c>
      <c r="T351" s="453">
        <v>43891</v>
      </c>
      <c r="U351" s="448"/>
      <c r="W351" s="448"/>
    </row>
    <row r="352" spans="1:253" s="458" customFormat="1" ht="67.5" x14ac:dyDescent="0.2">
      <c r="A352" s="444">
        <v>3409</v>
      </c>
      <c r="B352" s="445" t="s">
        <v>51</v>
      </c>
      <c r="C352" s="445" t="s">
        <v>52</v>
      </c>
      <c r="D352" s="445" t="s">
        <v>91</v>
      </c>
      <c r="E352" s="445"/>
      <c r="F352" s="479"/>
      <c r="G352" s="446">
        <v>79</v>
      </c>
      <c r="H352" s="445">
        <v>121</v>
      </c>
      <c r="I352" s="445"/>
      <c r="J352" s="445">
        <v>2</v>
      </c>
      <c r="K352" s="494" t="s">
        <v>1380</v>
      </c>
      <c r="L352" s="445"/>
      <c r="M352" s="445">
        <v>2</v>
      </c>
      <c r="N352" s="445" t="s">
        <v>433</v>
      </c>
      <c r="O352" s="449" t="s">
        <v>1381</v>
      </c>
      <c r="P352" s="450">
        <v>10.709</v>
      </c>
      <c r="Q352" s="451">
        <f t="shared" si="8"/>
        <v>10.709</v>
      </c>
      <c r="R352" s="451">
        <f>SUMIF('Wege im Detail'!$A:$A,"3409",'Wege im Detail'!$P:$P)</f>
        <v>13.399999999999999</v>
      </c>
      <c r="S352" s="452" t="s">
        <v>1382</v>
      </c>
      <c r="T352" s="453">
        <v>43891</v>
      </c>
      <c r="U352" s="448"/>
      <c r="W352" s="448"/>
      <c r="X352" s="455"/>
      <c r="Y352" s="455"/>
      <c r="Z352" s="455"/>
      <c r="AA352" s="455"/>
      <c r="AB352" s="455"/>
      <c r="AC352" s="455"/>
      <c r="AD352" s="455"/>
      <c r="AE352" s="455"/>
      <c r="AF352" s="455"/>
      <c r="AG352" s="455"/>
      <c r="AH352" s="455"/>
      <c r="AI352" s="455"/>
      <c r="AJ352" s="455"/>
      <c r="AK352" s="455"/>
      <c r="AL352" s="455"/>
      <c r="AM352" s="455"/>
      <c r="AN352" s="455"/>
      <c r="AO352" s="455"/>
      <c r="AP352" s="455"/>
      <c r="AQ352" s="455"/>
      <c r="AR352" s="455"/>
      <c r="AS352" s="455"/>
      <c r="AT352" s="455"/>
      <c r="AU352" s="455"/>
      <c r="AV352" s="455"/>
      <c r="AW352" s="455"/>
      <c r="AX352" s="455"/>
      <c r="AY352" s="455"/>
      <c r="AZ352" s="455"/>
      <c r="BA352" s="455"/>
      <c r="BB352" s="455"/>
      <c r="BC352" s="455"/>
      <c r="BD352" s="455"/>
      <c r="BE352" s="455"/>
      <c r="BF352" s="455"/>
      <c r="BG352" s="455"/>
      <c r="BH352" s="455"/>
      <c r="BI352" s="455"/>
      <c r="BJ352" s="455"/>
      <c r="BK352" s="455"/>
      <c r="BL352" s="455"/>
      <c r="BM352" s="455"/>
      <c r="BN352" s="455"/>
      <c r="BO352" s="455"/>
      <c r="BP352" s="455"/>
      <c r="BQ352" s="455"/>
      <c r="BR352" s="455"/>
      <c r="BS352" s="455"/>
      <c r="BT352" s="455"/>
      <c r="BU352" s="455"/>
      <c r="BV352" s="455"/>
      <c r="BW352" s="455"/>
      <c r="BX352" s="455"/>
      <c r="BY352" s="455"/>
      <c r="BZ352" s="455"/>
      <c r="CA352" s="455"/>
      <c r="CB352" s="455"/>
      <c r="CC352" s="455"/>
      <c r="CD352" s="455"/>
      <c r="CE352" s="455"/>
      <c r="CF352" s="455"/>
      <c r="CG352" s="455"/>
      <c r="CH352" s="455"/>
      <c r="CI352" s="455"/>
      <c r="CJ352" s="455"/>
      <c r="CK352" s="455"/>
      <c r="CL352" s="455"/>
      <c r="CM352" s="455"/>
      <c r="CN352" s="455"/>
      <c r="CO352" s="455"/>
      <c r="CP352" s="455"/>
      <c r="CQ352" s="455"/>
      <c r="CR352" s="455"/>
      <c r="CS352" s="455"/>
      <c r="CT352" s="455"/>
      <c r="CU352" s="455"/>
      <c r="CV352" s="455"/>
      <c r="CW352" s="455"/>
      <c r="CX352" s="455"/>
      <c r="CY352" s="455"/>
      <c r="CZ352" s="455"/>
      <c r="DA352" s="455"/>
      <c r="DB352" s="455"/>
      <c r="DC352" s="455"/>
      <c r="DD352" s="455"/>
      <c r="DE352" s="455"/>
      <c r="DF352" s="455"/>
      <c r="DG352" s="455"/>
      <c r="DH352" s="455"/>
      <c r="DI352" s="455"/>
      <c r="DJ352" s="455"/>
      <c r="DK352" s="455"/>
      <c r="DL352" s="455"/>
      <c r="DM352" s="455"/>
      <c r="DN352" s="455"/>
      <c r="DO352" s="455"/>
      <c r="DP352" s="455"/>
      <c r="DQ352" s="455"/>
      <c r="DR352" s="455"/>
      <c r="DS352" s="455"/>
      <c r="DT352" s="455"/>
      <c r="DU352" s="455"/>
      <c r="DV352" s="455"/>
      <c r="DW352" s="455"/>
      <c r="DX352" s="455"/>
      <c r="DY352" s="455"/>
      <c r="DZ352" s="455"/>
      <c r="EA352" s="455"/>
      <c r="EB352" s="455"/>
      <c r="EC352" s="455"/>
      <c r="ED352" s="455"/>
      <c r="EE352" s="455"/>
      <c r="EF352" s="455"/>
      <c r="EG352" s="455"/>
      <c r="EH352" s="455"/>
      <c r="EI352" s="455"/>
      <c r="EJ352" s="455"/>
      <c r="EK352" s="455"/>
      <c r="EL352" s="455"/>
      <c r="EM352" s="455"/>
      <c r="EN352" s="455"/>
      <c r="EO352" s="455"/>
      <c r="EP352" s="455"/>
      <c r="EQ352" s="455"/>
      <c r="ER352" s="455"/>
      <c r="ES352" s="455"/>
      <c r="ET352" s="455"/>
      <c r="EU352" s="455"/>
      <c r="EV352" s="455"/>
      <c r="EW352" s="455"/>
      <c r="EX352" s="455"/>
      <c r="EY352" s="455"/>
      <c r="EZ352" s="455"/>
      <c r="FA352" s="455"/>
      <c r="FB352" s="455"/>
      <c r="FC352" s="455"/>
      <c r="FD352" s="455"/>
      <c r="FE352" s="455"/>
      <c r="FF352" s="455"/>
      <c r="FG352" s="455"/>
      <c r="FH352" s="455"/>
      <c r="FI352" s="455"/>
      <c r="FJ352" s="455"/>
      <c r="FK352" s="455"/>
      <c r="FL352" s="455"/>
      <c r="FM352" s="455"/>
      <c r="FN352" s="455"/>
      <c r="FO352" s="455"/>
      <c r="FP352" s="455"/>
      <c r="FQ352" s="455"/>
      <c r="FR352" s="455"/>
      <c r="FS352" s="455"/>
      <c r="FT352" s="455"/>
      <c r="FU352" s="455"/>
      <c r="FV352" s="455"/>
      <c r="FW352" s="455"/>
      <c r="FX352" s="455"/>
      <c r="FY352" s="455"/>
      <c r="FZ352" s="455"/>
      <c r="GA352" s="455"/>
      <c r="GB352" s="455"/>
      <c r="GC352" s="455"/>
      <c r="GD352" s="455"/>
      <c r="GE352" s="455"/>
      <c r="GF352" s="455"/>
      <c r="GG352" s="455"/>
      <c r="GH352" s="455"/>
      <c r="GI352" s="455"/>
      <c r="GJ352" s="455"/>
      <c r="GK352" s="455"/>
      <c r="GL352" s="455"/>
      <c r="GM352" s="455"/>
      <c r="GN352" s="455"/>
      <c r="GO352" s="455"/>
      <c r="GP352" s="455"/>
      <c r="GQ352" s="455"/>
      <c r="GR352" s="455"/>
      <c r="GS352" s="455"/>
      <c r="GT352" s="455"/>
      <c r="GU352" s="455"/>
      <c r="GV352" s="455"/>
      <c r="GW352" s="455"/>
      <c r="GX352" s="455"/>
      <c r="GY352" s="455"/>
      <c r="GZ352" s="455"/>
      <c r="HA352" s="455"/>
      <c r="HB352" s="455"/>
      <c r="HC352" s="455"/>
      <c r="HD352" s="455"/>
      <c r="HE352" s="455"/>
      <c r="HF352" s="455"/>
      <c r="HG352" s="455"/>
      <c r="HH352" s="455"/>
      <c r="HI352" s="455"/>
      <c r="HJ352" s="455"/>
      <c r="HK352" s="455"/>
      <c r="HL352" s="455"/>
      <c r="HM352" s="455"/>
      <c r="HN352" s="455"/>
      <c r="HO352" s="455"/>
      <c r="HP352" s="455"/>
      <c r="HQ352" s="455"/>
      <c r="HR352" s="455"/>
      <c r="HS352" s="455"/>
      <c r="HT352" s="455"/>
      <c r="HU352" s="455"/>
      <c r="HV352" s="455"/>
      <c r="HW352" s="455"/>
      <c r="HX352" s="455"/>
      <c r="HY352" s="455"/>
      <c r="HZ352" s="455"/>
      <c r="IA352" s="455"/>
      <c r="IB352" s="455"/>
      <c r="IC352" s="455"/>
      <c r="ID352" s="455"/>
      <c r="IE352" s="455"/>
      <c r="IF352" s="455"/>
      <c r="IG352" s="455"/>
      <c r="IH352" s="455"/>
      <c r="II352" s="455"/>
      <c r="IJ352" s="455"/>
      <c r="IK352" s="455"/>
      <c r="IL352" s="455"/>
      <c r="IM352" s="455"/>
      <c r="IN352" s="455"/>
      <c r="IO352" s="455"/>
      <c r="IP352" s="455"/>
      <c r="IQ352" s="455"/>
      <c r="IR352" s="455"/>
      <c r="IS352" s="455"/>
    </row>
    <row r="353" spans="1:253" s="458" customFormat="1" ht="56.25" x14ac:dyDescent="0.2">
      <c r="A353" s="444">
        <v>3417</v>
      </c>
      <c r="B353" s="445" t="s">
        <v>51</v>
      </c>
      <c r="C353" s="445" t="s">
        <v>52</v>
      </c>
      <c r="D353" s="445" t="s">
        <v>91</v>
      </c>
      <c r="E353" s="445"/>
      <c r="F353" s="445"/>
      <c r="G353" s="446">
        <v>104</v>
      </c>
      <c r="H353" s="445">
        <v>123</v>
      </c>
      <c r="I353" s="445"/>
      <c r="J353" s="445">
        <v>1</v>
      </c>
      <c r="K353" s="447">
        <v>1</v>
      </c>
      <c r="L353" s="445"/>
      <c r="M353" s="445">
        <v>2</v>
      </c>
      <c r="N353" s="445" t="s">
        <v>446</v>
      </c>
      <c r="O353" s="528" t="s">
        <v>1383</v>
      </c>
      <c r="P353" s="450">
        <v>8.0069999999999997</v>
      </c>
      <c r="Q353" s="451">
        <f t="shared" si="8"/>
        <v>8.0069999999999997</v>
      </c>
      <c r="R353" s="451">
        <f>SUMIF('Wege im Detail'!$A:$A,"3417",'Wege im Detail'!$P:$P)</f>
        <v>8.0069999999999997</v>
      </c>
      <c r="S353" s="452" t="s">
        <v>452</v>
      </c>
      <c r="T353" s="453">
        <v>43891</v>
      </c>
      <c r="U353" s="448"/>
      <c r="W353" s="448"/>
      <c r="X353" s="455"/>
      <c r="Y353" s="455"/>
      <c r="Z353" s="455"/>
      <c r="AA353" s="455"/>
      <c r="AB353" s="455"/>
      <c r="AC353" s="455"/>
      <c r="AD353" s="455"/>
      <c r="AE353" s="455"/>
      <c r="AF353" s="455"/>
      <c r="AG353" s="455"/>
      <c r="AH353" s="455"/>
      <c r="AI353" s="455"/>
      <c r="AJ353" s="455"/>
      <c r="AK353" s="455"/>
      <c r="AL353" s="455"/>
      <c r="AM353" s="455"/>
      <c r="AN353" s="455"/>
      <c r="AO353" s="455"/>
      <c r="AP353" s="455"/>
      <c r="AQ353" s="455"/>
      <c r="AR353" s="455"/>
      <c r="AS353" s="455"/>
      <c r="AT353" s="455"/>
      <c r="AU353" s="455"/>
      <c r="AV353" s="455"/>
      <c r="AW353" s="455"/>
      <c r="AX353" s="455"/>
      <c r="AY353" s="455"/>
      <c r="AZ353" s="455"/>
      <c r="BA353" s="455"/>
      <c r="BB353" s="455"/>
      <c r="BC353" s="455"/>
      <c r="BD353" s="455"/>
      <c r="BE353" s="455"/>
      <c r="BF353" s="455"/>
      <c r="BG353" s="455"/>
      <c r="BH353" s="455"/>
      <c r="BI353" s="455"/>
      <c r="BJ353" s="455"/>
      <c r="BK353" s="455"/>
      <c r="BL353" s="455"/>
      <c r="BM353" s="455"/>
      <c r="BN353" s="455"/>
      <c r="BO353" s="455"/>
      <c r="BP353" s="455"/>
      <c r="BQ353" s="455"/>
      <c r="BR353" s="455"/>
      <c r="BS353" s="455"/>
      <c r="BT353" s="455"/>
      <c r="BU353" s="455"/>
      <c r="BV353" s="455"/>
      <c r="BW353" s="455"/>
      <c r="BX353" s="455"/>
      <c r="BY353" s="455"/>
      <c r="BZ353" s="455"/>
      <c r="CA353" s="455"/>
      <c r="CB353" s="455"/>
      <c r="CC353" s="455"/>
      <c r="CD353" s="455"/>
      <c r="CE353" s="455"/>
      <c r="CF353" s="455"/>
      <c r="CG353" s="455"/>
      <c r="CH353" s="455"/>
      <c r="CI353" s="455"/>
      <c r="CJ353" s="455"/>
      <c r="CK353" s="455"/>
      <c r="CL353" s="455"/>
      <c r="CM353" s="455"/>
      <c r="CN353" s="455"/>
      <c r="CO353" s="455"/>
      <c r="CP353" s="455"/>
      <c r="CQ353" s="455"/>
      <c r="CR353" s="455"/>
      <c r="CS353" s="455"/>
      <c r="CT353" s="455"/>
      <c r="CU353" s="455"/>
      <c r="CV353" s="455"/>
      <c r="CW353" s="455"/>
      <c r="CX353" s="455"/>
      <c r="CY353" s="455"/>
      <c r="CZ353" s="455"/>
      <c r="DA353" s="455"/>
      <c r="DB353" s="455"/>
      <c r="DC353" s="455"/>
      <c r="DD353" s="455"/>
      <c r="DE353" s="455"/>
      <c r="DF353" s="455"/>
      <c r="DG353" s="455"/>
      <c r="DH353" s="455"/>
      <c r="DI353" s="455"/>
      <c r="DJ353" s="455"/>
      <c r="DK353" s="455"/>
      <c r="DL353" s="455"/>
      <c r="DM353" s="455"/>
      <c r="DN353" s="455"/>
      <c r="DO353" s="455"/>
      <c r="DP353" s="455"/>
      <c r="DQ353" s="455"/>
      <c r="DR353" s="455"/>
      <c r="DS353" s="455"/>
      <c r="DT353" s="455"/>
      <c r="DU353" s="455"/>
      <c r="DV353" s="455"/>
      <c r="DW353" s="455"/>
      <c r="DX353" s="455"/>
      <c r="DY353" s="455"/>
      <c r="DZ353" s="455"/>
      <c r="EA353" s="455"/>
      <c r="EB353" s="455"/>
      <c r="EC353" s="455"/>
      <c r="ED353" s="455"/>
      <c r="EE353" s="455"/>
      <c r="EF353" s="455"/>
      <c r="EG353" s="455"/>
      <c r="EH353" s="455"/>
      <c r="EI353" s="455"/>
      <c r="EJ353" s="455"/>
      <c r="EK353" s="455"/>
      <c r="EL353" s="455"/>
      <c r="EM353" s="455"/>
      <c r="EN353" s="455"/>
      <c r="EO353" s="455"/>
      <c r="EP353" s="455"/>
      <c r="EQ353" s="455"/>
      <c r="ER353" s="455"/>
      <c r="ES353" s="455"/>
      <c r="ET353" s="455"/>
      <c r="EU353" s="455"/>
      <c r="EV353" s="455"/>
      <c r="EW353" s="455"/>
      <c r="EX353" s="455"/>
      <c r="EY353" s="455"/>
      <c r="EZ353" s="455"/>
      <c r="FA353" s="455"/>
      <c r="FB353" s="455"/>
      <c r="FC353" s="455"/>
      <c r="FD353" s="455"/>
      <c r="FE353" s="455"/>
      <c r="FF353" s="455"/>
      <c r="FG353" s="455"/>
      <c r="FH353" s="455"/>
      <c r="FI353" s="455"/>
      <c r="FJ353" s="455"/>
      <c r="FK353" s="455"/>
      <c r="FL353" s="455"/>
      <c r="FM353" s="455"/>
      <c r="FN353" s="455"/>
      <c r="FO353" s="455"/>
      <c r="FP353" s="455"/>
      <c r="FQ353" s="455"/>
      <c r="FR353" s="455"/>
      <c r="FS353" s="455"/>
      <c r="FT353" s="455"/>
      <c r="FU353" s="455"/>
      <c r="FV353" s="455"/>
      <c r="FW353" s="455"/>
      <c r="FX353" s="455"/>
      <c r="FY353" s="455"/>
      <c r="FZ353" s="455"/>
      <c r="GA353" s="455"/>
      <c r="GB353" s="455"/>
      <c r="GC353" s="455"/>
      <c r="GD353" s="455"/>
      <c r="GE353" s="455"/>
      <c r="GF353" s="455"/>
      <c r="GG353" s="455"/>
      <c r="GH353" s="455"/>
      <c r="GI353" s="455"/>
      <c r="GJ353" s="455"/>
      <c r="GK353" s="455"/>
      <c r="GL353" s="455"/>
      <c r="GM353" s="455"/>
      <c r="GN353" s="455"/>
      <c r="GO353" s="455"/>
      <c r="GP353" s="455"/>
      <c r="GQ353" s="455"/>
      <c r="GR353" s="455"/>
      <c r="GS353" s="455"/>
      <c r="GT353" s="455"/>
      <c r="GU353" s="455"/>
      <c r="GV353" s="455"/>
      <c r="GW353" s="455"/>
      <c r="GX353" s="455"/>
      <c r="GY353" s="455"/>
      <c r="GZ353" s="455"/>
      <c r="HA353" s="455"/>
      <c r="HB353" s="455"/>
      <c r="HC353" s="455"/>
      <c r="HD353" s="455"/>
      <c r="HE353" s="455"/>
      <c r="HF353" s="455"/>
      <c r="HG353" s="455"/>
      <c r="HH353" s="455"/>
      <c r="HI353" s="455"/>
      <c r="HJ353" s="455"/>
      <c r="HK353" s="455"/>
      <c r="HL353" s="455"/>
      <c r="HM353" s="455"/>
      <c r="HN353" s="455"/>
      <c r="HO353" s="455"/>
      <c r="HP353" s="455"/>
      <c r="HQ353" s="455"/>
      <c r="HR353" s="455"/>
      <c r="HS353" s="455"/>
      <c r="HT353" s="455"/>
      <c r="HU353" s="455"/>
      <c r="HV353" s="455"/>
      <c r="HW353" s="455"/>
      <c r="HX353" s="455"/>
      <c r="HY353" s="455"/>
      <c r="HZ353" s="455"/>
      <c r="IA353" s="455"/>
      <c r="IB353" s="455"/>
      <c r="IC353" s="455"/>
      <c r="ID353" s="455"/>
      <c r="IE353" s="455"/>
      <c r="IF353" s="455"/>
      <c r="IG353" s="455"/>
      <c r="IH353" s="455"/>
      <c r="II353" s="455"/>
      <c r="IJ353" s="455"/>
      <c r="IK353" s="455"/>
      <c r="IL353" s="455"/>
      <c r="IM353" s="455"/>
      <c r="IN353" s="455"/>
      <c r="IO353" s="455"/>
      <c r="IP353" s="455"/>
      <c r="IQ353" s="455"/>
      <c r="IR353" s="455"/>
      <c r="IS353" s="455"/>
    </row>
    <row r="354" spans="1:253" s="458" customFormat="1" ht="45" x14ac:dyDescent="0.2">
      <c r="A354" s="444">
        <v>3418</v>
      </c>
      <c r="B354" s="445" t="s">
        <v>51</v>
      </c>
      <c r="C354" s="445" t="s">
        <v>52</v>
      </c>
      <c r="D354" s="445" t="s">
        <v>91</v>
      </c>
      <c r="E354" s="445"/>
      <c r="F354" s="479"/>
      <c r="G354" s="446">
        <v>54</v>
      </c>
      <c r="H354" s="445">
        <v>122</v>
      </c>
      <c r="I354" s="445"/>
      <c r="J354" s="445">
        <v>1</v>
      </c>
      <c r="K354" s="447">
        <v>1</v>
      </c>
      <c r="L354" s="445"/>
      <c r="M354" s="445">
        <v>2</v>
      </c>
      <c r="N354" s="445" t="s">
        <v>446</v>
      </c>
      <c r="O354" s="449" t="s">
        <v>1384</v>
      </c>
      <c r="P354" s="450">
        <v>6.6669999999999998</v>
      </c>
      <c r="Q354" s="451">
        <f t="shared" si="8"/>
        <v>6.6669999999999998</v>
      </c>
      <c r="R354" s="451">
        <f>SUMIF('Wege im Detail'!$A:$A,"3418",'Wege im Detail'!$P:$P)</f>
        <v>6.6669999999999998</v>
      </c>
      <c r="S354" s="452" t="s">
        <v>453</v>
      </c>
      <c r="T354" s="453">
        <v>43891</v>
      </c>
      <c r="U354" s="448"/>
      <c r="W354" s="448"/>
    </row>
    <row r="355" spans="1:253" s="458" customFormat="1" ht="56.25" x14ac:dyDescent="0.2">
      <c r="A355" s="444">
        <v>3442</v>
      </c>
      <c r="B355" s="445" t="s">
        <v>51</v>
      </c>
      <c r="C355" s="445" t="s">
        <v>52</v>
      </c>
      <c r="D355" s="445" t="s">
        <v>91</v>
      </c>
      <c r="E355" s="445"/>
      <c r="F355" s="479"/>
      <c r="G355" s="446">
        <v>54</v>
      </c>
      <c r="H355" s="445">
        <v>68</v>
      </c>
      <c r="I355" s="445"/>
      <c r="J355" s="445">
        <v>1</v>
      </c>
      <c r="K355" s="447">
        <v>3</v>
      </c>
      <c r="L355" s="448"/>
      <c r="M355" s="445">
        <v>2</v>
      </c>
      <c r="N355" s="445" t="s">
        <v>454</v>
      </c>
      <c r="O355" s="461" t="s">
        <v>1385</v>
      </c>
      <c r="P355" s="450">
        <v>9.0440000000000005</v>
      </c>
      <c r="Q355" s="451">
        <f t="shared" si="8"/>
        <v>9.0440000000000005</v>
      </c>
      <c r="R355" s="451">
        <f>SUMIF('Wege im Detail'!$A:$A,"3442",'Wege im Detail'!$P:$P)</f>
        <v>22.896000000000001</v>
      </c>
      <c r="S355" s="452" t="s">
        <v>455</v>
      </c>
      <c r="T355" s="453">
        <v>43891</v>
      </c>
      <c r="U355" s="448"/>
      <c r="V355" s="457"/>
      <c r="W355" s="448"/>
    </row>
    <row r="356" spans="1:253" s="458" customFormat="1" ht="56.25" x14ac:dyDescent="0.2">
      <c r="A356" s="444">
        <v>3442</v>
      </c>
      <c r="B356" s="445" t="s">
        <v>51</v>
      </c>
      <c r="C356" s="445" t="s">
        <v>52</v>
      </c>
      <c r="D356" s="445" t="s">
        <v>91</v>
      </c>
      <c r="E356" s="445"/>
      <c r="F356" s="479"/>
      <c r="G356" s="446">
        <v>54</v>
      </c>
      <c r="H356" s="445">
        <v>68</v>
      </c>
      <c r="I356" s="445"/>
      <c r="J356" s="445">
        <v>2</v>
      </c>
      <c r="K356" s="447">
        <v>3</v>
      </c>
      <c r="L356" s="448"/>
      <c r="M356" s="445">
        <v>2</v>
      </c>
      <c r="N356" s="445" t="s">
        <v>63</v>
      </c>
      <c r="O356" s="461" t="s">
        <v>1386</v>
      </c>
      <c r="P356" s="450">
        <v>10.051</v>
      </c>
      <c r="Q356" s="451">
        <f t="shared" si="8"/>
        <v>10.051</v>
      </c>
      <c r="R356" s="451">
        <f>SUMIF('Wege im Detail'!$A:$A,"3442",'Wege im Detail'!$P:$P)</f>
        <v>22.896000000000001</v>
      </c>
      <c r="S356" s="452" t="s">
        <v>455</v>
      </c>
      <c r="T356" s="453">
        <v>43891</v>
      </c>
      <c r="U356" s="448"/>
      <c r="V356" s="457"/>
      <c r="W356" s="448"/>
      <c r="X356" s="455"/>
      <c r="Y356" s="455"/>
      <c r="Z356" s="455"/>
      <c r="AA356" s="455"/>
      <c r="AB356" s="455"/>
      <c r="AC356" s="455"/>
      <c r="AD356" s="455"/>
      <c r="AE356" s="455"/>
      <c r="AF356" s="455"/>
      <c r="AG356" s="455"/>
      <c r="AH356" s="455"/>
      <c r="AI356" s="455"/>
      <c r="AJ356" s="455"/>
      <c r="AK356" s="455"/>
      <c r="AL356" s="455"/>
      <c r="AM356" s="455"/>
      <c r="AN356" s="455"/>
      <c r="AO356" s="455"/>
      <c r="AP356" s="455"/>
      <c r="AQ356" s="455"/>
      <c r="AR356" s="455"/>
      <c r="AS356" s="455"/>
      <c r="AT356" s="455"/>
      <c r="AU356" s="455"/>
      <c r="AV356" s="455"/>
      <c r="AW356" s="455"/>
      <c r="AX356" s="455"/>
      <c r="AY356" s="455"/>
      <c r="AZ356" s="455"/>
      <c r="BA356" s="455"/>
      <c r="BB356" s="455"/>
      <c r="BC356" s="455"/>
      <c r="BD356" s="455"/>
      <c r="BE356" s="455"/>
      <c r="BF356" s="455"/>
      <c r="BG356" s="455"/>
      <c r="BH356" s="455"/>
      <c r="BI356" s="455"/>
      <c r="BJ356" s="455"/>
      <c r="BK356" s="455"/>
      <c r="BL356" s="455"/>
      <c r="BM356" s="455"/>
      <c r="BN356" s="455"/>
      <c r="BO356" s="455"/>
      <c r="BP356" s="455"/>
      <c r="BQ356" s="455"/>
      <c r="BR356" s="455"/>
      <c r="BS356" s="455"/>
      <c r="BT356" s="455"/>
      <c r="BU356" s="455"/>
      <c r="BV356" s="455"/>
      <c r="BW356" s="455"/>
      <c r="BX356" s="455"/>
      <c r="BY356" s="455"/>
      <c r="BZ356" s="455"/>
      <c r="CA356" s="455"/>
      <c r="CB356" s="455"/>
      <c r="CC356" s="455"/>
      <c r="CD356" s="455"/>
      <c r="CE356" s="455"/>
      <c r="CF356" s="455"/>
      <c r="CG356" s="455"/>
      <c r="CH356" s="455"/>
      <c r="CI356" s="455"/>
      <c r="CJ356" s="455"/>
      <c r="CK356" s="455"/>
      <c r="CL356" s="455"/>
      <c r="CM356" s="455"/>
      <c r="CN356" s="455"/>
      <c r="CO356" s="455"/>
      <c r="CP356" s="455"/>
      <c r="CQ356" s="455"/>
      <c r="CR356" s="455"/>
      <c r="CS356" s="455"/>
      <c r="CT356" s="455"/>
      <c r="CU356" s="455"/>
      <c r="CV356" s="455"/>
      <c r="CW356" s="455"/>
      <c r="CX356" s="455"/>
      <c r="CY356" s="455"/>
      <c r="CZ356" s="455"/>
      <c r="DA356" s="455"/>
      <c r="DB356" s="455"/>
      <c r="DC356" s="455"/>
      <c r="DD356" s="455"/>
      <c r="DE356" s="455"/>
      <c r="DF356" s="455"/>
      <c r="DG356" s="455"/>
      <c r="DH356" s="455"/>
      <c r="DI356" s="455"/>
      <c r="DJ356" s="455"/>
      <c r="DK356" s="455"/>
      <c r="DL356" s="455"/>
      <c r="DM356" s="455"/>
      <c r="DN356" s="455"/>
      <c r="DO356" s="455"/>
      <c r="DP356" s="455"/>
      <c r="DQ356" s="455"/>
      <c r="DR356" s="455"/>
      <c r="DS356" s="455"/>
      <c r="DT356" s="455"/>
      <c r="DU356" s="455"/>
      <c r="DV356" s="455"/>
      <c r="DW356" s="455"/>
      <c r="DX356" s="455"/>
      <c r="DY356" s="455"/>
      <c r="DZ356" s="455"/>
      <c r="EA356" s="455"/>
      <c r="EB356" s="455"/>
      <c r="EC356" s="455"/>
      <c r="ED356" s="455"/>
      <c r="EE356" s="455"/>
      <c r="EF356" s="455"/>
      <c r="EG356" s="455"/>
      <c r="EH356" s="455"/>
      <c r="EI356" s="455"/>
      <c r="EJ356" s="455"/>
      <c r="EK356" s="455"/>
      <c r="EL356" s="455"/>
      <c r="EM356" s="455"/>
      <c r="EN356" s="455"/>
      <c r="EO356" s="455"/>
      <c r="EP356" s="455"/>
      <c r="EQ356" s="455"/>
      <c r="ER356" s="455"/>
      <c r="ES356" s="455"/>
      <c r="ET356" s="455"/>
      <c r="EU356" s="455"/>
      <c r="EV356" s="455"/>
      <c r="EW356" s="455"/>
      <c r="EX356" s="455"/>
      <c r="EY356" s="455"/>
      <c r="EZ356" s="455"/>
      <c r="FA356" s="455"/>
      <c r="FB356" s="455"/>
      <c r="FC356" s="455"/>
      <c r="FD356" s="455"/>
      <c r="FE356" s="455"/>
      <c r="FF356" s="455"/>
      <c r="FG356" s="455"/>
      <c r="FH356" s="455"/>
      <c r="FI356" s="455"/>
      <c r="FJ356" s="455"/>
      <c r="FK356" s="455"/>
      <c r="FL356" s="455"/>
      <c r="FM356" s="455"/>
      <c r="FN356" s="455"/>
      <c r="FO356" s="455"/>
      <c r="FP356" s="455"/>
      <c r="FQ356" s="455"/>
      <c r="FR356" s="455"/>
      <c r="FS356" s="455"/>
      <c r="FT356" s="455"/>
      <c r="FU356" s="455"/>
      <c r="FV356" s="455"/>
      <c r="FW356" s="455"/>
      <c r="FX356" s="455"/>
      <c r="FY356" s="455"/>
      <c r="FZ356" s="455"/>
      <c r="GA356" s="455"/>
      <c r="GB356" s="455"/>
      <c r="GC356" s="455"/>
      <c r="GD356" s="455"/>
      <c r="GE356" s="455"/>
      <c r="GF356" s="455"/>
      <c r="GG356" s="455"/>
      <c r="GH356" s="455"/>
      <c r="GI356" s="455"/>
      <c r="GJ356" s="455"/>
      <c r="GK356" s="455"/>
      <c r="GL356" s="455"/>
      <c r="GM356" s="455"/>
      <c r="GN356" s="455"/>
      <c r="GO356" s="455"/>
      <c r="GP356" s="455"/>
      <c r="GQ356" s="455"/>
      <c r="GR356" s="455"/>
      <c r="GS356" s="455"/>
      <c r="GT356" s="455"/>
      <c r="GU356" s="455"/>
      <c r="GV356" s="455"/>
      <c r="GW356" s="455"/>
      <c r="GX356" s="455"/>
      <c r="GY356" s="455"/>
      <c r="GZ356" s="455"/>
      <c r="HA356" s="455"/>
      <c r="HB356" s="455"/>
      <c r="HC356" s="455"/>
      <c r="HD356" s="455"/>
      <c r="HE356" s="455"/>
      <c r="HF356" s="455"/>
      <c r="HG356" s="455"/>
      <c r="HH356" s="455"/>
      <c r="HI356" s="455"/>
      <c r="HJ356" s="455"/>
      <c r="HK356" s="455"/>
      <c r="HL356" s="455"/>
      <c r="HM356" s="455"/>
      <c r="HN356" s="455"/>
      <c r="HO356" s="455"/>
      <c r="HP356" s="455"/>
      <c r="HQ356" s="455"/>
      <c r="HR356" s="455"/>
      <c r="HS356" s="455"/>
      <c r="HT356" s="455"/>
      <c r="HU356" s="455"/>
      <c r="HV356" s="455"/>
      <c r="HW356" s="455"/>
      <c r="HX356" s="455"/>
      <c r="HY356" s="455"/>
      <c r="HZ356" s="455"/>
      <c r="IA356" s="455"/>
      <c r="IB356" s="455"/>
      <c r="IC356" s="455"/>
      <c r="ID356" s="455"/>
      <c r="IE356" s="455"/>
      <c r="IF356" s="455"/>
      <c r="IG356" s="455"/>
      <c r="IH356" s="455"/>
      <c r="II356" s="455"/>
      <c r="IJ356" s="455"/>
      <c r="IK356" s="455"/>
      <c r="IL356" s="455"/>
      <c r="IM356" s="455"/>
      <c r="IN356" s="455"/>
      <c r="IO356" s="455"/>
      <c r="IP356" s="455"/>
      <c r="IQ356" s="455"/>
      <c r="IR356" s="455"/>
      <c r="IS356" s="455"/>
    </row>
    <row r="357" spans="1:253" s="458" customFormat="1" ht="45" x14ac:dyDescent="0.2">
      <c r="A357" s="444">
        <v>3442</v>
      </c>
      <c r="B357" s="445" t="s">
        <v>51</v>
      </c>
      <c r="C357" s="445" t="s">
        <v>52</v>
      </c>
      <c r="D357" s="445" t="s">
        <v>91</v>
      </c>
      <c r="E357" s="445"/>
      <c r="F357" s="479"/>
      <c r="G357" s="446">
        <v>54</v>
      </c>
      <c r="H357" s="445">
        <v>68</v>
      </c>
      <c r="I357" s="445"/>
      <c r="J357" s="445">
        <v>3</v>
      </c>
      <c r="K357" s="447">
        <v>3</v>
      </c>
      <c r="L357" s="448"/>
      <c r="M357" s="445">
        <v>2</v>
      </c>
      <c r="N357" s="445" t="s">
        <v>834</v>
      </c>
      <c r="O357" s="461" t="s">
        <v>1387</v>
      </c>
      <c r="P357" s="450">
        <v>3.8010000000000002</v>
      </c>
      <c r="Q357" s="451">
        <f t="shared" si="8"/>
        <v>3.8010000000000002</v>
      </c>
      <c r="R357" s="451">
        <f>SUMIF('Wege im Detail'!$A:$A,"3442",'Wege im Detail'!$P:$P)</f>
        <v>22.896000000000001</v>
      </c>
      <c r="S357" s="452" t="s">
        <v>455</v>
      </c>
      <c r="T357" s="453">
        <v>43891</v>
      </c>
      <c r="U357" s="448"/>
      <c r="V357" s="457"/>
      <c r="W357" s="448"/>
      <c r="X357" s="455"/>
      <c r="Y357" s="455"/>
      <c r="Z357" s="455"/>
      <c r="AA357" s="455"/>
      <c r="AB357" s="455"/>
      <c r="AC357" s="455"/>
      <c r="AD357" s="455"/>
      <c r="AE357" s="455"/>
      <c r="AF357" s="455"/>
      <c r="AG357" s="455"/>
      <c r="AH357" s="455"/>
      <c r="AI357" s="455"/>
      <c r="AJ357" s="455"/>
      <c r="AK357" s="455"/>
      <c r="AL357" s="455"/>
      <c r="AM357" s="455"/>
      <c r="AN357" s="455"/>
      <c r="AO357" s="455"/>
      <c r="AP357" s="455"/>
      <c r="AQ357" s="455"/>
      <c r="AR357" s="455"/>
      <c r="AS357" s="455"/>
      <c r="AT357" s="455"/>
      <c r="AU357" s="455"/>
      <c r="AV357" s="455"/>
      <c r="AW357" s="455"/>
      <c r="AX357" s="455"/>
      <c r="AY357" s="455"/>
      <c r="AZ357" s="455"/>
      <c r="BA357" s="455"/>
      <c r="BB357" s="455"/>
      <c r="BC357" s="455"/>
      <c r="BD357" s="455"/>
      <c r="BE357" s="455"/>
      <c r="BF357" s="455"/>
      <c r="BG357" s="455"/>
      <c r="BH357" s="455"/>
      <c r="BI357" s="455"/>
      <c r="BJ357" s="455"/>
      <c r="BK357" s="455"/>
      <c r="BL357" s="455"/>
      <c r="BM357" s="455"/>
      <c r="BN357" s="455"/>
      <c r="BO357" s="455"/>
      <c r="BP357" s="455"/>
      <c r="BQ357" s="455"/>
      <c r="BR357" s="455"/>
      <c r="BS357" s="455"/>
      <c r="BT357" s="455"/>
      <c r="BU357" s="455"/>
      <c r="BV357" s="455"/>
      <c r="BW357" s="455"/>
      <c r="BX357" s="455"/>
      <c r="BY357" s="455"/>
      <c r="BZ357" s="455"/>
      <c r="CA357" s="455"/>
      <c r="CB357" s="455"/>
      <c r="CC357" s="455"/>
      <c r="CD357" s="455"/>
      <c r="CE357" s="455"/>
      <c r="CF357" s="455"/>
      <c r="CG357" s="455"/>
      <c r="CH357" s="455"/>
      <c r="CI357" s="455"/>
      <c r="CJ357" s="455"/>
      <c r="CK357" s="455"/>
      <c r="CL357" s="455"/>
      <c r="CM357" s="455"/>
      <c r="CN357" s="455"/>
      <c r="CO357" s="455"/>
      <c r="CP357" s="455"/>
      <c r="CQ357" s="455"/>
      <c r="CR357" s="455"/>
      <c r="CS357" s="455"/>
      <c r="CT357" s="455"/>
      <c r="CU357" s="455"/>
      <c r="CV357" s="455"/>
      <c r="CW357" s="455"/>
      <c r="CX357" s="455"/>
      <c r="CY357" s="455"/>
      <c r="CZ357" s="455"/>
      <c r="DA357" s="455"/>
      <c r="DB357" s="455"/>
      <c r="DC357" s="455"/>
      <c r="DD357" s="455"/>
      <c r="DE357" s="455"/>
      <c r="DF357" s="455"/>
      <c r="DG357" s="455"/>
      <c r="DH357" s="455"/>
      <c r="DI357" s="455"/>
      <c r="DJ357" s="455"/>
      <c r="DK357" s="455"/>
      <c r="DL357" s="455"/>
      <c r="DM357" s="455"/>
      <c r="DN357" s="455"/>
      <c r="DO357" s="455"/>
      <c r="DP357" s="455"/>
      <c r="DQ357" s="455"/>
      <c r="DR357" s="455"/>
      <c r="DS357" s="455"/>
      <c r="DT357" s="455"/>
      <c r="DU357" s="455"/>
      <c r="DV357" s="455"/>
      <c r="DW357" s="455"/>
      <c r="DX357" s="455"/>
      <c r="DY357" s="455"/>
      <c r="DZ357" s="455"/>
      <c r="EA357" s="455"/>
      <c r="EB357" s="455"/>
      <c r="EC357" s="455"/>
      <c r="ED357" s="455"/>
      <c r="EE357" s="455"/>
      <c r="EF357" s="455"/>
      <c r="EG357" s="455"/>
      <c r="EH357" s="455"/>
      <c r="EI357" s="455"/>
      <c r="EJ357" s="455"/>
      <c r="EK357" s="455"/>
      <c r="EL357" s="455"/>
      <c r="EM357" s="455"/>
      <c r="EN357" s="455"/>
      <c r="EO357" s="455"/>
      <c r="EP357" s="455"/>
      <c r="EQ357" s="455"/>
      <c r="ER357" s="455"/>
      <c r="ES357" s="455"/>
      <c r="ET357" s="455"/>
      <c r="EU357" s="455"/>
      <c r="EV357" s="455"/>
      <c r="EW357" s="455"/>
      <c r="EX357" s="455"/>
      <c r="EY357" s="455"/>
      <c r="EZ357" s="455"/>
      <c r="FA357" s="455"/>
      <c r="FB357" s="455"/>
      <c r="FC357" s="455"/>
      <c r="FD357" s="455"/>
      <c r="FE357" s="455"/>
      <c r="FF357" s="455"/>
      <c r="FG357" s="455"/>
      <c r="FH357" s="455"/>
      <c r="FI357" s="455"/>
      <c r="FJ357" s="455"/>
      <c r="FK357" s="455"/>
      <c r="FL357" s="455"/>
      <c r="FM357" s="455"/>
      <c r="FN357" s="455"/>
      <c r="FO357" s="455"/>
      <c r="FP357" s="455"/>
      <c r="FQ357" s="455"/>
      <c r="FR357" s="455"/>
      <c r="FS357" s="455"/>
      <c r="FT357" s="455"/>
      <c r="FU357" s="455"/>
      <c r="FV357" s="455"/>
      <c r="FW357" s="455"/>
      <c r="FX357" s="455"/>
      <c r="FY357" s="455"/>
      <c r="FZ357" s="455"/>
      <c r="GA357" s="455"/>
      <c r="GB357" s="455"/>
      <c r="GC357" s="455"/>
      <c r="GD357" s="455"/>
      <c r="GE357" s="455"/>
      <c r="GF357" s="455"/>
      <c r="GG357" s="455"/>
      <c r="GH357" s="455"/>
      <c r="GI357" s="455"/>
      <c r="GJ357" s="455"/>
      <c r="GK357" s="455"/>
      <c r="GL357" s="455"/>
      <c r="GM357" s="455"/>
      <c r="GN357" s="455"/>
      <c r="GO357" s="455"/>
      <c r="GP357" s="455"/>
      <c r="GQ357" s="455"/>
      <c r="GR357" s="455"/>
      <c r="GS357" s="455"/>
      <c r="GT357" s="455"/>
      <c r="GU357" s="455"/>
      <c r="GV357" s="455"/>
      <c r="GW357" s="455"/>
      <c r="GX357" s="455"/>
      <c r="GY357" s="455"/>
      <c r="GZ357" s="455"/>
      <c r="HA357" s="455"/>
      <c r="HB357" s="455"/>
      <c r="HC357" s="455"/>
      <c r="HD357" s="455"/>
      <c r="HE357" s="455"/>
      <c r="HF357" s="455"/>
      <c r="HG357" s="455"/>
      <c r="HH357" s="455"/>
      <c r="HI357" s="455"/>
      <c r="HJ357" s="455"/>
      <c r="HK357" s="455"/>
      <c r="HL357" s="455"/>
      <c r="HM357" s="455"/>
      <c r="HN357" s="455"/>
      <c r="HO357" s="455"/>
      <c r="HP357" s="455"/>
      <c r="HQ357" s="455"/>
      <c r="HR357" s="455"/>
      <c r="HS357" s="455"/>
      <c r="HT357" s="455"/>
      <c r="HU357" s="455"/>
      <c r="HV357" s="455"/>
      <c r="HW357" s="455"/>
      <c r="HX357" s="455"/>
      <c r="HY357" s="455"/>
      <c r="HZ357" s="455"/>
      <c r="IA357" s="455"/>
      <c r="IB357" s="455"/>
      <c r="IC357" s="455"/>
      <c r="ID357" s="455"/>
      <c r="IE357" s="455"/>
      <c r="IF357" s="455"/>
      <c r="IG357" s="455"/>
      <c r="IH357" s="455"/>
      <c r="II357" s="455"/>
      <c r="IJ357" s="455"/>
      <c r="IK357" s="455"/>
      <c r="IL357" s="455"/>
      <c r="IM357" s="455"/>
      <c r="IN357" s="455"/>
      <c r="IO357" s="455"/>
      <c r="IP357" s="455"/>
      <c r="IQ357" s="455"/>
      <c r="IR357" s="455"/>
      <c r="IS357" s="455"/>
    </row>
    <row r="358" spans="1:253" s="458" customFormat="1" ht="45" x14ac:dyDescent="0.2">
      <c r="A358" s="444">
        <v>3443</v>
      </c>
      <c r="B358" s="445" t="s">
        <v>51</v>
      </c>
      <c r="C358" s="445" t="s">
        <v>52</v>
      </c>
      <c r="D358" s="445" t="s">
        <v>91</v>
      </c>
      <c r="E358" s="445"/>
      <c r="F358" s="445"/>
      <c r="G358" s="446">
        <v>86</v>
      </c>
      <c r="H358" s="445">
        <v>70</v>
      </c>
      <c r="I358" s="445" t="s">
        <v>457</v>
      </c>
      <c r="J358" s="445">
        <v>1</v>
      </c>
      <c r="K358" s="447">
        <v>1</v>
      </c>
      <c r="L358" s="445"/>
      <c r="M358" s="445">
        <v>2</v>
      </c>
      <c r="N358" s="445" t="s">
        <v>458</v>
      </c>
      <c r="O358" s="449" t="s">
        <v>1388</v>
      </c>
      <c r="P358" s="450">
        <v>4.8209999999999997</v>
      </c>
      <c r="Q358" s="451">
        <f t="shared" si="8"/>
        <v>4.8209999999999997</v>
      </c>
      <c r="R358" s="451">
        <f>SUMIF('Wege im Detail'!$A:$A,"3443",'Wege im Detail'!$P:$P)</f>
        <v>4.8209999999999997</v>
      </c>
      <c r="S358" s="452" t="s">
        <v>459</v>
      </c>
      <c r="T358" s="453">
        <v>42795</v>
      </c>
      <c r="U358" s="448"/>
      <c r="V358" s="457"/>
      <c r="W358" s="448"/>
    </row>
    <row r="359" spans="1:253" s="458" customFormat="1" ht="45" x14ac:dyDescent="0.2">
      <c r="A359" s="444">
        <v>3444</v>
      </c>
      <c r="B359" s="445" t="s">
        <v>51</v>
      </c>
      <c r="C359" s="445" t="s">
        <v>52</v>
      </c>
      <c r="D359" s="445" t="s">
        <v>91</v>
      </c>
      <c r="E359" s="445"/>
      <c r="F359" s="445"/>
      <c r="G359" s="446">
        <v>57</v>
      </c>
      <c r="H359" s="445">
        <v>70</v>
      </c>
      <c r="I359" s="445" t="s">
        <v>417</v>
      </c>
      <c r="J359" s="445">
        <v>1</v>
      </c>
      <c r="K359" s="447">
        <v>2</v>
      </c>
      <c r="L359" s="445"/>
      <c r="M359" s="445">
        <v>2</v>
      </c>
      <c r="N359" s="445" t="s">
        <v>458</v>
      </c>
      <c r="O359" s="449" t="s">
        <v>1389</v>
      </c>
      <c r="P359" s="450">
        <v>1.905</v>
      </c>
      <c r="Q359" s="451">
        <f t="shared" si="8"/>
        <v>1.905</v>
      </c>
      <c r="R359" s="451">
        <f>SUMIF('Wege im Detail'!$A:$A,"3444",'Wege im Detail'!$P:$P)</f>
        <v>4.7240000000000002</v>
      </c>
      <c r="S359" s="452" t="s">
        <v>1390</v>
      </c>
      <c r="T359" s="453">
        <v>42795</v>
      </c>
      <c r="U359" s="448"/>
      <c r="V359" s="457"/>
      <c r="W359" s="448"/>
      <c r="X359" s="455"/>
      <c r="Y359" s="455"/>
      <c r="Z359" s="455"/>
      <c r="AA359" s="455"/>
      <c r="AB359" s="455"/>
      <c r="AC359" s="455"/>
      <c r="AD359" s="455"/>
      <c r="AE359" s="455"/>
      <c r="AF359" s="455"/>
      <c r="AG359" s="455"/>
      <c r="AH359" s="455"/>
      <c r="AI359" s="455"/>
      <c r="AJ359" s="455"/>
      <c r="AK359" s="455"/>
      <c r="AL359" s="455"/>
      <c r="AM359" s="455"/>
      <c r="AN359" s="455"/>
      <c r="AO359" s="455"/>
      <c r="AP359" s="455"/>
      <c r="AQ359" s="455"/>
      <c r="AR359" s="455"/>
      <c r="AS359" s="455"/>
      <c r="AT359" s="455"/>
      <c r="AU359" s="455"/>
      <c r="AV359" s="455"/>
      <c r="AW359" s="455"/>
      <c r="AX359" s="455"/>
      <c r="AY359" s="455"/>
      <c r="AZ359" s="455"/>
      <c r="BA359" s="455"/>
      <c r="BB359" s="455"/>
      <c r="BC359" s="455"/>
      <c r="BD359" s="455"/>
      <c r="BE359" s="455"/>
      <c r="BF359" s="455"/>
      <c r="BG359" s="455"/>
      <c r="BH359" s="455"/>
      <c r="BI359" s="455"/>
      <c r="BJ359" s="455"/>
      <c r="BK359" s="455"/>
      <c r="BL359" s="455"/>
      <c r="BM359" s="455"/>
      <c r="BN359" s="455"/>
      <c r="BO359" s="455"/>
      <c r="BP359" s="455"/>
      <c r="BQ359" s="455"/>
      <c r="BR359" s="455"/>
      <c r="BS359" s="455"/>
      <c r="BT359" s="455"/>
      <c r="BU359" s="455"/>
      <c r="BV359" s="455"/>
      <c r="BW359" s="455"/>
      <c r="BX359" s="455"/>
      <c r="BY359" s="455"/>
      <c r="BZ359" s="455"/>
      <c r="CA359" s="455"/>
      <c r="CB359" s="455"/>
      <c r="CC359" s="455"/>
      <c r="CD359" s="455"/>
      <c r="CE359" s="455"/>
      <c r="CF359" s="455"/>
      <c r="CG359" s="455"/>
      <c r="CH359" s="455"/>
      <c r="CI359" s="455"/>
      <c r="CJ359" s="455"/>
      <c r="CK359" s="455"/>
      <c r="CL359" s="455"/>
      <c r="CM359" s="455"/>
      <c r="CN359" s="455"/>
      <c r="CO359" s="455"/>
      <c r="CP359" s="455"/>
      <c r="CQ359" s="455"/>
      <c r="CR359" s="455"/>
      <c r="CS359" s="455"/>
      <c r="CT359" s="455"/>
      <c r="CU359" s="455"/>
      <c r="CV359" s="455"/>
      <c r="CW359" s="455"/>
      <c r="CX359" s="455"/>
      <c r="CY359" s="455"/>
      <c r="CZ359" s="455"/>
      <c r="DA359" s="455"/>
      <c r="DB359" s="455"/>
      <c r="DC359" s="455"/>
      <c r="DD359" s="455"/>
      <c r="DE359" s="455"/>
      <c r="DF359" s="455"/>
      <c r="DG359" s="455"/>
      <c r="DH359" s="455"/>
      <c r="DI359" s="455"/>
      <c r="DJ359" s="455"/>
      <c r="DK359" s="455"/>
      <c r="DL359" s="455"/>
      <c r="DM359" s="455"/>
      <c r="DN359" s="455"/>
      <c r="DO359" s="455"/>
      <c r="DP359" s="455"/>
      <c r="DQ359" s="455"/>
      <c r="DR359" s="455"/>
      <c r="DS359" s="455"/>
      <c r="DT359" s="455"/>
      <c r="DU359" s="455"/>
      <c r="DV359" s="455"/>
      <c r="DW359" s="455"/>
      <c r="DX359" s="455"/>
      <c r="DY359" s="455"/>
      <c r="DZ359" s="455"/>
      <c r="EA359" s="455"/>
      <c r="EB359" s="455"/>
      <c r="EC359" s="455"/>
      <c r="ED359" s="455"/>
      <c r="EE359" s="455"/>
      <c r="EF359" s="455"/>
      <c r="EG359" s="455"/>
      <c r="EH359" s="455"/>
      <c r="EI359" s="455"/>
      <c r="EJ359" s="455"/>
      <c r="EK359" s="455"/>
      <c r="EL359" s="455"/>
      <c r="EM359" s="455"/>
      <c r="EN359" s="455"/>
      <c r="EO359" s="455"/>
      <c r="EP359" s="455"/>
      <c r="EQ359" s="455"/>
      <c r="ER359" s="455"/>
      <c r="ES359" s="455"/>
      <c r="ET359" s="455"/>
      <c r="EU359" s="455"/>
      <c r="EV359" s="455"/>
      <c r="EW359" s="455"/>
      <c r="EX359" s="455"/>
      <c r="EY359" s="455"/>
      <c r="EZ359" s="455"/>
      <c r="FA359" s="455"/>
      <c r="FB359" s="455"/>
      <c r="FC359" s="455"/>
      <c r="FD359" s="455"/>
      <c r="FE359" s="455"/>
      <c r="FF359" s="455"/>
      <c r="FG359" s="455"/>
      <c r="FH359" s="455"/>
      <c r="FI359" s="455"/>
      <c r="FJ359" s="455"/>
      <c r="FK359" s="455"/>
      <c r="FL359" s="455"/>
      <c r="FM359" s="455"/>
      <c r="FN359" s="455"/>
      <c r="FO359" s="455"/>
      <c r="FP359" s="455"/>
      <c r="FQ359" s="455"/>
      <c r="FR359" s="455"/>
      <c r="FS359" s="455"/>
      <c r="FT359" s="455"/>
      <c r="FU359" s="455"/>
      <c r="FV359" s="455"/>
      <c r="FW359" s="455"/>
      <c r="FX359" s="455"/>
      <c r="FY359" s="455"/>
      <c r="FZ359" s="455"/>
      <c r="GA359" s="455"/>
      <c r="GB359" s="455"/>
      <c r="GC359" s="455"/>
      <c r="GD359" s="455"/>
      <c r="GE359" s="455"/>
      <c r="GF359" s="455"/>
      <c r="GG359" s="455"/>
      <c r="GH359" s="455"/>
      <c r="GI359" s="455"/>
      <c r="GJ359" s="455"/>
      <c r="GK359" s="455"/>
      <c r="GL359" s="455"/>
      <c r="GM359" s="455"/>
      <c r="GN359" s="455"/>
      <c r="GO359" s="455"/>
      <c r="GP359" s="455"/>
      <c r="GQ359" s="455"/>
      <c r="GR359" s="455"/>
      <c r="GS359" s="455"/>
      <c r="GT359" s="455"/>
      <c r="GU359" s="455"/>
      <c r="GV359" s="455"/>
      <c r="GW359" s="455"/>
      <c r="GX359" s="455"/>
      <c r="GY359" s="455"/>
      <c r="GZ359" s="455"/>
      <c r="HA359" s="455"/>
      <c r="HB359" s="455"/>
      <c r="HC359" s="455"/>
      <c r="HD359" s="455"/>
      <c r="HE359" s="455"/>
      <c r="HF359" s="455"/>
      <c r="HG359" s="455"/>
      <c r="HH359" s="455"/>
      <c r="HI359" s="455"/>
      <c r="HJ359" s="455"/>
      <c r="HK359" s="455"/>
      <c r="HL359" s="455"/>
      <c r="HM359" s="455"/>
      <c r="HN359" s="455"/>
      <c r="HO359" s="455"/>
      <c r="HP359" s="455"/>
      <c r="HQ359" s="455"/>
      <c r="HR359" s="455"/>
      <c r="HS359" s="455"/>
      <c r="HT359" s="455"/>
      <c r="HU359" s="455"/>
      <c r="HV359" s="455"/>
      <c r="HW359" s="455"/>
      <c r="HX359" s="455"/>
      <c r="HY359" s="455"/>
      <c r="HZ359" s="455"/>
      <c r="IA359" s="455"/>
      <c r="IB359" s="455"/>
      <c r="IC359" s="455"/>
      <c r="ID359" s="455"/>
      <c r="IE359" s="455"/>
      <c r="IF359" s="455"/>
      <c r="IG359" s="455"/>
      <c r="IH359" s="455"/>
      <c r="II359" s="455"/>
      <c r="IJ359" s="455"/>
      <c r="IK359" s="455"/>
      <c r="IL359" s="455"/>
      <c r="IM359" s="455"/>
      <c r="IN359" s="455"/>
      <c r="IO359" s="455"/>
      <c r="IP359" s="455"/>
      <c r="IQ359" s="455"/>
      <c r="IR359" s="455"/>
      <c r="IS359" s="455"/>
    </row>
    <row r="360" spans="1:253" s="458" customFormat="1" ht="45" x14ac:dyDescent="0.2">
      <c r="A360" s="444">
        <v>3444</v>
      </c>
      <c r="B360" s="445" t="s">
        <v>51</v>
      </c>
      <c r="C360" s="445" t="s">
        <v>52</v>
      </c>
      <c r="D360" s="445" t="s">
        <v>91</v>
      </c>
      <c r="E360" s="445"/>
      <c r="F360" s="445"/>
      <c r="G360" s="446">
        <v>57</v>
      </c>
      <c r="H360" s="445">
        <v>70</v>
      </c>
      <c r="I360" s="445" t="s">
        <v>417</v>
      </c>
      <c r="J360" s="445">
        <v>2</v>
      </c>
      <c r="K360" s="447">
        <v>2</v>
      </c>
      <c r="L360" s="445"/>
      <c r="M360" s="445">
        <v>2</v>
      </c>
      <c r="N360" s="445" t="s">
        <v>63</v>
      </c>
      <c r="O360" s="449" t="s">
        <v>1391</v>
      </c>
      <c r="P360" s="450">
        <v>2.819</v>
      </c>
      <c r="Q360" s="451">
        <f t="shared" si="8"/>
        <v>2.819</v>
      </c>
      <c r="R360" s="451">
        <f>SUMIF('Wege im Detail'!$A:$A,"3444",'Wege im Detail'!$P:$P)</f>
        <v>4.7240000000000002</v>
      </c>
      <c r="S360" s="452" t="s">
        <v>1390</v>
      </c>
      <c r="T360" s="453">
        <v>42795</v>
      </c>
      <c r="U360" s="448"/>
      <c r="V360" s="457"/>
      <c r="W360" s="448"/>
    </row>
    <row r="361" spans="1:253" s="458" customFormat="1" ht="33.75" x14ac:dyDescent="0.2">
      <c r="A361" s="444">
        <v>3447</v>
      </c>
      <c r="B361" s="445" t="s">
        <v>51</v>
      </c>
      <c r="C361" s="445" t="s">
        <v>52</v>
      </c>
      <c r="D361" s="445" t="s">
        <v>91</v>
      </c>
      <c r="E361" s="445"/>
      <c r="F361" s="445"/>
      <c r="G361" s="446">
        <v>59</v>
      </c>
      <c r="H361" s="445">
        <v>97</v>
      </c>
      <c r="I361" s="445"/>
      <c r="J361" s="445">
        <v>1</v>
      </c>
      <c r="K361" s="447">
        <v>2</v>
      </c>
      <c r="L361" s="445"/>
      <c r="M361" s="445">
        <v>2</v>
      </c>
      <c r="N361" s="445" t="s">
        <v>461</v>
      </c>
      <c r="O361" s="464" t="s">
        <v>1392</v>
      </c>
      <c r="P361" s="450">
        <v>4.2859999999999996</v>
      </c>
      <c r="Q361" s="451">
        <f t="shared" si="8"/>
        <v>4.2859999999999996</v>
      </c>
      <c r="R361" s="451">
        <f>SUMIF('Wege im Detail'!$A:$A,"3447",'Wege im Detail'!$P:$P)</f>
        <v>6.8189999999999991</v>
      </c>
      <c r="S361" s="452" t="s">
        <v>1393</v>
      </c>
      <c r="T361" s="453">
        <v>43891</v>
      </c>
      <c r="U361" s="448"/>
      <c r="W361" s="448"/>
    </row>
    <row r="362" spans="1:253" s="458" customFormat="1" ht="33.75" x14ac:dyDescent="0.2">
      <c r="A362" s="444">
        <v>3447</v>
      </c>
      <c r="B362" s="445" t="s">
        <v>51</v>
      </c>
      <c r="C362" s="445" t="s">
        <v>52</v>
      </c>
      <c r="D362" s="445" t="s">
        <v>91</v>
      </c>
      <c r="E362" s="445"/>
      <c r="F362" s="445"/>
      <c r="G362" s="446">
        <v>59</v>
      </c>
      <c r="H362" s="445">
        <v>97</v>
      </c>
      <c r="I362" s="445"/>
      <c r="J362" s="445">
        <v>2</v>
      </c>
      <c r="K362" s="447">
        <v>2</v>
      </c>
      <c r="L362" s="445"/>
      <c r="M362" s="445">
        <v>2</v>
      </c>
      <c r="N362" s="445" t="s">
        <v>454</v>
      </c>
      <c r="O362" s="464" t="s">
        <v>1394</v>
      </c>
      <c r="P362" s="450">
        <v>2.5329999999999999</v>
      </c>
      <c r="Q362" s="451">
        <f t="shared" si="8"/>
        <v>2.5329999999999999</v>
      </c>
      <c r="R362" s="451">
        <f>SUMIF('Wege im Detail'!$A:$A,"3447",'Wege im Detail'!$P:$P)</f>
        <v>6.8189999999999991</v>
      </c>
      <c r="S362" s="452" t="s">
        <v>1393</v>
      </c>
      <c r="T362" s="453">
        <v>43891</v>
      </c>
      <c r="U362" s="448"/>
      <c r="W362" s="448"/>
      <c r="X362" s="455"/>
      <c r="Y362" s="455"/>
      <c r="Z362" s="455"/>
      <c r="AA362" s="455"/>
      <c r="AB362" s="455"/>
      <c r="AC362" s="455"/>
      <c r="AD362" s="455"/>
      <c r="AE362" s="455"/>
      <c r="AF362" s="455"/>
      <c r="AG362" s="455"/>
      <c r="AH362" s="455"/>
      <c r="AI362" s="455"/>
      <c r="AJ362" s="455"/>
      <c r="AK362" s="455"/>
      <c r="AL362" s="455"/>
      <c r="AM362" s="455"/>
      <c r="AN362" s="455"/>
      <c r="AO362" s="455"/>
      <c r="AP362" s="455"/>
      <c r="AQ362" s="455"/>
      <c r="AR362" s="455"/>
      <c r="AS362" s="455"/>
      <c r="AT362" s="455"/>
      <c r="AU362" s="455"/>
      <c r="AV362" s="455"/>
      <c r="AW362" s="455"/>
      <c r="AX362" s="455"/>
      <c r="AY362" s="455"/>
      <c r="AZ362" s="455"/>
      <c r="BA362" s="455"/>
      <c r="BB362" s="455"/>
      <c r="BC362" s="455"/>
      <c r="BD362" s="455"/>
      <c r="BE362" s="455"/>
      <c r="BF362" s="455"/>
      <c r="BG362" s="455"/>
      <c r="BH362" s="455"/>
      <c r="BI362" s="455"/>
      <c r="BJ362" s="455"/>
      <c r="BK362" s="455"/>
      <c r="BL362" s="455"/>
      <c r="BM362" s="455"/>
      <c r="BN362" s="455"/>
      <c r="BO362" s="455"/>
      <c r="BP362" s="455"/>
      <c r="BQ362" s="455"/>
      <c r="BR362" s="455"/>
      <c r="BS362" s="455"/>
      <c r="BT362" s="455"/>
      <c r="BU362" s="455"/>
      <c r="BV362" s="455"/>
      <c r="BW362" s="455"/>
      <c r="BX362" s="455"/>
      <c r="BY362" s="455"/>
      <c r="BZ362" s="455"/>
      <c r="CA362" s="455"/>
      <c r="CB362" s="455"/>
      <c r="CC362" s="455"/>
      <c r="CD362" s="455"/>
      <c r="CE362" s="455"/>
      <c r="CF362" s="455"/>
      <c r="CG362" s="455"/>
      <c r="CH362" s="455"/>
      <c r="CI362" s="455"/>
      <c r="CJ362" s="455"/>
      <c r="CK362" s="455"/>
      <c r="CL362" s="455"/>
      <c r="CM362" s="455"/>
      <c r="CN362" s="455"/>
      <c r="CO362" s="455"/>
      <c r="CP362" s="455"/>
      <c r="CQ362" s="455"/>
      <c r="CR362" s="455"/>
      <c r="CS362" s="455"/>
      <c r="CT362" s="455"/>
      <c r="CU362" s="455"/>
      <c r="CV362" s="455"/>
      <c r="CW362" s="455"/>
      <c r="CX362" s="455"/>
      <c r="CY362" s="455"/>
      <c r="CZ362" s="455"/>
      <c r="DA362" s="455"/>
      <c r="DB362" s="455"/>
      <c r="DC362" s="455"/>
      <c r="DD362" s="455"/>
      <c r="DE362" s="455"/>
      <c r="DF362" s="455"/>
      <c r="DG362" s="455"/>
      <c r="DH362" s="455"/>
      <c r="DI362" s="455"/>
      <c r="DJ362" s="455"/>
      <c r="DK362" s="455"/>
      <c r="DL362" s="455"/>
      <c r="DM362" s="455"/>
      <c r="DN362" s="455"/>
      <c r="DO362" s="455"/>
      <c r="DP362" s="455"/>
      <c r="DQ362" s="455"/>
      <c r="DR362" s="455"/>
      <c r="DS362" s="455"/>
      <c r="DT362" s="455"/>
      <c r="DU362" s="455"/>
      <c r="DV362" s="455"/>
      <c r="DW362" s="455"/>
      <c r="DX362" s="455"/>
      <c r="DY362" s="455"/>
      <c r="DZ362" s="455"/>
      <c r="EA362" s="455"/>
      <c r="EB362" s="455"/>
      <c r="EC362" s="455"/>
      <c r="ED362" s="455"/>
      <c r="EE362" s="455"/>
      <c r="EF362" s="455"/>
      <c r="EG362" s="455"/>
      <c r="EH362" s="455"/>
      <c r="EI362" s="455"/>
      <c r="EJ362" s="455"/>
      <c r="EK362" s="455"/>
      <c r="EL362" s="455"/>
      <c r="EM362" s="455"/>
      <c r="EN362" s="455"/>
      <c r="EO362" s="455"/>
      <c r="EP362" s="455"/>
      <c r="EQ362" s="455"/>
      <c r="ER362" s="455"/>
      <c r="ES362" s="455"/>
      <c r="ET362" s="455"/>
      <c r="EU362" s="455"/>
      <c r="EV362" s="455"/>
      <c r="EW362" s="455"/>
      <c r="EX362" s="455"/>
      <c r="EY362" s="455"/>
      <c r="EZ362" s="455"/>
      <c r="FA362" s="455"/>
      <c r="FB362" s="455"/>
      <c r="FC362" s="455"/>
      <c r="FD362" s="455"/>
      <c r="FE362" s="455"/>
      <c r="FF362" s="455"/>
      <c r="FG362" s="455"/>
      <c r="FH362" s="455"/>
      <c r="FI362" s="455"/>
      <c r="FJ362" s="455"/>
      <c r="FK362" s="455"/>
      <c r="FL362" s="455"/>
      <c r="FM362" s="455"/>
      <c r="FN362" s="455"/>
      <c r="FO362" s="455"/>
      <c r="FP362" s="455"/>
      <c r="FQ362" s="455"/>
      <c r="FR362" s="455"/>
      <c r="FS362" s="455"/>
      <c r="FT362" s="455"/>
      <c r="FU362" s="455"/>
      <c r="FV362" s="455"/>
      <c r="FW362" s="455"/>
      <c r="FX362" s="455"/>
      <c r="FY362" s="455"/>
      <c r="FZ362" s="455"/>
      <c r="GA362" s="455"/>
      <c r="GB362" s="455"/>
      <c r="GC362" s="455"/>
      <c r="GD362" s="455"/>
      <c r="GE362" s="455"/>
      <c r="GF362" s="455"/>
      <c r="GG362" s="455"/>
      <c r="GH362" s="455"/>
      <c r="GI362" s="455"/>
      <c r="GJ362" s="455"/>
      <c r="GK362" s="455"/>
      <c r="GL362" s="455"/>
      <c r="GM362" s="455"/>
      <c r="GN362" s="455"/>
      <c r="GO362" s="455"/>
      <c r="GP362" s="455"/>
      <c r="GQ362" s="455"/>
      <c r="GR362" s="455"/>
      <c r="GS362" s="455"/>
      <c r="GT362" s="455"/>
      <c r="GU362" s="455"/>
      <c r="GV362" s="455"/>
      <c r="GW362" s="455"/>
      <c r="GX362" s="455"/>
      <c r="GY362" s="455"/>
      <c r="GZ362" s="455"/>
      <c r="HA362" s="455"/>
      <c r="HB362" s="455"/>
      <c r="HC362" s="455"/>
      <c r="HD362" s="455"/>
      <c r="HE362" s="455"/>
      <c r="HF362" s="455"/>
      <c r="HG362" s="455"/>
      <c r="HH362" s="455"/>
      <c r="HI362" s="455"/>
      <c r="HJ362" s="455"/>
      <c r="HK362" s="455"/>
      <c r="HL362" s="455"/>
      <c r="HM362" s="455"/>
      <c r="HN362" s="455"/>
      <c r="HO362" s="455"/>
      <c r="HP362" s="455"/>
      <c r="HQ362" s="455"/>
      <c r="HR362" s="455"/>
      <c r="HS362" s="455"/>
      <c r="HT362" s="455"/>
      <c r="HU362" s="455"/>
      <c r="HV362" s="455"/>
      <c r="HW362" s="455"/>
      <c r="HX362" s="455"/>
      <c r="HY362" s="455"/>
      <c r="HZ362" s="455"/>
      <c r="IA362" s="455"/>
      <c r="IB362" s="455"/>
      <c r="IC362" s="455"/>
      <c r="ID362" s="455"/>
      <c r="IE362" s="455"/>
      <c r="IF362" s="455"/>
      <c r="IG362" s="455"/>
      <c r="IH362" s="455"/>
      <c r="II362" s="455"/>
      <c r="IJ362" s="455"/>
      <c r="IK362" s="455"/>
      <c r="IL362" s="455"/>
      <c r="IM362" s="455"/>
      <c r="IN362" s="455"/>
      <c r="IO362" s="455"/>
      <c r="IP362" s="455"/>
      <c r="IQ362" s="455"/>
      <c r="IR362" s="455"/>
      <c r="IS362" s="455"/>
    </row>
    <row r="363" spans="1:253" s="458" customFormat="1" ht="56.25" x14ac:dyDescent="0.2">
      <c r="A363" s="444">
        <v>3451</v>
      </c>
      <c r="B363" s="445" t="s">
        <v>51</v>
      </c>
      <c r="C363" s="445" t="s">
        <v>52</v>
      </c>
      <c r="D363" s="445" t="s">
        <v>91</v>
      </c>
      <c r="E363" s="445"/>
      <c r="F363" s="445"/>
      <c r="G363" s="446">
        <v>103</v>
      </c>
      <c r="H363" s="445">
        <v>105</v>
      </c>
      <c r="I363" s="445"/>
      <c r="J363" s="445">
        <v>1</v>
      </c>
      <c r="K363" s="447">
        <v>2</v>
      </c>
      <c r="L363" s="445" t="s">
        <v>465</v>
      </c>
      <c r="M363" s="445">
        <v>3</v>
      </c>
      <c r="N363" s="445" t="s">
        <v>466</v>
      </c>
      <c r="O363" s="449" t="s">
        <v>1395</v>
      </c>
      <c r="P363" s="450">
        <v>9.843</v>
      </c>
      <c r="Q363" s="451">
        <f t="shared" si="8"/>
        <v>9.843</v>
      </c>
      <c r="R363" s="451">
        <f>SUMIF('Wege im Detail'!$A:$A,"3451",'Wege im Detail'!$P:$P)</f>
        <v>24.669</v>
      </c>
      <c r="S363" s="452" t="s">
        <v>467</v>
      </c>
      <c r="T363" s="453">
        <v>43891</v>
      </c>
      <c r="U363" s="448"/>
      <c r="V363" s="455"/>
      <c r="W363" s="448"/>
    </row>
    <row r="364" spans="1:253" s="458" customFormat="1" ht="56.25" x14ac:dyDescent="0.2">
      <c r="A364" s="444">
        <v>3451</v>
      </c>
      <c r="B364" s="445" t="s">
        <v>51</v>
      </c>
      <c r="C364" s="445" t="s">
        <v>52</v>
      </c>
      <c r="D364" s="445" t="s">
        <v>91</v>
      </c>
      <c r="E364" s="445"/>
      <c r="F364" s="445"/>
      <c r="G364" s="446">
        <v>103</v>
      </c>
      <c r="H364" s="445">
        <v>105</v>
      </c>
      <c r="I364" s="445"/>
      <c r="J364" s="445">
        <v>2</v>
      </c>
      <c r="K364" s="447">
        <v>2</v>
      </c>
      <c r="L364" s="445" t="s">
        <v>465</v>
      </c>
      <c r="M364" s="445">
        <v>3</v>
      </c>
      <c r="N364" s="445" t="s">
        <v>106</v>
      </c>
      <c r="O364" s="449" t="s">
        <v>1396</v>
      </c>
      <c r="P364" s="450">
        <v>14.826000000000001</v>
      </c>
      <c r="Q364" s="451">
        <f t="shared" si="8"/>
        <v>14.826000000000001</v>
      </c>
      <c r="R364" s="451">
        <f>SUMIF('Wege im Detail'!$A:$A,"3451",'Wege im Detail'!$P:$P)</f>
        <v>24.669</v>
      </c>
      <c r="S364" s="452" t="s">
        <v>467</v>
      </c>
      <c r="T364" s="453">
        <v>43891</v>
      </c>
      <c r="U364" s="448"/>
      <c r="V364" s="455"/>
      <c r="W364" s="448"/>
      <c r="X364" s="455"/>
      <c r="Y364" s="455"/>
      <c r="Z364" s="455"/>
      <c r="AA364" s="455"/>
      <c r="AB364" s="455"/>
      <c r="AC364" s="455"/>
      <c r="AD364" s="455"/>
      <c r="AE364" s="455"/>
      <c r="AF364" s="455"/>
      <c r="AG364" s="455"/>
      <c r="AH364" s="455"/>
      <c r="AI364" s="455"/>
      <c r="AJ364" s="455"/>
      <c r="AK364" s="455"/>
      <c r="AL364" s="455"/>
      <c r="AM364" s="455"/>
      <c r="AN364" s="455"/>
      <c r="AO364" s="455"/>
      <c r="AP364" s="455"/>
      <c r="AQ364" s="455"/>
      <c r="AR364" s="455"/>
      <c r="AS364" s="455"/>
      <c r="AT364" s="455"/>
      <c r="AU364" s="455"/>
      <c r="AV364" s="455"/>
      <c r="AW364" s="455"/>
      <c r="AX364" s="455"/>
      <c r="AY364" s="455"/>
      <c r="AZ364" s="455"/>
      <c r="BA364" s="455"/>
      <c r="BB364" s="455"/>
      <c r="BC364" s="455"/>
      <c r="BD364" s="455"/>
      <c r="BE364" s="455"/>
      <c r="BF364" s="455"/>
      <c r="BG364" s="455"/>
      <c r="BH364" s="455"/>
      <c r="BI364" s="455"/>
      <c r="BJ364" s="455"/>
      <c r="BK364" s="455"/>
      <c r="BL364" s="455"/>
      <c r="BM364" s="455"/>
      <c r="BN364" s="455"/>
      <c r="BO364" s="455"/>
      <c r="BP364" s="455"/>
      <c r="BQ364" s="455"/>
      <c r="BR364" s="455"/>
      <c r="BS364" s="455"/>
      <c r="BT364" s="455"/>
      <c r="BU364" s="455"/>
      <c r="BV364" s="455"/>
      <c r="BW364" s="455"/>
      <c r="BX364" s="455"/>
      <c r="BY364" s="455"/>
      <c r="BZ364" s="455"/>
      <c r="CA364" s="455"/>
      <c r="CB364" s="455"/>
      <c r="CC364" s="455"/>
      <c r="CD364" s="455"/>
      <c r="CE364" s="455"/>
      <c r="CF364" s="455"/>
      <c r="CG364" s="455"/>
      <c r="CH364" s="455"/>
      <c r="CI364" s="455"/>
      <c r="CJ364" s="455"/>
      <c r="CK364" s="455"/>
      <c r="CL364" s="455"/>
      <c r="CM364" s="455"/>
      <c r="CN364" s="455"/>
      <c r="CO364" s="455"/>
      <c r="CP364" s="455"/>
      <c r="CQ364" s="455"/>
      <c r="CR364" s="455"/>
      <c r="CS364" s="455"/>
      <c r="CT364" s="455"/>
      <c r="CU364" s="455"/>
      <c r="CV364" s="455"/>
      <c r="CW364" s="455"/>
      <c r="CX364" s="455"/>
      <c r="CY364" s="455"/>
      <c r="CZ364" s="455"/>
      <c r="DA364" s="455"/>
      <c r="DB364" s="455"/>
      <c r="DC364" s="455"/>
      <c r="DD364" s="455"/>
      <c r="DE364" s="455"/>
      <c r="DF364" s="455"/>
      <c r="DG364" s="455"/>
      <c r="DH364" s="455"/>
      <c r="DI364" s="455"/>
      <c r="DJ364" s="455"/>
      <c r="DK364" s="455"/>
      <c r="DL364" s="455"/>
      <c r="DM364" s="455"/>
      <c r="DN364" s="455"/>
      <c r="DO364" s="455"/>
      <c r="DP364" s="455"/>
      <c r="DQ364" s="455"/>
      <c r="DR364" s="455"/>
      <c r="DS364" s="455"/>
      <c r="DT364" s="455"/>
      <c r="DU364" s="455"/>
      <c r="DV364" s="455"/>
      <c r="DW364" s="455"/>
      <c r="DX364" s="455"/>
      <c r="DY364" s="455"/>
      <c r="DZ364" s="455"/>
      <c r="EA364" s="455"/>
      <c r="EB364" s="455"/>
      <c r="EC364" s="455"/>
      <c r="ED364" s="455"/>
      <c r="EE364" s="455"/>
      <c r="EF364" s="455"/>
      <c r="EG364" s="455"/>
      <c r="EH364" s="455"/>
      <c r="EI364" s="455"/>
      <c r="EJ364" s="455"/>
      <c r="EK364" s="455"/>
      <c r="EL364" s="455"/>
      <c r="EM364" s="455"/>
      <c r="EN364" s="455"/>
      <c r="EO364" s="455"/>
      <c r="EP364" s="455"/>
      <c r="EQ364" s="455"/>
      <c r="ER364" s="455"/>
      <c r="ES364" s="455"/>
      <c r="ET364" s="455"/>
      <c r="EU364" s="455"/>
      <c r="EV364" s="455"/>
      <c r="EW364" s="455"/>
      <c r="EX364" s="455"/>
      <c r="EY364" s="455"/>
      <c r="EZ364" s="455"/>
      <c r="FA364" s="455"/>
      <c r="FB364" s="455"/>
      <c r="FC364" s="455"/>
      <c r="FD364" s="455"/>
      <c r="FE364" s="455"/>
      <c r="FF364" s="455"/>
      <c r="FG364" s="455"/>
      <c r="FH364" s="455"/>
      <c r="FI364" s="455"/>
      <c r="FJ364" s="455"/>
      <c r="FK364" s="455"/>
      <c r="FL364" s="455"/>
      <c r="FM364" s="455"/>
      <c r="FN364" s="455"/>
      <c r="FO364" s="455"/>
      <c r="FP364" s="455"/>
      <c r="FQ364" s="455"/>
      <c r="FR364" s="455"/>
      <c r="FS364" s="455"/>
      <c r="FT364" s="455"/>
      <c r="FU364" s="455"/>
      <c r="FV364" s="455"/>
      <c r="FW364" s="455"/>
      <c r="FX364" s="455"/>
      <c r="FY364" s="455"/>
      <c r="FZ364" s="455"/>
      <c r="GA364" s="455"/>
      <c r="GB364" s="455"/>
      <c r="GC364" s="455"/>
      <c r="GD364" s="455"/>
      <c r="GE364" s="455"/>
      <c r="GF364" s="455"/>
      <c r="GG364" s="455"/>
      <c r="GH364" s="455"/>
      <c r="GI364" s="455"/>
      <c r="GJ364" s="455"/>
      <c r="GK364" s="455"/>
      <c r="GL364" s="455"/>
      <c r="GM364" s="455"/>
      <c r="GN364" s="455"/>
      <c r="GO364" s="455"/>
      <c r="GP364" s="455"/>
      <c r="GQ364" s="455"/>
      <c r="GR364" s="455"/>
      <c r="GS364" s="455"/>
      <c r="GT364" s="455"/>
      <c r="GU364" s="455"/>
      <c r="GV364" s="455"/>
      <c r="GW364" s="455"/>
      <c r="GX364" s="455"/>
      <c r="GY364" s="455"/>
      <c r="GZ364" s="455"/>
      <c r="HA364" s="455"/>
      <c r="HB364" s="455"/>
      <c r="HC364" s="455"/>
      <c r="HD364" s="455"/>
      <c r="HE364" s="455"/>
      <c r="HF364" s="455"/>
      <c r="HG364" s="455"/>
      <c r="HH364" s="455"/>
      <c r="HI364" s="455"/>
      <c r="HJ364" s="455"/>
      <c r="HK364" s="455"/>
      <c r="HL364" s="455"/>
      <c r="HM364" s="455"/>
      <c r="HN364" s="455"/>
      <c r="HO364" s="455"/>
      <c r="HP364" s="455"/>
      <c r="HQ364" s="455"/>
      <c r="HR364" s="455"/>
      <c r="HS364" s="455"/>
      <c r="HT364" s="455"/>
      <c r="HU364" s="455"/>
      <c r="HV364" s="455"/>
      <c r="HW364" s="455"/>
      <c r="HX364" s="455"/>
      <c r="HY364" s="455"/>
      <c r="HZ364" s="455"/>
      <c r="IA364" s="455"/>
      <c r="IB364" s="455"/>
      <c r="IC364" s="455"/>
      <c r="ID364" s="455"/>
      <c r="IE364" s="455"/>
      <c r="IF364" s="455"/>
      <c r="IG364" s="455"/>
      <c r="IH364" s="455"/>
      <c r="II364" s="455"/>
      <c r="IJ364" s="455"/>
      <c r="IK364" s="455"/>
      <c r="IL364" s="455"/>
      <c r="IM364" s="455"/>
      <c r="IN364" s="455"/>
      <c r="IO364" s="455"/>
      <c r="IP364" s="455"/>
      <c r="IQ364" s="455"/>
      <c r="IR364" s="455"/>
      <c r="IS364" s="455"/>
    </row>
    <row r="365" spans="1:253" s="458" customFormat="1" ht="56.25" x14ac:dyDescent="0.2">
      <c r="A365" s="444">
        <v>3456</v>
      </c>
      <c r="B365" s="445" t="s">
        <v>51</v>
      </c>
      <c r="C365" s="445" t="s">
        <v>52</v>
      </c>
      <c r="D365" s="445" t="s">
        <v>91</v>
      </c>
      <c r="E365" s="445"/>
      <c r="F365" s="445"/>
      <c r="G365" s="446">
        <v>58</v>
      </c>
      <c r="H365" s="445">
        <v>106</v>
      </c>
      <c r="I365" s="445"/>
      <c r="J365" s="445">
        <v>1</v>
      </c>
      <c r="K365" s="447">
        <v>1</v>
      </c>
      <c r="L365" s="445"/>
      <c r="M365" s="445">
        <v>3</v>
      </c>
      <c r="N365" s="445" t="s">
        <v>106</v>
      </c>
      <c r="O365" s="449" t="s">
        <v>1397</v>
      </c>
      <c r="P365" s="450">
        <v>4.1760000000000002</v>
      </c>
      <c r="Q365" s="451">
        <f t="shared" ref="Q365:Q396" si="9">P365</f>
        <v>4.1760000000000002</v>
      </c>
      <c r="R365" s="451">
        <f>SUMIF('Wege im Detail'!$A:$A,"3456",'Wege im Detail'!$P:$P)</f>
        <v>4.1760000000000002</v>
      </c>
      <c r="S365" s="452" t="s">
        <v>468</v>
      </c>
      <c r="T365" s="453">
        <v>43891</v>
      </c>
      <c r="U365" s="448"/>
      <c r="V365" s="487"/>
      <c r="W365" s="448"/>
      <c r="X365" s="455"/>
      <c r="Y365" s="455"/>
      <c r="Z365" s="455"/>
      <c r="AA365" s="455"/>
      <c r="AB365" s="455"/>
      <c r="AC365" s="455"/>
      <c r="AD365" s="455"/>
      <c r="AE365" s="455"/>
      <c r="AF365" s="455"/>
      <c r="AG365" s="455"/>
      <c r="AH365" s="455"/>
      <c r="AI365" s="455"/>
      <c r="AJ365" s="455"/>
      <c r="AK365" s="455"/>
      <c r="AL365" s="455"/>
      <c r="AM365" s="455"/>
      <c r="AN365" s="455"/>
      <c r="AO365" s="455"/>
      <c r="AP365" s="455"/>
      <c r="AQ365" s="455"/>
      <c r="AR365" s="455"/>
      <c r="AS365" s="455"/>
      <c r="AT365" s="455"/>
      <c r="AU365" s="455"/>
      <c r="AV365" s="455"/>
      <c r="AW365" s="455"/>
      <c r="AX365" s="455"/>
      <c r="AY365" s="455"/>
      <c r="AZ365" s="455"/>
      <c r="BA365" s="455"/>
      <c r="BB365" s="455"/>
      <c r="BC365" s="455"/>
      <c r="BD365" s="455"/>
      <c r="BE365" s="455"/>
      <c r="BF365" s="455"/>
      <c r="BG365" s="455"/>
      <c r="BH365" s="455"/>
      <c r="BI365" s="455"/>
      <c r="BJ365" s="455"/>
      <c r="BK365" s="455"/>
      <c r="BL365" s="455"/>
      <c r="BM365" s="455"/>
      <c r="BN365" s="455"/>
      <c r="BO365" s="455"/>
      <c r="BP365" s="455"/>
      <c r="BQ365" s="455"/>
      <c r="BR365" s="455"/>
      <c r="BS365" s="455"/>
      <c r="BT365" s="455"/>
      <c r="BU365" s="455"/>
      <c r="BV365" s="455"/>
      <c r="BW365" s="455"/>
      <c r="BX365" s="455"/>
      <c r="BY365" s="455"/>
      <c r="BZ365" s="455"/>
      <c r="CA365" s="455"/>
      <c r="CB365" s="455"/>
      <c r="CC365" s="455"/>
      <c r="CD365" s="455"/>
      <c r="CE365" s="455"/>
      <c r="CF365" s="455"/>
      <c r="CG365" s="455"/>
      <c r="CH365" s="455"/>
      <c r="CI365" s="455"/>
      <c r="CJ365" s="455"/>
      <c r="CK365" s="455"/>
      <c r="CL365" s="455"/>
      <c r="CM365" s="455"/>
      <c r="CN365" s="455"/>
      <c r="CO365" s="455"/>
      <c r="CP365" s="455"/>
      <c r="CQ365" s="455"/>
      <c r="CR365" s="455"/>
      <c r="CS365" s="455"/>
      <c r="CT365" s="455"/>
      <c r="CU365" s="455"/>
      <c r="CV365" s="455"/>
      <c r="CW365" s="455"/>
      <c r="CX365" s="455"/>
      <c r="CY365" s="455"/>
      <c r="CZ365" s="455"/>
      <c r="DA365" s="455"/>
      <c r="DB365" s="455"/>
      <c r="DC365" s="455"/>
      <c r="DD365" s="455"/>
      <c r="DE365" s="455"/>
      <c r="DF365" s="455"/>
      <c r="DG365" s="455"/>
      <c r="DH365" s="455"/>
      <c r="DI365" s="455"/>
      <c r="DJ365" s="455"/>
      <c r="DK365" s="455"/>
      <c r="DL365" s="455"/>
      <c r="DM365" s="455"/>
      <c r="DN365" s="455"/>
      <c r="DO365" s="455"/>
      <c r="DP365" s="455"/>
      <c r="DQ365" s="455"/>
      <c r="DR365" s="455"/>
      <c r="DS365" s="455"/>
      <c r="DT365" s="455"/>
      <c r="DU365" s="455"/>
      <c r="DV365" s="455"/>
      <c r="DW365" s="455"/>
      <c r="DX365" s="455"/>
      <c r="DY365" s="455"/>
      <c r="DZ365" s="455"/>
      <c r="EA365" s="455"/>
      <c r="EB365" s="455"/>
      <c r="EC365" s="455"/>
      <c r="ED365" s="455"/>
      <c r="EE365" s="455"/>
      <c r="EF365" s="455"/>
      <c r="EG365" s="455"/>
      <c r="EH365" s="455"/>
      <c r="EI365" s="455"/>
      <c r="EJ365" s="455"/>
      <c r="EK365" s="455"/>
      <c r="EL365" s="455"/>
      <c r="EM365" s="455"/>
      <c r="EN365" s="455"/>
      <c r="EO365" s="455"/>
      <c r="EP365" s="455"/>
      <c r="EQ365" s="455"/>
      <c r="ER365" s="455"/>
      <c r="ES365" s="455"/>
      <c r="ET365" s="455"/>
      <c r="EU365" s="455"/>
      <c r="EV365" s="455"/>
      <c r="EW365" s="455"/>
      <c r="EX365" s="455"/>
      <c r="EY365" s="455"/>
      <c r="EZ365" s="455"/>
      <c r="FA365" s="455"/>
      <c r="FB365" s="455"/>
      <c r="FC365" s="455"/>
      <c r="FD365" s="455"/>
      <c r="FE365" s="455"/>
      <c r="FF365" s="455"/>
      <c r="FG365" s="455"/>
      <c r="FH365" s="455"/>
      <c r="FI365" s="455"/>
      <c r="FJ365" s="455"/>
      <c r="FK365" s="455"/>
      <c r="FL365" s="455"/>
      <c r="FM365" s="455"/>
      <c r="FN365" s="455"/>
      <c r="FO365" s="455"/>
      <c r="FP365" s="455"/>
      <c r="FQ365" s="455"/>
      <c r="FR365" s="455"/>
      <c r="FS365" s="455"/>
      <c r="FT365" s="455"/>
      <c r="FU365" s="455"/>
      <c r="FV365" s="455"/>
      <c r="FW365" s="455"/>
      <c r="FX365" s="455"/>
      <c r="FY365" s="455"/>
      <c r="FZ365" s="455"/>
      <c r="GA365" s="455"/>
      <c r="GB365" s="455"/>
      <c r="GC365" s="455"/>
      <c r="GD365" s="455"/>
      <c r="GE365" s="455"/>
      <c r="GF365" s="455"/>
      <c r="GG365" s="455"/>
      <c r="GH365" s="455"/>
      <c r="GI365" s="455"/>
      <c r="GJ365" s="455"/>
      <c r="GK365" s="455"/>
      <c r="GL365" s="455"/>
      <c r="GM365" s="455"/>
      <c r="GN365" s="455"/>
      <c r="GO365" s="455"/>
      <c r="GP365" s="455"/>
      <c r="GQ365" s="455"/>
      <c r="GR365" s="455"/>
      <c r="GS365" s="455"/>
      <c r="GT365" s="455"/>
      <c r="GU365" s="455"/>
      <c r="GV365" s="455"/>
      <c r="GW365" s="455"/>
      <c r="GX365" s="455"/>
      <c r="GY365" s="455"/>
      <c r="GZ365" s="455"/>
      <c r="HA365" s="455"/>
      <c r="HB365" s="455"/>
      <c r="HC365" s="455"/>
      <c r="HD365" s="455"/>
      <c r="HE365" s="455"/>
      <c r="HF365" s="455"/>
      <c r="HG365" s="455"/>
      <c r="HH365" s="455"/>
      <c r="HI365" s="455"/>
      <c r="HJ365" s="455"/>
      <c r="HK365" s="455"/>
      <c r="HL365" s="455"/>
      <c r="HM365" s="455"/>
      <c r="HN365" s="455"/>
      <c r="HO365" s="455"/>
      <c r="HP365" s="455"/>
      <c r="HQ365" s="455"/>
      <c r="HR365" s="455"/>
      <c r="HS365" s="455"/>
      <c r="HT365" s="455"/>
      <c r="HU365" s="455"/>
      <c r="HV365" s="455"/>
      <c r="HW365" s="455"/>
      <c r="HX365" s="455"/>
      <c r="HY365" s="455"/>
      <c r="HZ365" s="455"/>
      <c r="IA365" s="455"/>
      <c r="IB365" s="455"/>
      <c r="IC365" s="455"/>
      <c r="ID365" s="455"/>
      <c r="IE365" s="455"/>
      <c r="IF365" s="455"/>
      <c r="IG365" s="455"/>
      <c r="IH365" s="455"/>
      <c r="II365" s="455"/>
      <c r="IJ365" s="455"/>
      <c r="IK365" s="455"/>
      <c r="IL365" s="455"/>
      <c r="IM365" s="455"/>
      <c r="IN365" s="455"/>
      <c r="IO365" s="455"/>
      <c r="IP365" s="455"/>
      <c r="IQ365" s="455"/>
      <c r="IR365" s="455"/>
      <c r="IS365" s="455"/>
    </row>
    <row r="366" spans="1:253" s="458" customFormat="1" ht="56.25" x14ac:dyDescent="0.2">
      <c r="A366" s="444">
        <v>3457</v>
      </c>
      <c r="B366" s="445" t="s">
        <v>51</v>
      </c>
      <c r="C366" s="445" t="s">
        <v>52</v>
      </c>
      <c r="D366" s="445" t="s">
        <v>91</v>
      </c>
      <c r="E366" s="445"/>
      <c r="F366" s="445"/>
      <c r="G366" s="446">
        <v>51</v>
      </c>
      <c r="H366" s="445">
        <v>61</v>
      </c>
      <c r="I366" s="445"/>
      <c r="J366" s="445">
        <v>1</v>
      </c>
      <c r="K366" s="447">
        <v>2</v>
      </c>
      <c r="L366" s="445"/>
      <c r="M366" s="445">
        <v>3</v>
      </c>
      <c r="N366" s="445" t="s">
        <v>106</v>
      </c>
      <c r="O366" s="449" t="s">
        <v>1398</v>
      </c>
      <c r="P366" s="450">
        <v>8.9120000000000008</v>
      </c>
      <c r="Q366" s="451">
        <f t="shared" si="9"/>
        <v>8.9120000000000008</v>
      </c>
      <c r="R366" s="451">
        <f>SUMIF('Wege im Detail'!$A:$A,"3457",'Wege im Detail'!$P:$P)</f>
        <v>11.251000000000001</v>
      </c>
      <c r="S366" s="452" t="s">
        <v>469</v>
      </c>
      <c r="T366" s="453">
        <v>43891</v>
      </c>
      <c r="U366" s="448"/>
      <c r="V366" s="455"/>
      <c r="W366" s="448"/>
    </row>
    <row r="367" spans="1:253" s="458" customFormat="1" ht="45" x14ac:dyDescent="0.2">
      <c r="A367" s="444">
        <v>3457</v>
      </c>
      <c r="B367" s="445" t="s">
        <v>51</v>
      </c>
      <c r="C367" s="445" t="s">
        <v>52</v>
      </c>
      <c r="D367" s="445" t="s">
        <v>91</v>
      </c>
      <c r="E367" s="445"/>
      <c r="F367" s="445"/>
      <c r="G367" s="446">
        <v>51</v>
      </c>
      <c r="H367" s="445">
        <v>61</v>
      </c>
      <c r="I367" s="445"/>
      <c r="J367" s="445">
        <v>2</v>
      </c>
      <c r="K367" s="447">
        <v>2</v>
      </c>
      <c r="L367" s="445"/>
      <c r="M367" s="445">
        <v>3</v>
      </c>
      <c r="N367" s="445" t="s">
        <v>466</v>
      </c>
      <c r="O367" s="449" t="s">
        <v>1399</v>
      </c>
      <c r="P367" s="450">
        <v>2.339</v>
      </c>
      <c r="Q367" s="451">
        <f t="shared" si="9"/>
        <v>2.339</v>
      </c>
      <c r="R367" s="451">
        <f>SUMIF('Wege im Detail'!$A:$A,"3457",'Wege im Detail'!$P:$P)</f>
        <v>11.251000000000001</v>
      </c>
      <c r="S367" s="452" t="s">
        <v>469</v>
      </c>
      <c r="T367" s="453">
        <v>43891</v>
      </c>
      <c r="U367" s="448"/>
      <c r="V367" s="455"/>
      <c r="W367" s="448"/>
    </row>
    <row r="368" spans="1:253" s="458" customFormat="1" ht="45" x14ac:dyDescent="0.2">
      <c r="A368" s="444">
        <v>3469</v>
      </c>
      <c r="B368" s="445" t="s">
        <v>51</v>
      </c>
      <c r="C368" s="445" t="s">
        <v>52</v>
      </c>
      <c r="D368" s="445" t="s">
        <v>91</v>
      </c>
      <c r="E368" s="445"/>
      <c r="F368" s="445"/>
      <c r="G368" s="446">
        <v>62</v>
      </c>
      <c r="H368" s="445">
        <v>57</v>
      </c>
      <c r="I368" s="445"/>
      <c r="J368" s="445">
        <v>1</v>
      </c>
      <c r="K368" s="447">
        <v>1</v>
      </c>
      <c r="L368" s="445"/>
      <c r="M368" s="445">
        <v>3</v>
      </c>
      <c r="N368" s="445" t="s">
        <v>466</v>
      </c>
      <c r="O368" s="464" t="s">
        <v>1400</v>
      </c>
      <c r="P368" s="450">
        <v>7.093</v>
      </c>
      <c r="Q368" s="451">
        <f t="shared" si="9"/>
        <v>7.093</v>
      </c>
      <c r="R368" s="451">
        <f>SUMIF('Wege im Detail'!$A:$A,"3469",'Wege im Detail'!$P:$P)</f>
        <v>7.093</v>
      </c>
      <c r="S368" s="452" t="s">
        <v>470</v>
      </c>
      <c r="T368" s="453">
        <v>43891</v>
      </c>
      <c r="U368" s="448"/>
      <c r="V368" s="458" t="s">
        <v>1401</v>
      </c>
      <c r="W368" s="448"/>
    </row>
    <row r="369" spans="1:253" s="458" customFormat="1" ht="67.5" x14ac:dyDescent="0.2">
      <c r="A369" s="438">
        <v>3470</v>
      </c>
      <c r="B369" s="445" t="s">
        <v>51</v>
      </c>
      <c r="C369" s="445" t="s">
        <v>52</v>
      </c>
      <c r="D369" s="445" t="s">
        <v>214</v>
      </c>
      <c r="E369" s="445"/>
      <c r="F369" s="470"/>
      <c r="G369" s="446">
        <v>34</v>
      </c>
      <c r="H369" s="445">
        <v>202</v>
      </c>
      <c r="I369" s="445"/>
      <c r="J369" s="445">
        <v>1</v>
      </c>
      <c r="K369" s="447">
        <v>1</v>
      </c>
      <c r="L369" s="445" t="s">
        <v>471</v>
      </c>
      <c r="M369" s="445">
        <v>3</v>
      </c>
      <c r="N369" s="445" t="s">
        <v>206</v>
      </c>
      <c r="O369" s="464" t="s">
        <v>1402</v>
      </c>
      <c r="P369" s="450">
        <v>14.205</v>
      </c>
      <c r="Q369" s="451">
        <f t="shared" si="9"/>
        <v>14.205</v>
      </c>
      <c r="R369" s="451">
        <f>SUMIF('Wege im Detail'!$A:$A,"3470",'Wege im Detail'!$P:$P)</f>
        <v>14.205</v>
      </c>
      <c r="S369" s="452" t="s">
        <v>472</v>
      </c>
      <c r="T369" s="453">
        <v>43891</v>
      </c>
      <c r="U369" s="534" t="s">
        <v>1403</v>
      </c>
      <c r="V369" s="457"/>
      <c r="W369" s="534"/>
      <c r="X369" s="455"/>
      <c r="Y369" s="455"/>
      <c r="Z369" s="455"/>
      <c r="AA369" s="455"/>
      <c r="AB369" s="455"/>
      <c r="AC369" s="455"/>
      <c r="AD369" s="455"/>
      <c r="AE369" s="455"/>
      <c r="AF369" s="455"/>
      <c r="AG369" s="455"/>
      <c r="AH369" s="455"/>
      <c r="AI369" s="455"/>
      <c r="AJ369" s="455"/>
      <c r="AK369" s="455"/>
      <c r="AL369" s="455"/>
      <c r="AM369" s="455"/>
      <c r="AN369" s="455"/>
      <c r="AO369" s="455"/>
      <c r="AP369" s="455"/>
      <c r="AQ369" s="455"/>
      <c r="AR369" s="455"/>
      <c r="AS369" s="455"/>
      <c r="AT369" s="455"/>
      <c r="AU369" s="455"/>
      <c r="AV369" s="455"/>
      <c r="AW369" s="455"/>
      <c r="AX369" s="455"/>
      <c r="AY369" s="455"/>
      <c r="AZ369" s="455"/>
      <c r="BA369" s="455"/>
      <c r="BB369" s="455"/>
      <c r="BC369" s="455"/>
      <c r="BD369" s="455"/>
      <c r="BE369" s="455"/>
      <c r="BF369" s="455"/>
      <c r="BG369" s="455"/>
      <c r="BH369" s="455"/>
      <c r="BI369" s="455"/>
      <c r="BJ369" s="455"/>
      <c r="BK369" s="455"/>
      <c r="BL369" s="455"/>
      <c r="BM369" s="455"/>
      <c r="BN369" s="455"/>
      <c r="BO369" s="455"/>
      <c r="BP369" s="455"/>
      <c r="BQ369" s="455"/>
      <c r="BR369" s="455"/>
      <c r="BS369" s="455"/>
      <c r="BT369" s="455"/>
      <c r="BU369" s="455"/>
      <c r="BV369" s="455"/>
      <c r="BW369" s="455"/>
      <c r="BX369" s="455"/>
      <c r="BY369" s="455"/>
      <c r="BZ369" s="455"/>
      <c r="CA369" s="455"/>
      <c r="CB369" s="455"/>
      <c r="CC369" s="455"/>
      <c r="CD369" s="455"/>
      <c r="CE369" s="455"/>
      <c r="CF369" s="455"/>
      <c r="CG369" s="455"/>
      <c r="CH369" s="455"/>
      <c r="CI369" s="455"/>
      <c r="CJ369" s="455"/>
      <c r="CK369" s="455"/>
      <c r="CL369" s="455"/>
      <c r="CM369" s="455"/>
      <c r="CN369" s="455"/>
      <c r="CO369" s="455"/>
      <c r="CP369" s="455"/>
      <c r="CQ369" s="455"/>
      <c r="CR369" s="455"/>
      <c r="CS369" s="455"/>
      <c r="CT369" s="455"/>
      <c r="CU369" s="455"/>
      <c r="CV369" s="455"/>
      <c r="CW369" s="455"/>
      <c r="CX369" s="455"/>
      <c r="CY369" s="455"/>
      <c r="CZ369" s="455"/>
      <c r="DA369" s="455"/>
      <c r="DB369" s="455"/>
      <c r="DC369" s="455"/>
      <c r="DD369" s="455"/>
      <c r="DE369" s="455"/>
      <c r="DF369" s="455"/>
      <c r="DG369" s="455"/>
      <c r="DH369" s="455"/>
      <c r="DI369" s="455"/>
      <c r="DJ369" s="455"/>
      <c r="DK369" s="455"/>
      <c r="DL369" s="455"/>
      <c r="DM369" s="455"/>
      <c r="DN369" s="455"/>
      <c r="DO369" s="455"/>
      <c r="DP369" s="455"/>
      <c r="DQ369" s="455"/>
      <c r="DR369" s="455"/>
      <c r="DS369" s="455"/>
      <c r="DT369" s="455"/>
      <c r="DU369" s="455"/>
      <c r="DV369" s="455"/>
      <c r="DW369" s="455"/>
      <c r="DX369" s="455"/>
      <c r="DY369" s="455"/>
      <c r="DZ369" s="455"/>
      <c r="EA369" s="455"/>
      <c r="EB369" s="455"/>
      <c r="EC369" s="455"/>
      <c r="ED369" s="455"/>
      <c r="EE369" s="455"/>
      <c r="EF369" s="455"/>
      <c r="EG369" s="455"/>
      <c r="EH369" s="455"/>
      <c r="EI369" s="455"/>
      <c r="EJ369" s="455"/>
      <c r="EK369" s="455"/>
      <c r="EL369" s="455"/>
      <c r="EM369" s="455"/>
      <c r="EN369" s="455"/>
      <c r="EO369" s="455"/>
      <c r="EP369" s="455"/>
      <c r="EQ369" s="455"/>
      <c r="ER369" s="455"/>
      <c r="ES369" s="455"/>
      <c r="ET369" s="455"/>
      <c r="EU369" s="455"/>
      <c r="EV369" s="455"/>
      <c r="EW369" s="455"/>
      <c r="EX369" s="455"/>
      <c r="EY369" s="455"/>
      <c r="EZ369" s="455"/>
      <c r="FA369" s="455"/>
      <c r="FB369" s="455"/>
      <c r="FC369" s="455"/>
      <c r="FD369" s="455"/>
      <c r="FE369" s="455"/>
      <c r="FF369" s="455"/>
      <c r="FG369" s="455"/>
      <c r="FH369" s="455"/>
      <c r="FI369" s="455"/>
      <c r="FJ369" s="455"/>
      <c r="FK369" s="455"/>
      <c r="FL369" s="455"/>
      <c r="FM369" s="455"/>
      <c r="FN369" s="455"/>
      <c r="FO369" s="455"/>
      <c r="FP369" s="455"/>
      <c r="FQ369" s="455"/>
      <c r="FR369" s="455"/>
      <c r="FS369" s="455"/>
      <c r="FT369" s="455"/>
      <c r="FU369" s="455"/>
      <c r="FV369" s="455"/>
      <c r="FW369" s="455"/>
      <c r="FX369" s="455"/>
      <c r="FY369" s="455"/>
      <c r="FZ369" s="455"/>
      <c r="GA369" s="455"/>
      <c r="GB369" s="455"/>
      <c r="GC369" s="455"/>
      <c r="GD369" s="455"/>
      <c r="GE369" s="455"/>
      <c r="GF369" s="455"/>
      <c r="GG369" s="455"/>
      <c r="GH369" s="455"/>
      <c r="GI369" s="455"/>
      <c r="GJ369" s="455"/>
      <c r="GK369" s="455"/>
      <c r="GL369" s="455"/>
      <c r="GM369" s="455"/>
      <c r="GN369" s="455"/>
      <c r="GO369" s="455"/>
      <c r="GP369" s="455"/>
      <c r="GQ369" s="455"/>
      <c r="GR369" s="455"/>
      <c r="GS369" s="455"/>
      <c r="GT369" s="455"/>
      <c r="GU369" s="455"/>
      <c r="GV369" s="455"/>
      <c r="GW369" s="455"/>
      <c r="GX369" s="455"/>
      <c r="GY369" s="455"/>
      <c r="GZ369" s="455"/>
      <c r="HA369" s="455"/>
      <c r="HB369" s="455"/>
      <c r="HC369" s="455"/>
      <c r="HD369" s="455"/>
      <c r="HE369" s="455"/>
      <c r="HF369" s="455"/>
      <c r="HG369" s="455"/>
      <c r="HH369" s="455"/>
      <c r="HI369" s="455"/>
      <c r="HJ369" s="455"/>
      <c r="HK369" s="455"/>
      <c r="HL369" s="455"/>
      <c r="HM369" s="455"/>
      <c r="HN369" s="455"/>
      <c r="HO369" s="455"/>
      <c r="HP369" s="455"/>
      <c r="HQ369" s="455"/>
      <c r="HR369" s="455"/>
      <c r="HS369" s="455"/>
      <c r="HT369" s="455"/>
      <c r="HU369" s="455"/>
      <c r="HV369" s="455"/>
      <c r="HW369" s="455"/>
      <c r="HX369" s="455"/>
      <c r="HY369" s="455"/>
      <c r="HZ369" s="455"/>
      <c r="IA369" s="455"/>
      <c r="IB369" s="455"/>
      <c r="IC369" s="455"/>
      <c r="ID369" s="455"/>
      <c r="IE369" s="455"/>
      <c r="IF369" s="455"/>
      <c r="IG369" s="455"/>
      <c r="IH369" s="455"/>
      <c r="II369" s="455"/>
      <c r="IJ369" s="455"/>
      <c r="IK369" s="455"/>
      <c r="IL369" s="455"/>
      <c r="IM369" s="455"/>
      <c r="IN369" s="455"/>
      <c r="IO369" s="455"/>
      <c r="IP369" s="455"/>
      <c r="IQ369" s="455"/>
      <c r="IR369" s="455"/>
      <c r="IS369" s="455"/>
    </row>
    <row r="370" spans="1:253" s="458" customFormat="1" ht="56.25" x14ac:dyDescent="0.2">
      <c r="A370" s="444">
        <v>3472</v>
      </c>
      <c r="B370" s="445" t="s">
        <v>51</v>
      </c>
      <c r="C370" s="445" t="s">
        <v>52</v>
      </c>
      <c r="D370" s="445" t="s">
        <v>91</v>
      </c>
      <c r="E370" s="445"/>
      <c r="F370" s="445"/>
      <c r="G370" s="446">
        <v>104</v>
      </c>
      <c r="H370" s="445">
        <v>61</v>
      </c>
      <c r="I370" s="445" t="s">
        <v>117</v>
      </c>
      <c r="J370" s="445">
        <v>1</v>
      </c>
      <c r="K370" s="447">
        <v>1</v>
      </c>
      <c r="L370" s="445"/>
      <c r="M370" s="445">
        <v>3</v>
      </c>
      <c r="N370" s="445" t="s">
        <v>466</v>
      </c>
      <c r="O370" s="464" t="s">
        <v>1404</v>
      </c>
      <c r="P370" s="450">
        <v>1.62</v>
      </c>
      <c r="Q370" s="451">
        <f t="shared" si="9"/>
        <v>1.62</v>
      </c>
      <c r="R370" s="451">
        <f>SUMIF('Wege im Detail'!$A:$A,"3472",'Wege im Detail'!$P:$P)</f>
        <v>1.62</v>
      </c>
      <c r="S370" s="452" t="s">
        <v>1405</v>
      </c>
      <c r="T370" s="453">
        <v>43922</v>
      </c>
      <c r="U370" s="448"/>
      <c r="V370" s="400"/>
      <c r="W370" s="448"/>
    </row>
    <row r="371" spans="1:253" s="458" customFormat="1" ht="78.75" x14ac:dyDescent="0.2">
      <c r="A371" s="444">
        <v>3473</v>
      </c>
      <c r="B371" s="445" t="s">
        <v>51</v>
      </c>
      <c r="C371" s="445" t="s">
        <v>52</v>
      </c>
      <c r="D371" s="445" t="s">
        <v>91</v>
      </c>
      <c r="E371" s="445"/>
      <c r="F371" s="445"/>
      <c r="G371" s="446">
        <v>65</v>
      </c>
      <c r="H371" s="445">
        <v>59</v>
      </c>
      <c r="I371" s="445"/>
      <c r="J371" s="445">
        <v>1</v>
      </c>
      <c r="K371" s="447">
        <v>1</v>
      </c>
      <c r="L371" s="445"/>
      <c r="M371" s="445">
        <v>3</v>
      </c>
      <c r="N371" s="445" t="s">
        <v>466</v>
      </c>
      <c r="O371" s="464" t="s">
        <v>1406</v>
      </c>
      <c r="P371" s="450">
        <v>10.173</v>
      </c>
      <c r="Q371" s="451">
        <f t="shared" si="9"/>
        <v>10.173</v>
      </c>
      <c r="R371" s="451">
        <f>SUMIF('Wege im Detail'!$A:$A,"3473",'Wege im Detail'!$P:$P)</f>
        <v>10.173</v>
      </c>
      <c r="S371" s="452" t="s">
        <v>474</v>
      </c>
      <c r="T371" s="453">
        <v>43922</v>
      </c>
      <c r="U371" s="448"/>
      <c r="W371" s="448"/>
    </row>
    <row r="372" spans="1:253" s="458" customFormat="1" ht="45" x14ac:dyDescent="0.2">
      <c r="A372" s="444">
        <v>3476</v>
      </c>
      <c r="B372" s="445" t="s">
        <v>51</v>
      </c>
      <c r="C372" s="445" t="s">
        <v>52</v>
      </c>
      <c r="D372" s="445" t="s">
        <v>91</v>
      </c>
      <c r="E372" s="445"/>
      <c r="F372" s="445"/>
      <c r="G372" s="446">
        <v>103</v>
      </c>
      <c r="H372" s="445">
        <v>98</v>
      </c>
      <c r="I372" s="445"/>
      <c r="J372" s="445">
        <v>1</v>
      </c>
      <c r="K372" s="447">
        <v>2</v>
      </c>
      <c r="L372" s="445"/>
      <c r="M372" s="445">
        <v>3</v>
      </c>
      <c r="N372" s="445" t="s">
        <v>93</v>
      </c>
      <c r="O372" s="449" t="s">
        <v>1407</v>
      </c>
      <c r="P372" s="450">
        <v>3.5419999999999998</v>
      </c>
      <c r="Q372" s="451">
        <f t="shared" si="9"/>
        <v>3.5419999999999998</v>
      </c>
      <c r="R372" s="451">
        <f>SUMIF('Wege im Detail'!$A:$A,"3476",'Wege im Detail'!$P:$P)</f>
        <v>8.1209999999999987</v>
      </c>
      <c r="S372" s="452" t="s">
        <v>475</v>
      </c>
      <c r="T372" s="453">
        <v>43922</v>
      </c>
      <c r="U372" s="448"/>
      <c r="V372" s="466"/>
      <c r="W372" s="448"/>
    </row>
    <row r="373" spans="1:253" s="458" customFormat="1" ht="45" x14ac:dyDescent="0.2">
      <c r="A373" s="444">
        <v>3476</v>
      </c>
      <c r="B373" s="445" t="s">
        <v>51</v>
      </c>
      <c r="C373" s="445" t="s">
        <v>52</v>
      </c>
      <c r="D373" s="445" t="s">
        <v>91</v>
      </c>
      <c r="E373" s="445"/>
      <c r="F373" s="445"/>
      <c r="G373" s="446">
        <v>103</v>
      </c>
      <c r="H373" s="445">
        <v>98</v>
      </c>
      <c r="I373" s="445"/>
      <c r="J373" s="445">
        <v>2</v>
      </c>
      <c r="K373" s="447">
        <v>2</v>
      </c>
      <c r="L373" s="445"/>
      <c r="M373" s="445">
        <v>5</v>
      </c>
      <c r="N373" s="445" t="s">
        <v>98</v>
      </c>
      <c r="O373" s="449" t="s">
        <v>1408</v>
      </c>
      <c r="P373" s="450">
        <v>4.5789999999999997</v>
      </c>
      <c r="Q373" s="451">
        <f t="shared" si="9"/>
        <v>4.5789999999999997</v>
      </c>
      <c r="R373" s="451">
        <f>SUMIF('Wege im Detail'!$A:$A,"3476",'Wege im Detail'!$P:$P)</f>
        <v>8.1209999999999987</v>
      </c>
      <c r="S373" s="452" t="s">
        <v>475</v>
      </c>
      <c r="T373" s="453">
        <v>44075</v>
      </c>
      <c r="U373" s="448"/>
      <c r="V373" s="466"/>
      <c r="W373" s="448"/>
      <c r="X373" s="455"/>
      <c r="Y373" s="455"/>
      <c r="Z373" s="455"/>
      <c r="AA373" s="455"/>
      <c r="AB373" s="455"/>
      <c r="AC373" s="455"/>
      <c r="AD373" s="455"/>
      <c r="AE373" s="455"/>
      <c r="AF373" s="455"/>
      <c r="AG373" s="455"/>
      <c r="AH373" s="455"/>
      <c r="AI373" s="455"/>
      <c r="AJ373" s="455"/>
      <c r="AK373" s="455"/>
      <c r="AL373" s="455"/>
      <c r="AM373" s="455"/>
      <c r="AN373" s="455"/>
      <c r="AO373" s="455"/>
      <c r="AP373" s="455"/>
      <c r="AQ373" s="455"/>
      <c r="AR373" s="455"/>
      <c r="AS373" s="455"/>
      <c r="AT373" s="455"/>
      <c r="AU373" s="455"/>
      <c r="AV373" s="455"/>
      <c r="AW373" s="455"/>
      <c r="AX373" s="455"/>
      <c r="AY373" s="455"/>
      <c r="AZ373" s="455"/>
      <c r="BA373" s="455"/>
      <c r="BB373" s="455"/>
      <c r="BC373" s="455"/>
      <c r="BD373" s="455"/>
      <c r="BE373" s="455"/>
      <c r="BF373" s="455"/>
      <c r="BG373" s="455"/>
      <c r="BH373" s="455"/>
      <c r="BI373" s="455"/>
      <c r="BJ373" s="455"/>
      <c r="BK373" s="455"/>
      <c r="BL373" s="455"/>
      <c r="BM373" s="455"/>
      <c r="BN373" s="455"/>
      <c r="BO373" s="455"/>
      <c r="BP373" s="455"/>
      <c r="BQ373" s="455"/>
      <c r="BR373" s="455"/>
      <c r="BS373" s="455"/>
      <c r="BT373" s="455"/>
      <c r="BU373" s="455"/>
      <c r="BV373" s="455"/>
      <c r="BW373" s="455"/>
      <c r="BX373" s="455"/>
      <c r="BY373" s="455"/>
      <c r="BZ373" s="455"/>
      <c r="CA373" s="455"/>
      <c r="CB373" s="455"/>
      <c r="CC373" s="455"/>
      <c r="CD373" s="455"/>
      <c r="CE373" s="455"/>
      <c r="CF373" s="455"/>
      <c r="CG373" s="455"/>
      <c r="CH373" s="455"/>
      <c r="CI373" s="455"/>
      <c r="CJ373" s="455"/>
      <c r="CK373" s="455"/>
      <c r="CL373" s="455"/>
      <c r="CM373" s="455"/>
      <c r="CN373" s="455"/>
      <c r="CO373" s="455"/>
      <c r="CP373" s="455"/>
      <c r="CQ373" s="455"/>
      <c r="CR373" s="455"/>
      <c r="CS373" s="455"/>
      <c r="CT373" s="455"/>
      <c r="CU373" s="455"/>
      <c r="CV373" s="455"/>
      <c r="CW373" s="455"/>
      <c r="CX373" s="455"/>
      <c r="CY373" s="455"/>
      <c r="CZ373" s="455"/>
      <c r="DA373" s="455"/>
      <c r="DB373" s="455"/>
      <c r="DC373" s="455"/>
      <c r="DD373" s="455"/>
      <c r="DE373" s="455"/>
      <c r="DF373" s="455"/>
      <c r="DG373" s="455"/>
      <c r="DH373" s="455"/>
      <c r="DI373" s="455"/>
      <c r="DJ373" s="455"/>
      <c r="DK373" s="455"/>
      <c r="DL373" s="455"/>
      <c r="DM373" s="455"/>
      <c r="DN373" s="455"/>
      <c r="DO373" s="455"/>
      <c r="DP373" s="455"/>
      <c r="DQ373" s="455"/>
      <c r="DR373" s="455"/>
      <c r="DS373" s="455"/>
      <c r="DT373" s="455"/>
      <c r="DU373" s="455"/>
      <c r="DV373" s="455"/>
      <c r="DW373" s="455"/>
      <c r="DX373" s="455"/>
      <c r="DY373" s="455"/>
      <c r="DZ373" s="455"/>
      <c r="EA373" s="455"/>
      <c r="EB373" s="455"/>
      <c r="EC373" s="455"/>
      <c r="ED373" s="455"/>
      <c r="EE373" s="455"/>
      <c r="EF373" s="455"/>
      <c r="EG373" s="455"/>
      <c r="EH373" s="455"/>
      <c r="EI373" s="455"/>
      <c r="EJ373" s="455"/>
      <c r="EK373" s="455"/>
      <c r="EL373" s="455"/>
      <c r="EM373" s="455"/>
      <c r="EN373" s="455"/>
      <c r="EO373" s="455"/>
      <c r="EP373" s="455"/>
      <c r="EQ373" s="455"/>
      <c r="ER373" s="455"/>
      <c r="ES373" s="455"/>
      <c r="ET373" s="455"/>
      <c r="EU373" s="455"/>
      <c r="EV373" s="455"/>
      <c r="EW373" s="455"/>
      <c r="EX373" s="455"/>
      <c r="EY373" s="455"/>
      <c r="EZ373" s="455"/>
      <c r="FA373" s="455"/>
      <c r="FB373" s="455"/>
      <c r="FC373" s="455"/>
      <c r="FD373" s="455"/>
      <c r="FE373" s="455"/>
      <c r="FF373" s="455"/>
      <c r="FG373" s="455"/>
      <c r="FH373" s="455"/>
      <c r="FI373" s="455"/>
      <c r="FJ373" s="455"/>
      <c r="FK373" s="455"/>
      <c r="FL373" s="455"/>
      <c r="FM373" s="455"/>
      <c r="FN373" s="455"/>
      <c r="FO373" s="455"/>
      <c r="FP373" s="455"/>
      <c r="FQ373" s="455"/>
      <c r="FR373" s="455"/>
      <c r="FS373" s="455"/>
      <c r="FT373" s="455"/>
      <c r="FU373" s="455"/>
      <c r="FV373" s="455"/>
      <c r="FW373" s="455"/>
      <c r="FX373" s="455"/>
      <c r="FY373" s="455"/>
      <c r="FZ373" s="455"/>
      <c r="GA373" s="455"/>
      <c r="GB373" s="455"/>
      <c r="GC373" s="455"/>
      <c r="GD373" s="455"/>
      <c r="GE373" s="455"/>
      <c r="GF373" s="455"/>
      <c r="GG373" s="455"/>
      <c r="GH373" s="455"/>
      <c r="GI373" s="455"/>
      <c r="GJ373" s="455"/>
      <c r="GK373" s="455"/>
      <c r="GL373" s="455"/>
      <c r="GM373" s="455"/>
      <c r="GN373" s="455"/>
      <c r="GO373" s="455"/>
      <c r="GP373" s="455"/>
      <c r="GQ373" s="455"/>
      <c r="GR373" s="455"/>
      <c r="GS373" s="455"/>
      <c r="GT373" s="455"/>
      <c r="GU373" s="455"/>
      <c r="GV373" s="455"/>
      <c r="GW373" s="455"/>
      <c r="GX373" s="455"/>
      <c r="GY373" s="455"/>
      <c r="GZ373" s="455"/>
      <c r="HA373" s="455"/>
      <c r="HB373" s="455"/>
      <c r="HC373" s="455"/>
      <c r="HD373" s="455"/>
      <c r="HE373" s="455"/>
      <c r="HF373" s="455"/>
      <c r="HG373" s="455"/>
      <c r="HH373" s="455"/>
      <c r="HI373" s="455"/>
      <c r="HJ373" s="455"/>
      <c r="HK373" s="455"/>
      <c r="HL373" s="455"/>
      <c r="HM373" s="455"/>
      <c r="HN373" s="455"/>
      <c r="HO373" s="455"/>
      <c r="HP373" s="455"/>
      <c r="HQ373" s="455"/>
      <c r="HR373" s="455"/>
      <c r="HS373" s="455"/>
      <c r="HT373" s="455"/>
      <c r="HU373" s="455"/>
      <c r="HV373" s="455"/>
      <c r="HW373" s="455"/>
      <c r="HX373" s="455"/>
      <c r="HY373" s="455"/>
      <c r="HZ373" s="455"/>
      <c r="IA373" s="455"/>
      <c r="IB373" s="455"/>
      <c r="IC373" s="455"/>
      <c r="ID373" s="455"/>
      <c r="IE373" s="455"/>
      <c r="IF373" s="455"/>
      <c r="IG373" s="455"/>
      <c r="IH373" s="455"/>
      <c r="II373" s="455"/>
      <c r="IJ373" s="455"/>
      <c r="IK373" s="455"/>
      <c r="IL373" s="455"/>
      <c r="IM373" s="455"/>
      <c r="IN373" s="455"/>
      <c r="IO373" s="455"/>
      <c r="IP373" s="455"/>
      <c r="IQ373" s="455"/>
      <c r="IR373" s="455"/>
      <c r="IS373" s="455"/>
    </row>
    <row r="374" spans="1:253" s="458" customFormat="1" ht="56.25" x14ac:dyDescent="0.2">
      <c r="A374" s="444">
        <v>3477</v>
      </c>
      <c r="B374" s="445" t="s">
        <v>51</v>
      </c>
      <c r="C374" s="445" t="s">
        <v>52</v>
      </c>
      <c r="D374" s="445" t="s">
        <v>91</v>
      </c>
      <c r="E374" s="445"/>
      <c r="F374" s="445"/>
      <c r="G374" s="446">
        <v>74</v>
      </c>
      <c r="H374" s="445">
        <v>107</v>
      </c>
      <c r="I374" s="445"/>
      <c r="J374" s="445">
        <v>1</v>
      </c>
      <c r="K374" s="447">
        <v>1</v>
      </c>
      <c r="L374" s="445" t="s">
        <v>478</v>
      </c>
      <c r="M374" s="445">
        <v>5</v>
      </c>
      <c r="N374" s="445" t="s">
        <v>307</v>
      </c>
      <c r="O374" s="449" t="s">
        <v>1409</v>
      </c>
      <c r="P374" s="450">
        <v>22.094000000000001</v>
      </c>
      <c r="Q374" s="451">
        <f t="shared" si="9"/>
        <v>22.094000000000001</v>
      </c>
      <c r="R374" s="451">
        <f>SUMIF('Wege im Detail'!$A:$A,"3477",'Wege im Detail'!$P:$P)</f>
        <v>22.094000000000001</v>
      </c>
      <c r="S374" s="488" t="s">
        <v>479</v>
      </c>
      <c r="T374" s="453">
        <v>43922</v>
      </c>
      <c r="U374" s="448"/>
      <c r="V374" s="455"/>
      <c r="W374" s="448"/>
      <c r="X374" s="455"/>
      <c r="Y374" s="455"/>
      <c r="Z374" s="455"/>
      <c r="AA374" s="455"/>
      <c r="AB374" s="455"/>
      <c r="AC374" s="455"/>
      <c r="AD374" s="455"/>
      <c r="AE374" s="455"/>
      <c r="AF374" s="455"/>
      <c r="AG374" s="455"/>
      <c r="AH374" s="455"/>
      <c r="AI374" s="455"/>
      <c r="AJ374" s="455"/>
      <c r="AK374" s="455"/>
      <c r="AL374" s="455"/>
      <c r="AM374" s="455"/>
      <c r="AN374" s="455"/>
      <c r="AO374" s="455"/>
      <c r="AP374" s="455"/>
      <c r="AQ374" s="455"/>
      <c r="AR374" s="455"/>
      <c r="AS374" s="455"/>
      <c r="AT374" s="455"/>
      <c r="AU374" s="455"/>
      <c r="AV374" s="455"/>
      <c r="AW374" s="455"/>
      <c r="AX374" s="455"/>
      <c r="AY374" s="455"/>
      <c r="AZ374" s="455"/>
      <c r="BA374" s="455"/>
      <c r="BB374" s="455"/>
      <c r="BC374" s="455"/>
      <c r="BD374" s="455"/>
      <c r="BE374" s="455"/>
      <c r="BF374" s="455"/>
      <c r="BG374" s="455"/>
      <c r="BH374" s="455"/>
      <c r="BI374" s="455"/>
      <c r="BJ374" s="455"/>
      <c r="BK374" s="455"/>
      <c r="BL374" s="455"/>
      <c r="BM374" s="455"/>
      <c r="BN374" s="455"/>
      <c r="BO374" s="455"/>
      <c r="BP374" s="455"/>
      <c r="BQ374" s="455"/>
      <c r="BR374" s="455"/>
      <c r="BS374" s="455"/>
      <c r="BT374" s="455"/>
      <c r="BU374" s="455"/>
      <c r="BV374" s="455"/>
      <c r="BW374" s="455"/>
      <c r="BX374" s="455"/>
      <c r="BY374" s="455"/>
      <c r="BZ374" s="455"/>
      <c r="CA374" s="455"/>
      <c r="CB374" s="455"/>
      <c r="CC374" s="455"/>
      <c r="CD374" s="455"/>
      <c r="CE374" s="455"/>
      <c r="CF374" s="455"/>
      <c r="CG374" s="455"/>
      <c r="CH374" s="455"/>
      <c r="CI374" s="455"/>
      <c r="CJ374" s="455"/>
      <c r="CK374" s="455"/>
      <c r="CL374" s="455"/>
      <c r="CM374" s="455"/>
      <c r="CN374" s="455"/>
      <c r="CO374" s="455"/>
      <c r="CP374" s="455"/>
      <c r="CQ374" s="455"/>
      <c r="CR374" s="455"/>
      <c r="CS374" s="455"/>
      <c r="CT374" s="455"/>
      <c r="CU374" s="455"/>
      <c r="CV374" s="455"/>
      <c r="CW374" s="455"/>
      <c r="CX374" s="455"/>
      <c r="CY374" s="455"/>
      <c r="CZ374" s="455"/>
      <c r="DA374" s="455"/>
      <c r="DB374" s="455"/>
      <c r="DC374" s="455"/>
      <c r="DD374" s="455"/>
      <c r="DE374" s="455"/>
      <c r="DF374" s="455"/>
      <c r="DG374" s="455"/>
      <c r="DH374" s="455"/>
      <c r="DI374" s="455"/>
      <c r="DJ374" s="455"/>
      <c r="DK374" s="455"/>
      <c r="DL374" s="455"/>
      <c r="DM374" s="455"/>
      <c r="DN374" s="455"/>
      <c r="DO374" s="455"/>
      <c r="DP374" s="455"/>
      <c r="DQ374" s="455"/>
      <c r="DR374" s="455"/>
      <c r="DS374" s="455"/>
      <c r="DT374" s="455"/>
      <c r="DU374" s="455"/>
      <c r="DV374" s="455"/>
      <c r="DW374" s="455"/>
      <c r="DX374" s="455"/>
      <c r="DY374" s="455"/>
      <c r="DZ374" s="455"/>
      <c r="EA374" s="455"/>
      <c r="EB374" s="455"/>
      <c r="EC374" s="455"/>
      <c r="ED374" s="455"/>
      <c r="EE374" s="455"/>
      <c r="EF374" s="455"/>
      <c r="EG374" s="455"/>
      <c r="EH374" s="455"/>
      <c r="EI374" s="455"/>
      <c r="EJ374" s="455"/>
      <c r="EK374" s="455"/>
      <c r="EL374" s="455"/>
      <c r="EM374" s="455"/>
      <c r="EN374" s="455"/>
      <c r="EO374" s="455"/>
      <c r="EP374" s="455"/>
      <c r="EQ374" s="455"/>
      <c r="ER374" s="455"/>
      <c r="ES374" s="455"/>
      <c r="ET374" s="455"/>
      <c r="EU374" s="455"/>
      <c r="EV374" s="455"/>
      <c r="EW374" s="455"/>
      <c r="EX374" s="455"/>
      <c r="EY374" s="455"/>
      <c r="EZ374" s="455"/>
      <c r="FA374" s="455"/>
      <c r="FB374" s="455"/>
      <c r="FC374" s="455"/>
      <c r="FD374" s="455"/>
      <c r="FE374" s="455"/>
      <c r="FF374" s="455"/>
      <c r="FG374" s="455"/>
      <c r="FH374" s="455"/>
      <c r="FI374" s="455"/>
      <c r="FJ374" s="455"/>
      <c r="FK374" s="455"/>
      <c r="FL374" s="455"/>
      <c r="FM374" s="455"/>
      <c r="FN374" s="455"/>
      <c r="FO374" s="455"/>
      <c r="FP374" s="455"/>
      <c r="FQ374" s="455"/>
      <c r="FR374" s="455"/>
      <c r="FS374" s="455"/>
      <c r="FT374" s="455"/>
      <c r="FU374" s="455"/>
      <c r="FV374" s="455"/>
      <c r="FW374" s="455"/>
      <c r="FX374" s="455"/>
      <c r="FY374" s="455"/>
      <c r="FZ374" s="455"/>
      <c r="GA374" s="455"/>
      <c r="GB374" s="455"/>
      <c r="GC374" s="455"/>
      <c r="GD374" s="455"/>
      <c r="GE374" s="455"/>
      <c r="GF374" s="455"/>
      <c r="GG374" s="455"/>
      <c r="GH374" s="455"/>
      <c r="GI374" s="455"/>
      <c r="GJ374" s="455"/>
      <c r="GK374" s="455"/>
      <c r="GL374" s="455"/>
      <c r="GM374" s="455"/>
      <c r="GN374" s="455"/>
      <c r="GO374" s="455"/>
      <c r="GP374" s="455"/>
      <c r="GQ374" s="455"/>
      <c r="GR374" s="455"/>
      <c r="GS374" s="455"/>
      <c r="GT374" s="455"/>
      <c r="GU374" s="455"/>
      <c r="GV374" s="455"/>
      <c r="GW374" s="455"/>
      <c r="GX374" s="455"/>
      <c r="GY374" s="455"/>
      <c r="GZ374" s="455"/>
      <c r="HA374" s="455"/>
      <c r="HB374" s="455"/>
      <c r="HC374" s="455"/>
      <c r="HD374" s="455"/>
      <c r="HE374" s="455"/>
      <c r="HF374" s="455"/>
      <c r="HG374" s="455"/>
      <c r="HH374" s="455"/>
      <c r="HI374" s="455"/>
      <c r="HJ374" s="455"/>
      <c r="HK374" s="455"/>
      <c r="HL374" s="455"/>
      <c r="HM374" s="455"/>
      <c r="HN374" s="455"/>
      <c r="HO374" s="455"/>
      <c r="HP374" s="455"/>
      <c r="HQ374" s="455"/>
      <c r="HR374" s="455"/>
      <c r="HS374" s="455"/>
      <c r="HT374" s="455"/>
      <c r="HU374" s="455"/>
      <c r="HV374" s="455"/>
      <c r="HW374" s="455"/>
      <c r="HX374" s="455"/>
      <c r="HY374" s="455"/>
      <c r="HZ374" s="455"/>
      <c r="IA374" s="455"/>
      <c r="IB374" s="455"/>
      <c r="IC374" s="455"/>
      <c r="ID374" s="455"/>
      <c r="IE374" s="455"/>
      <c r="IF374" s="455"/>
      <c r="IG374" s="455"/>
      <c r="IH374" s="455"/>
      <c r="II374" s="455"/>
      <c r="IJ374" s="455"/>
      <c r="IK374" s="455"/>
      <c r="IL374" s="455"/>
      <c r="IM374" s="455"/>
      <c r="IN374" s="455"/>
      <c r="IO374" s="455"/>
      <c r="IP374" s="455"/>
      <c r="IQ374" s="455"/>
      <c r="IR374" s="455"/>
      <c r="IS374" s="455"/>
    </row>
    <row r="375" spans="1:253" s="458" customFormat="1" ht="56.25" x14ac:dyDescent="0.2">
      <c r="A375" s="444">
        <v>6500</v>
      </c>
      <c r="B375" s="445" t="s">
        <v>51</v>
      </c>
      <c r="C375" s="445" t="s">
        <v>52</v>
      </c>
      <c r="D375" s="445"/>
      <c r="E375" s="445"/>
      <c r="F375" s="445"/>
      <c r="G375" s="446">
        <v>33</v>
      </c>
      <c r="H375" s="445">
        <v>16</v>
      </c>
      <c r="I375" s="445"/>
      <c r="J375" s="445">
        <v>1</v>
      </c>
      <c r="K375" s="447">
        <v>2</v>
      </c>
      <c r="L375" s="445" t="s">
        <v>481</v>
      </c>
      <c r="M375" s="445">
        <v>3</v>
      </c>
      <c r="N375" s="445" t="s">
        <v>226</v>
      </c>
      <c r="O375" s="449" t="s">
        <v>1410</v>
      </c>
      <c r="P375" s="450">
        <v>33.167000000000002</v>
      </c>
      <c r="Q375" s="451">
        <f t="shared" si="9"/>
        <v>33.167000000000002</v>
      </c>
      <c r="R375" s="451">
        <f>SUMIF('Wege im Detail'!$A:$A,"6500",'Wege im Detail'!$P:$P)</f>
        <v>61.263000000000005</v>
      </c>
      <c r="S375" s="452" t="s">
        <v>482</v>
      </c>
      <c r="T375" s="453">
        <v>43952</v>
      </c>
      <c r="U375" s="534"/>
      <c r="V375" s="466"/>
      <c r="W375" s="534"/>
      <c r="X375" s="455"/>
      <c r="Y375" s="455"/>
      <c r="Z375" s="455"/>
      <c r="AA375" s="455"/>
      <c r="AB375" s="455"/>
      <c r="AC375" s="455"/>
      <c r="AD375" s="455"/>
      <c r="AE375" s="455"/>
      <c r="AF375" s="455"/>
      <c r="AG375" s="455"/>
      <c r="AH375" s="455"/>
      <c r="AI375" s="455"/>
      <c r="AJ375" s="455"/>
      <c r="AK375" s="455"/>
      <c r="AL375" s="455"/>
      <c r="AM375" s="455"/>
      <c r="AN375" s="455"/>
      <c r="AO375" s="455"/>
      <c r="AP375" s="455"/>
      <c r="AQ375" s="455"/>
      <c r="AR375" s="455"/>
      <c r="AS375" s="455"/>
      <c r="AT375" s="455"/>
      <c r="AU375" s="455"/>
      <c r="AV375" s="455"/>
      <c r="AW375" s="455"/>
      <c r="AX375" s="455"/>
      <c r="AY375" s="455"/>
      <c r="AZ375" s="455"/>
      <c r="BA375" s="455"/>
      <c r="BB375" s="455"/>
      <c r="BC375" s="455"/>
      <c r="BD375" s="455"/>
      <c r="BE375" s="455"/>
      <c r="BF375" s="455"/>
      <c r="BG375" s="455"/>
      <c r="BH375" s="455"/>
      <c r="BI375" s="455"/>
      <c r="BJ375" s="455"/>
      <c r="BK375" s="455"/>
      <c r="BL375" s="455"/>
      <c r="BM375" s="455"/>
      <c r="BN375" s="455"/>
      <c r="BO375" s="455"/>
      <c r="BP375" s="455"/>
      <c r="BQ375" s="455"/>
      <c r="BR375" s="455"/>
      <c r="BS375" s="455"/>
      <c r="BT375" s="455"/>
      <c r="BU375" s="455"/>
      <c r="BV375" s="455"/>
      <c r="BW375" s="455"/>
      <c r="BX375" s="455"/>
      <c r="BY375" s="455"/>
      <c r="BZ375" s="455"/>
      <c r="CA375" s="455"/>
      <c r="CB375" s="455"/>
      <c r="CC375" s="455"/>
      <c r="CD375" s="455"/>
      <c r="CE375" s="455"/>
      <c r="CF375" s="455"/>
      <c r="CG375" s="455"/>
      <c r="CH375" s="455"/>
      <c r="CI375" s="455"/>
      <c r="CJ375" s="455"/>
      <c r="CK375" s="455"/>
      <c r="CL375" s="455"/>
      <c r="CM375" s="455"/>
      <c r="CN375" s="455"/>
      <c r="CO375" s="455"/>
      <c r="CP375" s="455"/>
      <c r="CQ375" s="455"/>
      <c r="CR375" s="455"/>
      <c r="CS375" s="455"/>
      <c r="CT375" s="455"/>
      <c r="CU375" s="455"/>
      <c r="CV375" s="455"/>
      <c r="CW375" s="455"/>
      <c r="CX375" s="455"/>
      <c r="CY375" s="455"/>
      <c r="CZ375" s="455"/>
      <c r="DA375" s="455"/>
      <c r="DB375" s="455"/>
      <c r="DC375" s="455"/>
      <c r="DD375" s="455"/>
      <c r="DE375" s="455"/>
      <c r="DF375" s="455"/>
      <c r="DG375" s="455"/>
      <c r="DH375" s="455"/>
      <c r="DI375" s="455"/>
      <c r="DJ375" s="455"/>
      <c r="DK375" s="455"/>
      <c r="DL375" s="455"/>
      <c r="DM375" s="455"/>
      <c r="DN375" s="455"/>
      <c r="DO375" s="455"/>
      <c r="DP375" s="455"/>
      <c r="DQ375" s="455"/>
      <c r="DR375" s="455"/>
      <c r="DS375" s="455"/>
      <c r="DT375" s="455"/>
      <c r="DU375" s="455"/>
      <c r="DV375" s="455"/>
      <c r="DW375" s="455"/>
      <c r="DX375" s="455"/>
      <c r="DY375" s="455"/>
      <c r="DZ375" s="455"/>
      <c r="EA375" s="455"/>
      <c r="EB375" s="455"/>
      <c r="EC375" s="455"/>
      <c r="ED375" s="455"/>
      <c r="EE375" s="455"/>
      <c r="EF375" s="455"/>
      <c r="EG375" s="455"/>
      <c r="EH375" s="455"/>
      <c r="EI375" s="455"/>
      <c r="EJ375" s="455"/>
      <c r="EK375" s="455"/>
      <c r="EL375" s="455"/>
      <c r="EM375" s="455"/>
      <c r="EN375" s="455"/>
      <c r="EO375" s="455"/>
      <c r="EP375" s="455"/>
      <c r="EQ375" s="455"/>
      <c r="ER375" s="455"/>
      <c r="ES375" s="455"/>
      <c r="ET375" s="455"/>
      <c r="EU375" s="455"/>
      <c r="EV375" s="455"/>
      <c r="EW375" s="455"/>
      <c r="EX375" s="455"/>
      <c r="EY375" s="455"/>
      <c r="EZ375" s="455"/>
      <c r="FA375" s="455"/>
      <c r="FB375" s="455"/>
      <c r="FC375" s="455"/>
      <c r="FD375" s="455"/>
      <c r="FE375" s="455"/>
      <c r="FF375" s="455"/>
      <c r="FG375" s="455"/>
      <c r="FH375" s="455"/>
      <c r="FI375" s="455"/>
      <c r="FJ375" s="455"/>
      <c r="FK375" s="455"/>
      <c r="FL375" s="455"/>
      <c r="FM375" s="455"/>
      <c r="FN375" s="455"/>
      <c r="FO375" s="455"/>
      <c r="FP375" s="455"/>
      <c r="FQ375" s="455"/>
      <c r="FR375" s="455"/>
      <c r="FS375" s="455"/>
      <c r="FT375" s="455"/>
      <c r="FU375" s="455"/>
      <c r="FV375" s="455"/>
      <c r="FW375" s="455"/>
      <c r="FX375" s="455"/>
      <c r="FY375" s="455"/>
      <c r="FZ375" s="455"/>
      <c r="GA375" s="455"/>
      <c r="GB375" s="455"/>
      <c r="GC375" s="455"/>
      <c r="GD375" s="455"/>
      <c r="GE375" s="455"/>
      <c r="GF375" s="455"/>
      <c r="GG375" s="455"/>
      <c r="GH375" s="455"/>
      <c r="GI375" s="455"/>
      <c r="GJ375" s="455"/>
      <c r="GK375" s="455"/>
      <c r="GL375" s="455"/>
      <c r="GM375" s="455"/>
      <c r="GN375" s="455"/>
      <c r="GO375" s="455"/>
      <c r="GP375" s="455"/>
      <c r="GQ375" s="455"/>
      <c r="GR375" s="455"/>
      <c r="GS375" s="455"/>
      <c r="GT375" s="455"/>
      <c r="GU375" s="455"/>
      <c r="GV375" s="455"/>
      <c r="GW375" s="455"/>
      <c r="GX375" s="455"/>
      <c r="GY375" s="455"/>
      <c r="GZ375" s="455"/>
      <c r="HA375" s="455"/>
      <c r="HB375" s="455"/>
      <c r="HC375" s="455"/>
      <c r="HD375" s="455"/>
      <c r="HE375" s="455"/>
      <c r="HF375" s="455"/>
      <c r="HG375" s="455"/>
      <c r="HH375" s="455"/>
      <c r="HI375" s="455"/>
      <c r="HJ375" s="455"/>
      <c r="HK375" s="455"/>
      <c r="HL375" s="455"/>
      <c r="HM375" s="455"/>
      <c r="HN375" s="455"/>
      <c r="HO375" s="455"/>
      <c r="HP375" s="455"/>
      <c r="HQ375" s="455"/>
      <c r="HR375" s="455"/>
      <c r="HS375" s="455"/>
      <c r="HT375" s="455"/>
      <c r="HU375" s="455"/>
      <c r="HV375" s="455"/>
      <c r="HW375" s="455"/>
      <c r="HX375" s="455"/>
      <c r="HY375" s="455"/>
      <c r="HZ375" s="455"/>
      <c r="IA375" s="455"/>
      <c r="IB375" s="455"/>
      <c r="IC375" s="455"/>
      <c r="ID375" s="455"/>
      <c r="IE375" s="455"/>
      <c r="IF375" s="455"/>
      <c r="IG375" s="455"/>
      <c r="IH375" s="455"/>
      <c r="II375" s="455"/>
      <c r="IJ375" s="455"/>
      <c r="IK375" s="455"/>
      <c r="IL375" s="455"/>
      <c r="IM375" s="455"/>
      <c r="IN375" s="455"/>
      <c r="IO375" s="455"/>
      <c r="IP375" s="455"/>
      <c r="IQ375" s="455"/>
      <c r="IR375" s="455"/>
      <c r="IS375" s="455"/>
    </row>
    <row r="376" spans="1:253" s="458" customFormat="1" ht="56.25" x14ac:dyDescent="0.2">
      <c r="A376" s="444">
        <v>6500</v>
      </c>
      <c r="B376" s="445" t="s">
        <v>51</v>
      </c>
      <c r="C376" s="445" t="s">
        <v>52</v>
      </c>
      <c r="D376" s="445"/>
      <c r="E376" s="445"/>
      <c r="F376" s="445"/>
      <c r="G376" s="446">
        <v>33</v>
      </c>
      <c r="H376" s="445">
        <v>16</v>
      </c>
      <c r="I376" s="445"/>
      <c r="J376" s="445">
        <v>2</v>
      </c>
      <c r="K376" s="447">
        <v>2</v>
      </c>
      <c r="L376" s="445" t="s">
        <v>481</v>
      </c>
      <c r="M376" s="445">
        <v>5</v>
      </c>
      <c r="N376" s="445" t="s">
        <v>307</v>
      </c>
      <c r="O376" s="449" t="s">
        <v>1411</v>
      </c>
      <c r="P376" s="450">
        <v>28.096</v>
      </c>
      <c r="Q376" s="451">
        <f t="shared" si="9"/>
        <v>28.096</v>
      </c>
      <c r="R376" s="451">
        <f>SUMIF('Wege im Detail'!$A:$A,"6500",'Wege im Detail'!$P:$P)</f>
        <v>61.263000000000005</v>
      </c>
      <c r="S376" s="452" t="s">
        <v>482</v>
      </c>
      <c r="T376" s="453">
        <v>42795</v>
      </c>
      <c r="U376" s="448"/>
      <c r="V376" s="486"/>
      <c r="W376" s="448"/>
      <c r="X376" s="455"/>
      <c r="Y376" s="455"/>
      <c r="Z376" s="455"/>
      <c r="AA376" s="455"/>
      <c r="AB376" s="455"/>
      <c r="AC376" s="455"/>
      <c r="AD376" s="455"/>
      <c r="AE376" s="455"/>
      <c r="AF376" s="455"/>
      <c r="AG376" s="455"/>
      <c r="AH376" s="455"/>
      <c r="AI376" s="455"/>
      <c r="AJ376" s="455"/>
      <c r="AK376" s="455"/>
      <c r="AL376" s="455"/>
      <c r="AM376" s="455"/>
      <c r="AN376" s="455"/>
      <c r="AO376" s="455"/>
      <c r="AP376" s="455"/>
      <c r="AQ376" s="455"/>
      <c r="AR376" s="455"/>
      <c r="AS376" s="455"/>
      <c r="AT376" s="455"/>
      <c r="AU376" s="455"/>
      <c r="AV376" s="455"/>
      <c r="AW376" s="455"/>
      <c r="AX376" s="455"/>
      <c r="AY376" s="455"/>
      <c r="AZ376" s="455"/>
      <c r="BA376" s="455"/>
      <c r="BB376" s="455"/>
      <c r="BC376" s="455"/>
      <c r="BD376" s="455"/>
      <c r="BE376" s="455"/>
      <c r="BF376" s="455"/>
      <c r="BG376" s="455"/>
      <c r="BH376" s="455"/>
      <c r="BI376" s="455"/>
      <c r="BJ376" s="455"/>
      <c r="BK376" s="455"/>
      <c r="BL376" s="455"/>
      <c r="BM376" s="455"/>
      <c r="BN376" s="455"/>
      <c r="BO376" s="455"/>
      <c r="BP376" s="455"/>
      <c r="BQ376" s="455"/>
      <c r="BR376" s="455"/>
      <c r="BS376" s="455"/>
      <c r="BT376" s="455"/>
      <c r="BU376" s="455"/>
      <c r="BV376" s="455"/>
      <c r="BW376" s="455"/>
      <c r="BX376" s="455"/>
      <c r="BY376" s="455"/>
      <c r="BZ376" s="455"/>
      <c r="CA376" s="455"/>
      <c r="CB376" s="455"/>
      <c r="CC376" s="455"/>
      <c r="CD376" s="455"/>
      <c r="CE376" s="455"/>
      <c r="CF376" s="455"/>
      <c r="CG376" s="455"/>
      <c r="CH376" s="455"/>
      <c r="CI376" s="455"/>
      <c r="CJ376" s="455"/>
      <c r="CK376" s="455"/>
      <c r="CL376" s="455"/>
      <c r="CM376" s="455"/>
      <c r="CN376" s="455"/>
      <c r="CO376" s="455"/>
      <c r="CP376" s="455"/>
      <c r="CQ376" s="455"/>
      <c r="CR376" s="455"/>
      <c r="CS376" s="455"/>
      <c r="CT376" s="455"/>
      <c r="CU376" s="455"/>
      <c r="CV376" s="455"/>
      <c r="CW376" s="455"/>
      <c r="CX376" s="455"/>
      <c r="CY376" s="455"/>
      <c r="CZ376" s="455"/>
      <c r="DA376" s="455"/>
      <c r="DB376" s="455"/>
      <c r="DC376" s="455"/>
      <c r="DD376" s="455"/>
      <c r="DE376" s="455"/>
      <c r="DF376" s="455"/>
      <c r="DG376" s="455"/>
      <c r="DH376" s="455"/>
      <c r="DI376" s="455"/>
      <c r="DJ376" s="455"/>
      <c r="DK376" s="455"/>
      <c r="DL376" s="455"/>
      <c r="DM376" s="455"/>
      <c r="DN376" s="455"/>
      <c r="DO376" s="455"/>
      <c r="DP376" s="455"/>
      <c r="DQ376" s="455"/>
      <c r="DR376" s="455"/>
      <c r="DS376" s="455"/>
      <c r="DT376" s="455"/>
      <c r="DU376" s="455"/>
      <c r="DV376" s="455"/>
      <c r="DW376" s="455"/>
      <c r="DX376" s="455"/>
      <c r="DY376" s="455"/>
      <c r="DZ376" s="455"/>
      <c r="EA376" s="455"/>
      <c r="EB376" s="455"/>
      <c r="EC376" s="455"/>
      <c r="ED376" s="455"/>
      <c r="EE376" s="455"/>
      <c r="EF376" s="455"/>
      <c r="EG376" s="455"/>
      <c r="EH376" s="455"/>
      <c r="EI376" s="455"/>
      <c r="EJ376" s="455"/>
      <c r="EK376" s="455"/>
      <c r="EL376" s="455"/>
      <c r="EM376" s="455"/>
      <c r="EN376" s="455"/>
      <c r="EO376" s="455"/>
      <c r="EP376" s="455"/>
      <c r="EQ376" s="455"/>
      <c r="ER376" s="455"/>
      <c r="ES376" s="455"/>
      <c r="ET376" s="455"/>
      <c r="EU376" s="455"/>
      <c r="EV376" s="455"/>
      <c r="EW376" s="455"/>
      <c r="EX376" s="455"/>
      <c r="EY376" s="455"/>
      <c r="EZ376" s="455"/>
      <c r="FA376" s="455"/>
      <c r="FB376" s="455"/>
      <c r="FC376" s="455"/>
      <c r="FD376" s="455"/>
      <c r="FE376" s="455"/>
      <c r="FF376" s="455"/>
      <c r="FG376" s="455"/>
      <c r="FH376" s="455"/>
      <c r="FI376" s="455"/>
      <c r="FJ376" s="455"/>
      <c r="FK376" s="455"/>
      <c r="FL376" s="455"/>
      <c r="FM376" s="455"/>
      <c r="FN376" s="455"/>
      <c r="FO376" s="455"/>
      <c r="FP376" s="455"/>
      <c r="FQ376" s="455"/>
      <c r="FR376" s="455"/>
      <c r="FS376" s="455"/>
      <c r="FT376" s="455"/>
      <c r="FU376" s="455"/>
      <c r="FV376" s="455"/>
      <c r="FW376" s="455"/>
      <c r="FX376" s="455"/>
      <c r="FY376" s="455"/>
      <c r="FZ376" s="455"/>
      <c r="GA376" s="455"/>
      <c r="GB376" s="455"/>
      <c r="GC376" s="455"/>
      <c r="GD376" s="455"/>
      <c r="GE376" s="455"/>
      <c r="GF376" s="455"/>
      <c r="GG376" s="455"/>
      <c r="GH376" s="455"/>
      <c r="GI376" s="455"/>
      <c r="GJ376" s="455"/>
      <c r="GK376" s="455"/>
      <c r="GL376" s="455"/>
      <c r="GM376" s="455"/>
      <c r="GN376" s="455"/>
      <c r="GO376" s="455"/>
      <c r="GP376" s="455"/>
      <c r="GQ376" s="455"/>
      <c r="GR376" s="455"/>
      <c r="GS376" s="455"/>
      <c r="GT376" s="455"/>
      <c r="GU376" s="455"/>
      <c r="GV376" s="455"/>
      <c r="GW376" s="455"/>
      <c r="GX376" s="455"/>
      <c r="GY376" s="455"/>
      <c r="GZ376" s="455"/>
      <c r="HA376" s="455"/>
      <c r="HB376" s="455"/>
      <c r="HC376" s="455"/>
      <c r="HD376" s="455"/>
      <c r="HE376" s="455"/>
      <c r="HF376" s="455"/>
      <c r="HG376" s="455"/>
      <c r="HH376" s="455"/>
      <c r="HI376" s="455"/>
      <c r="HJ376" s="455"/>
      <c r="HK376" s="455"/>
      <c r="HL376" s="455"/>
      <c r="HM376" s="455"/>
      <c r="HN376" s="455"/>
      <c r="HO376" s="455"/>
      <c r="HP376" s="455"/>
      <c r="HQ376" s="455"/>
      <c r="HR376" s="455"/>
      <c r="HS376" s="455"/>
      <c r="HT376" s="455"/>
      <c r="HU376" s="455"/>
      <c r="HV376" s="455"/>
      <c r="HW376" s="455"/>
      <c r="HX376" s="455"/>
      <c r="HY376" s="455"/>
      <c r="HZ376" s="455"/>
      <c r="IA376" s="455"/>
      <c r="IB376" s="455"/>
      <c r="IC376" s="455"/>
      <c r="ID376" s="455"/>
      <c r="IE376" s="455"/>
      <c r="IF376" s="455"/>
      <c r="IG376" s="455"/>
      <c r="IH376" s="455"/>
      <c r="II376" s="455"/>
      <c r="IJ376" s="455"/>
      <c r="IK376" s="455"/>
      <c r="IL376" s="455"/>
      <c r="IM376" s="455"/>
      <c r="IN376" s="455"/>
      <c r="IO376" s="455"/>
      <c r="IP376" s="455"/>
      <c r="IQ376" s="455"/>
      <c r="IR376" s="455"/>
      <c r="IS376" s="455"/>
    </row>
    <row r="377" spans="1:253" s="458" customFormat="1" ht="45" x14ac:dyDescent="0.2">
      <c r="A377" s="444">
        <v>6602</v>
      </c>
      <c r="B377" s="445" t="s">
        <v>51</v>
      </c>
      <c r="C377" s="445" t="s">
        <v>52</v>
      </c>
      <c r="D377" s="445" t="s">
        <v>91</v>
      </c>
      <c r="E377" s="445"/>
      <c r="F377" s="445"/>
      <c r="G377" s="446">
        <v>59</v>
      </c>
      <c r="H377" s="445">
        <v>134</v>
      </c>
      <c r="I377" s="445"/>
      <c r="J377" s="445">
        <v>1</v>
      </c>
      <c r="K377" s="447">
        <v>2</v>
      </c>
      <c r="L377" s="445"/>
      <c r="M377" s="445">
        <v>2</v>
      </c>
      <c r="N377" s="445" t="s">
        <v>433</v>
      </c>
      <c r="O377" s="449" t="s">
        <v>1412</v>
      </c>
      <c r="P377" s="450">
        <v>2.7389999999999999</v>
      </c>
      <c r="Q377" s="451">
        <f t="shared" si="9"/>
        <v>2.7389999999999999</v>
      </c>
      <c r="R377" s="451">
        <f>SUMIF('Wege im Detail'!$A:$A,"006602",'Wege im Detail'!$P:$P)</f>
        <v>2.7389999999999999</v>
      </c>
      <c r="S377" s="452" t="s">
        <v>483</v>
      </c>
      <c r="T377" s="453">
        <v>43922</v>
      </c>
      <c r="U377" s="448"/>
      <c r="W377" s="448"/>
    </row>
    <row r="378" spans="1:253" s="458" customFormat="1" ht="33.75" x14ac:dyDescent="0.2">
      <c r="A378" s="444">
        <v>7439</v>
      </c>
      <c r="B378" s="445" t="s">
        <v>84</v>
      </c>
      <c r="C378" s="445" t="s">
        <v>85</v>
      </c>
      <c r="D378" s="445"/>
      <c r="E378" s="445"/>
      <c r="F378" s="479"/>
      <c r="G378" s="446">
        <v>294</v>
      </c>
      <c r="H378" s="445" t="s">
        <v>489</v>
      </c>
      <c r="I378" s="445"/>
      <c r="J378" s="445">
        <v>1</v>
      </c>
      <c r="K378" s="447">
        <v>1</v>
      </c>
      <c r="L378" s="445" t="s">
        <v>138</v>
      </c>
      <c r="M378" s="445">
        <v>4</v>
      </c>
      <c r="N378" s="445" t="s">
        <v>102</v>
      </c>
      <c r="O378" s="464" t="s">
        <v>1413</v>
      </c>
      <c r="P378" s="450">
        <v>2.806</v>
      </c>
      <c r="Q378" s="451">
        <f t="shared" si="9"/>
        <v>2.806</v>
      </c>
      <c r="R378" s="451">
        <f>SUMIF('Wege im Detail'!$A:$A,"7439",'Wege im Detail'!$P:$P)</f>
        <v>2.806</v>
      </c>
      <c r="S378" s="452" t="s">
        <v>490</v>
      </c>
      <c r="T378" s="453">
        <v>43527</v>
      </c>
      <c r="U378" s="448"/>
      <c r="W378" s="448"/>
    </row>
    <row r="379" spans="1:253" s="566" customFormat="1" ht="45" x14ac:dyDescent="0.2">
      <c r="A379" s="444">
        <v>7443</v>
      </c>
      <c r="B379" s="445" t="s">
        <v>51</v>
      </c>
      <c r="C379" s="445" t="s">
        <v>52</v>
      </c>
      <c r="D379" s="445" t="s">
        <v>366</v>
      </c>
      <c r="E379" s="445"/>
      <c r="F379" s="479"/>
      <c r="G379" s="446">
        <v>84</v>
      </c>
      <c r="H379" s="445">
        <v>600</v>
      </c>
      <c r="I379" s="445"/>
      <c r="J379" s="445">
        <v>19</v>
      </c>
      <c r="K379" s="447">
        <v>19</v>
      </c>
      <c r="L379" s="445" t="s">
        <v>492</v>
      </c>
      <c r="M379" s="445">
        <v>4</v>
      </c>
      <c r="N379" s="445" t="s">
        <v>198</v>
      </c>
      <c r="O379" s="464" t="s">
        <v>1414</v>
      </c>
      <c r="P379" s="450">
        <v>9.31</v>
      </c>
      <c r="Q379" s="451">
        <f t="shared" si="9"/>
        <v>9.31</v>
      </c>
      <c r="R379" s="451">
        <f>SUMIF('Wege im Detail'!$A:$A,"7443",'Wege im Detail'!$P:$P)</f>
        <v>120.56900000000002</v>
      </c>
      <c r="S379" s="452" t="s">
        <v>2270</v>
      </c>
      <c r="T379" s="453">
        <v>44527</v>
      </c>
      <c r="U379" s="448"/>
      <c r="V379" s="457"/>
      <c r="W379" s="448"/>
    </row>
    <row r="380" spans="1:253" s="458" customFormat="1" ht="45" x14ac:dyDescent="0.2">
      <c r="A380" s="555">
        <v>7443</v>
      </c>
      <c r="B380" s="556" t="s">
        <v>51</v>
      </c>
      <c r="C380" s="556" t="s">
        <v>52</v>
      </c>
      <c r="D380" s="556" t="s">
        <v>366</v>
      </c>
      <c r="E380" s="556"/>
      <c r="F380" s="557"/>
      <c r="G380" s="558">
        <v>84</v>
      </c>
      <c r="H380" s="556">
        <v>600</v>
      </c>
      <c r="I380" s="556"/>
      <c r="J380" s="556">
        <v>18</v>
      </c>
      <c r="K380" s="447">
        <v>19</v>
      </c>
      <c r="L380" s="556" t="s">
        <v>492</v>
      </c>
      <c r="M380" s="556">
        <v>4</v>
      </c>
      <c r="N380" s="556" t="s">
        <v>389</v>
      </c>
      <c r="O380" s="560" t="s">
        <v>1415</v>
      </c>
      <c r="P380" s="561">
        <v>5.3579999999999997</v>
      </c>
      <c r="Q380" s="562">
        <f t="shared" si="9"/>
        <v>5.3579999999999997</v>
      </c>
      <c r="R380" s="562">
        <f>SUMIF('Wege im Detail'!$A:$A,"7443",'Wege im Detail'!$P:$P)</f>
        <v>120.56900000000002</v>
      </c>
      <c r="S380" s="563" t="s">
        <v>2270</v>
      </c>
      <c r="T380" s="564">
        <v>44527</v>
      </c>
      <c r="U380" s="559"/>
      <c r="V380" s="565"/>
      <c r="W380" s="559"/>
    </row>
    <row r="381" spans="1:253" s="458" customFormat="1" ht="45" x14ac:dyDescent="0.2">
      <c r="A381" s="444">
        <v>7443</v>
      </c>
      <c r="B381" s="445" t="s">
        <v>51</v>
      </c>
      <c r="C381" s="445" t="s">
        <v>52</v>
      </c>
      <c r="D381" s="445" t="s">
        <v>366</v>
      </c>
      <c r="E381" s="445"/>
      <c r="F381" s="479"/>
      <c r="G381" s="446">
        <v>84</v>
      </c>
      <c r="H381" s="445">
        <v>600</v>
      </c>
      <c r="I381" s="445"/>
      <c r="J381" s="445">
        <v>1</v>
      </c>
      <c r="K381" s="447">
        <v>19</v>
      </c>
      <c r="L381" s="445" t="s">
        <v>492</v>
      </c>
      <c r="M381" s="445">
        <v>4</v>
      </c>
      <c r="N381" s="445" t="s">
        <v>102</v>
      </c>
      <c r="O381" s="464" t="s">
        <v>1416</v>
      </c>
      <c r="P381" s="450">
        <v>12.47</v>
      </c>
      <c r="Q381" s="451">
        <f t="shared" si="9"/>
        <v>12.47</v>
      </c>
      <c r="R381" s="451">
        <f>SUMIF('Wege im Detail'!$A:$A,"7443",'Wege im Detail'!$P:$P)</f>
        <v>120.56900000000002</v>
      </c>
      <c r="S381" s="452" t="s">
        <v>2270</v>
      </c>
      <c r="T381" s="453">
        <v>43952</v>
      </c>
      <c r="U381" s="448"/>
      <c r="V381" s="457"/>
      <c r="W381" s="448"/>
    </row>
    <row r="382" spans="1:253" s="468" customFormat="1" ht="45" x14ac:dyDescent="0.2">
      <c r="A382" s="444">
        <v>7443</v>
      </c>
      <c r="B382" s="445" t="s">
        <v>51</v>
      </c>
      <c r="C382" s="445" t="s">
        <v>52</v>
      </c>
      <c r="D382" s="445" t="s">
        <v>366</v>
      </c>
      <c r="E382" s="445"/>
      <c r="F382" s="479"/>
      <c r="G382" s="446">
        <v>84</v>
      </c>
      <c r="H382" s="445">
        <v>600</v>
      </c>
      <c r="I382" s="445"/>
      <c r="J382" s="445">
        <v>2</v>
      </c>
      <c r="K382" s="447">
        <v>19</v>
      </c>
      <c r="L382" s="445" t="s">
        <v>492</v>
      </c>
      <c r="M382" s="445">
        <v>4</v>
      </c>
      <c r="N382" s="445" t="s">
        <v>89</v>
      </c>
      <c r="O382" s="464" t="s">
        <v>1417</v>
      </c>
      <c r="P382" s="450">
        <v>8.4260000000000002</v>
      </c>
      <c r="Q382" s="451">
        <f t="shared" si="9"/>
        <v>8.4260000000000002</v>
      </c>
      <c r="R382" s="451">
        <f>SUMIF('Wege im Detail'!$A:$A,"7443",'Wege im Detail'!$P:$P)</f>
        <v>120.56900000000002</v>
      </c>
      <c r="S382" s="452" t="s">
        <v>2270</v>
      </c>
      <c r="T382" s="453">
        <v>43952</v>
      </c>
      <c r="U382" s="448"/>
      <c r="V382" s="457"/>
      <c r="W382" s="448"/>
      <c r="X382" s="455"/>
      <c r="Y382" s="455"/>
      <c r="Z382" s="455"/>
      <c r="AA382" s="455"/>
      <c r="AB382" s="455"/>
      <c r="AC382" s="455"/>
      <c r="AD382" s="455"/>
      <c r="AE382" s="455"/>
      <c r="AF382" s="455"/>
      <c r="AG382" s="455"/>
      <c r="AH382" s="455"/>
      <c r="AI382" s="455"/>
      <c r="AJ382" s="455"/>
      <c r="AK382" s="455"/>
      <c r="AL382" s="455"/>
      <c r="AM382" s="455"/>
      <c r="AN382" s="455"/>
      <c r="AO382" s="455"/>
      <c r="AP382" s="455"/>
      <c r="AQ382" s="455"/>
      <c r="AR382" s="455"/>
      <c r="AS382" s="455"/>
      <c r="AT382" s="455"/>
      <c r="AU382" s="455"/>
      <c r="AV382" s="455"/>
      <c r="AW382" s="455"/>
      <c r="AX382" s="455"/>
      <c r="AY382" s="455"/>
      <c r="AZ382" s="455"/>
      <c r="BA382" s="455"/>
      <c r="BB382" s="455"/>
      <c r="BC382" s="455"/>
      <c r="BD382" s="455"/>
      <c r="BE382" s="455"/>
      <c r="BF382" s="455"/>
      <c r="BG382" s="455"/>
      <c r="BH382" s="455"/>
      <c r="BI382" s="455"/>
      <c r="BJ382" s="455"/>
      <c r="BK382" s="455"/>
      <c r="BL382" s="455"/>
      <c r="BM382" s="455"/>
      <c r="BN382" s="455"/>
      <c r="BO382" s="455"/>
      <c r="BP382" s="455"/>
      <c r="BQ382" s="455"/>
      <c r="BR382" s="455"/>
      <c r="BS382" s="455"/>
      <c r="BT382" s="455"/>
      <c r="BU382" s="455"/>
      <c r="BV382" s="455"/>
      <c r="BW382" s="455"/>
      <c r="BX382" s="455"/>
      <c r="BY382" s="455"/>
      <c r="BZ382" s="455"/>
      <c r="CA382" s="455"/>
      <c r="CB382" s="455"/>
      <c r="CC382" s="455"/>
      <c r="CD382" s="455"/>
      <c r="CE382" s="455"/>
      <c r="CF382" s="455"/>
      <c r="CG382" s="455"/>
      <c r="CH382" s="455"/>
      <c r="CI382" s="455"/>
      <c r="CJ382" s="455"/>
      <c r="CK382" s="455"/>
      <c r="CL382" s="455"/>
      <c r="CM382" s="455"/>
      <c r="CN382" s="455"/>
      <c r="CO382" s="455"/>
      <c r="CP382" s="455"/>
      <c r="CQ382" s="455"/>
      <c r="CR382" s="455"/>
      <c r="CS382" s="455"/>
      <c r="CT382" s="455"/>
      <c r="CU382" s="455"/>
      <c r="CV382" s="455"/>
      <c r="CW382" s="455"/>
      <c r="CX382" s="455"/>
      <c r="CY382" s="455"/>
      <c r="CZ382" s="455"/>
      <c r="DA382" s="455"/>
      <c r="DB382" s="455"/>
      <c r="DC382" s="455"/>
      <c r="DD382" s="455"/>
      <c r="DE382" s="455"/>
      <c r="DF382" s="455"/>
      <c r="DG382" s="455"/>
      <c r="DH382" s="455"/>
      <c r="DI382" s="455"/>
      <c r="DJ382" s="455"/>
      <c r="DK382" s="455"/>
      <c r="DL382" s="455"/>
      <c r="DM382" s="455"/>
      <c r="DN382" s="455"/>
      <c r="DO382" s="455"/>
      <c r="DP382" s="455"/>
      <c r="DQ382" s="455"/>
      <c r="DR382" s="455"/>
      <c r="DS382" s="455"/>
      <c r="DT382" s="455"/>
      <c r="DU382" s="455"/>
      <c r="DV382" s="455"/>
      <c r="DW382" s="455"/>
      <c r="DX382" s="455"/>
      <c r="DY382" s="455"/>
      <c r="DZ382" s="455"/>
      <c r="EA382" s="455"/>
      <c r="EB382" s="455"/>
      <c r="EC382" s="455"/>
      <c r="ED382" s="455"/>
      <c r="EE382" s="455"/>
      <c r="EF382" s="455"/>
      <c r="EG382" s="455"/>
      <c r="EH382" s="455"/>
      <c r="EI382" s="455"/>
      <c r="EJ382" s="455"/>
      <c r="EK382" s="455"/>
      <c r="EL382" s="455"/>
      <c r="EM382" s="455"/>
      <c r="EN382" s="455"/>
      <c r="EO382" s="455"/>
      <c r="EP382" s="455"/>
      <c r="EQ382" s="455"/>
      <c r="ER382" s="455"/>
      <c r="ES382" s="455"/>
      <c r="ET382" s="455"/>
      <c r="EU382" s="455"/>
      <c r="EV382" s="455"/>
      <c r="EW382" s="455"/>
      <c r="EX382" s="455"/>
      <c r="EY382" s="455"/>
      <c r="EZ382" s="455"/>
      <c r="FA382" s="455"/>
      <c r="FB382" s="455"/>
      <c r="FC382" s="455"/>
      <c r="FD382" s="455"/>
      <c r="FE382" s="455"/>
      <c r="FF382" s="455"/>
      <c r="FG382" s="455"/>
      <c r="FH382" s="455"/>
      <c r="FI382" s="455"/>
      <c r="FJ382" s="455"/>
      <c r="FK382" s="455"/>
      <c r="FL382" s="455"/>
      <c r="FM382" s="455"/>
      <c r="FN382" s="455"/>
      <c r="FO382" s="455"/>
      <c r="FP382" s="455"/>
      <c r="FQ382" s="455"/>
      <c r="FR382" s="455"/>
      <c r="FS382" s="455"/>
      <c r="FT382" s="455"/>
      <c r="FU382" s="455"/>
      <c r="FV382" s="455"/>
      <c r="FW382" s="455"/>
      <c r="FX382" s="455"/>
      <c r="FY382" s="455"/>
      <c r="FZ382" s="455"/>
      <c r="GA382" s="455"/>
      <c r="GB382" s="455"/>
      <c r="GC382" s="455"/>
      <c r="GD382" s="455"/>
      <c r="GE382" s="455"/>
      <c r="GF382" s="455"/>
      <c r="GG382" s="455"/>
      <c r="GH382" s="455"/>
      <c r="GI382" s="455"/>
      <c r="GJ382" s="455"/>
      <c r="GK382" s="455"/>
      <c r="GL382" s="455"/>
      <c r="GM382" s="455"/>
      <c r="GN382" s="455"/>
      <c r="GO382" s="455"/>
      <c r="GP382" s="455"/>
      <c r="GQ382" s="455"/>
      <c r="GR382" s="455"/>
      <c r="GS382" s="455"/>
      <c r="GT382" s="455"/>
      <c r="GU382" s="455"/>
      <c r="GV382" s="455"/>
      <c r="GW382" s="455"/>
      <c r="GX382" s="455"/>
      <c r="GY382" s="455"/>
      <c r="GZ382" s="455"/>
      <c r="HA382" s="455"/>
      <c r="HB382" s="455"/>
      <c r="HC382" s="455"/>
      <c r="HD382" s="455"/>
      <c r="HE382" s="455"/>
      <c r="HF382" s="455"/>
      <c r="HG382" s="455"/>
      <c r="HH382" s="455"/>
      <c r="HI382" s="455"/>
      <c r="HJ382" s="455"/>
      <c r="HK382" s="455"/>
      <c r="HL382" s="455"/>
      <c r="HM382" s="455"/>
      <c r="HN382" s="455"/>
      <c r="HO382" s="455"/>
      <c r="HP382" s="455"/>
      <c r="HQ382" s="455"/>
      <c r="HR382" s="455"/>
      <c r="HS382" s="455"/>
      <c r="HT382" s="455"/>
      <c r="HU382" s="455"/>
      <c r="HV382" s="455"/>
      <c r="HW382" s="455"/>
      <c r="HX382" s="455"/>
      <c r="HY382" s="455"/>
      <c r="HZ382" s="455"/>
      <c r="IA382" s="455"/>
      <c r="IB382" s="455"/>
      <c r="IC382" s="455"/>
      <c r="ID382" s="455"/>
      <c r="IE382" s="455"/>
      <c r="IF382" s="455"/>
      <c r="IG382" s="455"/>
      <c r="IH382" s="455"/>
      <c r="II382" s="455"/>
      <c r="IJ382" s="455"/>
      <c r="IK382" s="455"/>
      <c r="IL382" s="455"/>
      <c r="IM382" s="455"/>
      <c r="IN382" s="455"/>
      <c r="IO382" s="455"/>
      <c r="IP382" s="455"/>
      <c r="IQ382" s="455"/>
      <c r="IR382" s="455"/>
      <c r="IS382" s="455"/>
    </row>
    <row r="383" spans="1:253" s="468" customFormat="1" ht="33.75" x14ac:dyDescent="0.2">
      <c r="A383" s="444">
        <v>7443</v>
      </c>
      <c r="B383" s="445" t="s">
        <v>51</v>
      </c>
      <c r="C383" s="445" t="s">
        <v>52</v>
      </c>
      <c r="D383" s="445" t="s">
        <v>366</v>
      </c>
      <c r="E383" s="445"/>
      <c r="F383" s="479"/>
      <c r="G383" s="446">
        <v>84</v>
      </c>
      <c r="H383" s="445">
        <v>600</v>
      </c>
      <c r="I383" s="445"/>
      <c r="J383" s="445">
        <v>3</v>
      </c>
      <c r="K383" s="447">
        <v>19</v>
      </c>
      <c r="L383" s="445" t="s">
        <v>492</v>
      </c>
      <c r="M383" s="445">
        <v>5</v>
      </c>
      <c r="N383" s="445" t="s">
        <v>56</v>
      </c>
      <c r="O383" s="464" t="s">
        <v>1418</v>
      </c>
      <c r="P383" s="450">
        <v>0.99399999999999999</v>
      </c>
      <c r="Q383" s="451">
        <f t="shared" si="9"/>
        <v>0.99399999999999999</v>
      </c>
      <c r="R383" s="451">
        <f>SUMIF('Wege im Detail'!$A:$A,"7443",'Wege im Detail'!$P:$P)</f>
        <v>120.56900000000002</v>
      </c>
      <c r="S383" s="452" t="s">
        <v>2270</v>
      </c>
      <c r="T383" s="453">
        <v>43952</v>
      </c>
      <c r="U383" s="448"/>
      <c r="V383" s="457"/>
      <c r="W383" s="448"/>
      <c r="X383" s="455"/>
      <c r="Y383" s="455"/>
      <c r="Z383" s="455"/>
      <c r="AA383" s="455"/>
      <c r="AB383" s="455"/>
      <c r="AC383" s="455"/>
      <c r="AD383" s="455"/>
      <c r="AE383" s="455"/>
      <c r="AF383" s="455"/>
      <c r="AG383" s="455"/>
      <c r="AH383" s="455"/>
      <c r="AI383" s="455"/>
      <c r="AJ383" s="455"/>
      <c r="AK383" s="455"/>
      <c r="AL383" s="455"/>
      <c r="AM383" s="455"/>
      <c r="AN383" s="455"/>
      <c r="AO383" s="455"/>
      <c r="AP383" s="455"/>
      <c r="AQ383" s="455"/>
      <c r="AR383" s="455"/>
      <c r="AS383" s="455"/>
      <c r="AT383" s="455"/>
      <c r="AU383" s="455"/>
      <c r="AV383" s="455"/>
      <c r="AW383" s="455"/>
      <c r="AX383" s="455"/>
      <c r="AY383" s="455"/>
      <c r="AZ383" s="455"/>
      <c r="BA383" s="455"/>
      <c r="BB383" s="455"/>
      <c r="BC383" s="455"/>
      <c r="BD383" s="455"/>
      <c r="BE383" s="455"/>
      <c r="BF383" s="455"/>
      <c r="BG383" s="455"/>
      <c r="BH383" s="455"/>
      <c r="BI383" s="455"/>
      <c r="BJ383" s="455"/>
      <c r="BK383" s="455"/>
      <c r="BL383" s="455"/>
      <c r="BM383" s="455"/>
      <c r="BN383" s="455"/>
      <c r="BO383" s="455"/>
      <c r="BP383" s="455"/>
      <c r="BQ383" s="455"/>
      <c r="BR383" s="455"/>
      <c r="BS383" s="455"/>
      <c r="BT383" s="455"/>
      <c r="BU383" s="455"/>
      <c r="BV383" s="455"/>
      <c r="BW383" s="455"/>
      <c r="BX383" s="455"/>
      <c r="BY383" s="455"/>
      <c r="BZ383" s="455"/>
      <c r="CA383" s="455"/>
      <c r="CB383" s="455"/>
      <c r="CC383" s="455"/>
      <c r="CD383" s="455"/>
      <c r="CE383" s="455"/>
      <c r="CF383" s="455"/>
      <c r="CG383" s="455"/>
      <c r="CH383" s="455"/>
      <c r="CI383" s="455"/>
      <c r="CJ383" s="455"/>
      <c r="CK383" s="455"/>
      <c r="CL383" s="455"/>
      <c r="CM383" s="455"/>
      <c r="CN383" s="455"/>
      <c r="CO383" s="455"/>
      <c r="CP383" s="455"/>
      <c r="CQ383" s="455"/>
      <c r="CR383" s="455"/>
      <c r="CS383" s="455"/>
      <c r="CT383" s="455"/>
      <c r="CU383" s="455"/>
      <c r="CV383" s="455"/>
      <c r="CW383" s="455"/>
      <c r="CX383" s="455"/>
      <c r="CY383" s="455"/>
      <c r="CZ383" s="455"/>
      <c r="DA383" s="455"/>
      <c r="DB383" s="455"/>
      <c r="DC383" s="455"/>
      <c r="DD383" s="455"/>
      <c r="DE383" s="455"/>
      <c r="DF383" s="455"/>
      <c r="DG383" s="455"/>
      <c r="DH383" s="455"/>
      <c r="DI383" s="455"/>
      <c r="DJ383" s="455"/>
      <c r="DK383" s="455"/>
      <c r="DL383" s="455"/>
      <c r="DM383" s="455"/>
      <c r="DN383" s="455"/>
      <c r="DO383" s="455"/>
      <c r="DP383" s="455"/>
      <c r="DQ383" s="455"/>
      <c r="DR383" s="455"/>
      <c r="DS383" s="455"/>
      <c r="DT383" s="455"/>
      <c r="DU383" s="455"/>
      <c r="DV383" s="455"/>
      <c r="DW383" s="455"/>
      <c r="DX383" s="455"/>
      <c r="DY383" s="455"/>
      <c r="DZ383" s="455"/>
      <c r="EA383" s="455"/>
      <c r="EB383" s="455"/>
      <c r="EC383" s="455"/>
      <c r="ED383" s="455"/>
      <c r="EE383" s="455"/>
      <c r="EF383" s="455"/>
      <c r="EG383" s="455"/>
      <c r="EH383" s="455"/>
      <c r="EI383" s="455"/>
      <c r="EJ383" s="455"/>
      <c r="EK383" s="455"/>
      <c r="EL383" s="455"/>
      <c r="EM383" s="455"/>
      <c r="EN383" s="455"/>
      <c r="EO383" s="455"/>
      <c r="EP383" s="455"/>
      <c r="EQ383" s="455"/>
      <c r="ER383" s="455"/>
      <c r="ES383" s="455"/>
      <c r="ET383" s="455"/>
      <c r="EU383" s="455"/>
      <c r="EV383" s="455"/>
      <c r="EW383" s="455"/>
      <c r="EX383" s="455"/>
      <c r="EY383" s="455"/>
      <c r="EZ383" s="455"/>
      <c r="FA383" s="455"/>
      <c r="FB383" s="455"/>
      <c r="FC383" s="455"/>
      <c r="FD383" s="455"/>
      <c r="FE383" s="455"/>
      <c r="FF383" s="455"/>
      <c r="FG383" s="455"/>
      <c r="FH383" s="455"/>
      <c r="FI383" s="455"/>
      <c r="FJ383" s="455"/>
      <c r="FK383" s="455"/>
      <c r="FL383" s="455"/>
      <c r="FM383" s="455"/>
      <c r="FN383" s="455"/>
      <c r="FO383" s="455"/>
      <c r="FP383" s="455"/>
      <c r="FQ383" s="455"/>
      <c r="FR383" s="455"/>
      <c r="FS383" s="455"/>
      <c r="FT383" s="455"/>
      <c r="FU383" s="455"/>
      <c r="FV383" s="455"/>
      <c r="FW383" s="455"/>
      <c r="FX383" s="455"/>
      <c r="FY383" s="455"/>
      <c r="FZ383" s="455"/>
      <c r="GA383" s="455"/>
      <c r="GB383" s="455"/>
      <c r="GC383" s="455"/>
      <c r="GD383" s="455"/>
      <c r="GE383" s="455"/>
      <c r="GF383" s="455"/>
      <c r="GG383" s="455"/>
      <c r="GH383" s="455"/>
      <c r="GI383" s="455"/>
      <c r="GJ383" s="455"/>
      <c r="GK383" s="455"/>
      <c r="GL383" s="455"/>
      <c r="GM383" s="455"/>
      <c r="GN383" s="455"/>
      <c r="GO383" s="455"/>
      <c r="GP383" s="455"/>
      <c r="GQ383" s="455"/>
      <c r="GR383" s="455"/>
      <c r="GS383" s="455"/>
      <c r="GT383" s="455"/>
      <c r="GU383" s="455"/>
      <c r="GV383" s="455"/>
      <c r="GW383" s="455"/>
      <c r="GX383" s="455"/>
      <c r="GY383" s="455"/>
      <c r="GZ383" s="455"/>
      <c r="HA383" s="455"/>
      <c r="HB383" s="455"/>
      <c r="HC383" s="455"/>
      <c r="HD383" s="455"/>
      <c r="HE383" s="455"/>
      <c r="HF383" s="455"/>
      <c r="HG383" s="455"/>
      <c r="HH383" s="455"/>
      <c r="HI383" s="455"/>
      <c r="HJ383" s="455"/>
      <c r="HK383" s="455"/>
      <c r="HL383" s="455"/>
      <c r="HM383" s="455"/>
      <c r="HN383" s="455"/>
      <c r="HO383" s="455"/>
      <c r="HP383" s="455"/>
      <c r="HQ383" s="455"/>
      <c r="HR383" s="455"/>
      <c r="HS383" s="455"/>
      <c r="HT383" s="455"/>
      <c r="HU383" s="455"/>
      <c r="HV383" s="455"/>
      <c r="HW383" s="455"/>
      <c r="HX383" s="455"/>
      <c r="HY383" s="455"/>
      <c r="HZ383" s="455"/>
      <c r="IA383" s="455"/>
      <c r="IB383" s="455"/>
      <c r="IC383" s="455"/>
      <c r="ID383" s="455"/>
      <c r="IE383" s="455"/>
      <c r="IF383" s="455"/>
      <c r="IG383" s="455"/>
      <c r="IH383" s="455"/>
      <c r="II383" s="455"/>
      <c r="IJ383" s="455"/>
      <c r="IK383" s="455"/>
      <c r="IL383" s="455"/>
      <c r="IM383" s="455"/>
      <c r="IN383" s="455"/>
      <c r="IO383" s="455"/>
      <c r="IP383" s="455"/>
      <c r="IQ383" s="455"/>
      <c r="IR383" s="455"/>
      <c r="IS383" s="455"/>
    </row>
    <row r="384" spans="1:253" s="458" customFormat="1" ht="33.75" x14ac:dyDescent="0.2">
      <c r="A384" s="444">
        <v>7443</v>
      </c>
      <c r="B384" s="445" t="s">
        <v>51</v>
      </c>
      <c r="C384" s="445" t="s">
        <v>52</v>
      </c>
      <c r="D384" s="445" t="s">
        <v>366</v>
      </c>
      <c r="E384" s="445"/>
      <c r="F384" s="479"/>
      <c r="G384" s="446">
        <v>84</v>
      </c>
      <c r="H384" s="445">
        <v>600</v>
      </c>
      <c r="I384" s="445"/>
      <c r="J384" s="445">
        <v>4</v>
      </c>
      <c r="K384" s="447">
        <v>19</v>
      </c>
      <c r="L384" s="445" t="s">
        <v>492</v>
      </c>
      <c r="M384" s="445">
        <v>5</v>
      </c>
      <c r="N384" s="445" t="s">
        <v>111</v>
      </c>
      <c r="O384" s="464" t="s">
        <v>1419</v>
      </c>
      <c r="P384" s="450">
        <v>7.3949999999999996</v>
      </c>
      <c r="Q384" s="451">
        <f t="shared" si="9"/>
        <v>7.3949999999999996</v>
      </c>
      <c r="R384" s="451">
        <f>SUMIF('Wege im Detail'!$A:$A,"7443",'Wege im Detail'!$P:$P)</f>
        <v>120.56900000000002</v>
      </c>
      <c r="S384" s="452" t="s">
        <v>2270</v>
      </c>
      <c r="T384" s="453">
        <v>43952</v>
      </c>
      <c r="U384" s="448"/>
      <c r="V384" s="457"/>
      <c r="W384" s="448"/>
    </row>
    <row r="385" spans="1:253" s="458" customFormat="1" ht="33.75" x14ac:dyDescent="0.2">
      <c r="A385" s="444">
        <v>7443</v>
      </c>
      <c r="B385" s="445" t="s">
        <v>51</v>
      </c>
      <c r="C385" s="445" t="s">
        <v>52</v>
      </c>
      <c r="D385" s="445" t="s">
        <v>366</v>
      </c>
      <c r="E385" s="445"/>
      <c r="F385" s="479"/>
      <c r="G385" s="446">
        <v>84</v>
      </c>
      <c r="H385" s="445">
        <v>600</v>
      </c>
      <c r="I385" s="445"/>
      <c r="J385" s="445">
        <v>5</v>
      </c>
      <c r="K385" s="447">
        <v>19</v>
      </c>
      <c r="L385" s="445" t="s">
        <v>492</v>
      </c>
      <c r="M385" s="445">
        <v>5</v>
      </c>
      <c r="N385" s="445" t="s">
        <v>1014</v>
      </c>
      <c r="O385" s="464" t="s">
        <v>1420</v>
      </c>
      <c r="P385" s="450">
        <v>4.4859999999999998</v>
      </c>
      <c r="Q385" s="451">
        <f t="shared" si="9"/>
        <v>4.4859999999999998</v>
      </c>
      <c r="R385" s="451">
        <f>SUMIF('Wege im Detail'!$A:$A,"7443",'Wege im Detail'!$P:$P)</f>
        <v>120.56900000000002</v>
      </c>
      <c r="S385" s="452" t="s">
        <v>2270</v>
      </c>
      <c r="T385" s="453">
        <v>43952</v>
      </c>
      <c r="U385" s="448"/>
      <c r="V385" s="457"/>
      <c r="W385" s="448"/>
    </row>
    <row r="386" spans="1:253" s="458" customFormat="1" ht="45" customHeight="1" x14ac:dyDescent="0.2">
      <c r="A386" s="444">
        <v>7443</v>
      </c>
      <c r="B386" s="445" t="s">
        <v>51</v>
      </c>
      <c r="C386" s="445" t="s">
        <v>52</v>
      </c>
      <c r="D386" s="445" t="s">
        <v>366</v>
      </c>
      <c r="E386" s="445"/>
      <c r="F386" s="479"/>
      <c r="G386" s="446">
        <v>84</v>
      </c>
      <c r="H386" s="445">
        <v>600</v>
      </c>
      <c r="I386" s="445"/>
      <c r="J386" s="445">
        <v>6</v>
      </c>
      <c r="K386" s="447">
        <v>19</v>
      </c>
      <c r="L386" s="445" t="s">
        <v>492</v>
      </c>
      <c r="M386" s="445">
        <v>5</v>
      </c>
      <c r="N386" s="445" t="s">
        <v>128</v>
      </c>
      <c r="O386" s="464" t="s">
        <v>1421</v>
      </c>
      <c r="P386" s="450">
        <v>6.1529999999999996</v>
      </c>
      <c r="Q386" s="451">
        <f t="shared" si="9"/>
        <v>6.1529999999999996</v>
      </c>
      <c r="R386" s="451">
        <f>SUMIF('Wege im Detail'!$A:$A,"7443",'Wege im Detail'!$P:$P)</f>
        <v>120.56900000000002</v>
      </c>
      <c r="S386" s="452" t="s">
        <v>2270</v>
      </c>
      <c r="T386" s="453">
        <v>43952</v>
      </c>
      <c r="U386" s="448"/>
      <c r="V386" s="457"/>
      <c r="W386" s="448"/>
    </row>
    <row r="387" spans="1:253" s="458" customFormat="1" ht="33.75" x14ac:dyDescent="0.2">
      <c r="A387" s="444">
        <v>7443</v>
      </c>
      <c r="B387" s="445" t="s">
        <v>51</v>
      </c>
      <c r="C387" s="445" t="s">
        <v>52</v>
      </c>
      <c r="D387" s="445" t="s">
        <v>366</v>
      </c>
      <c r="E387" s="445"/>
      <c r="F387" s="479"/>
      <c r="G387" s="446">
        <v>84</v>
      </c>
      <c r="H387" s="445">
        <v>600</v>
      </c>
      <c r="I387" s="445"/>
      <c r="J387" s="445">
        <v>7</v>
      </c>
      <c r="K387" s="447">
        <v>19</v>
      </c>
      <c r="L387" s="445" t="s">
        <v>492</v>
      </c>
      <c r="M387" s="445">
        <v>5</v>
      </c>
      <c r="N387" s="445" t="s">
        <v>181</v>
      </c>
      <c r="O387" s="464" t="s">
        <v>1422</v>
      </c>
      <c r="P387" s="450">
        <v>8.19</v>
      </c>
      <c r="Q387" s="451">
        <f t="shared" si="9"/>
        <v>8.19</v>
      </c>
      <c r="R387" s="451">
        <f>SUMIF('Wege im Detail'!$A:$A,"7443",'Wege im Detail'!$P:$P)</f>
        <v>120.56900000000002</v>
      </c>
      <c r="S387" s="452" t="s">
        <v>2270</v>
      </c>
      <c r="T387" s="453">
        <v>43952</v>
      </c>
      <c r="U387" s="448"/>
      <c r="V387" s="457"/>
      <c r="W387" s="448"/>
      <c r="X387" s="455"/>
      <c r="Y387" s="455"/>
      <c r="Z387" s="455"/>
      <c r="AA387" s="455"/>
      <c r="AB387" s="455"/>
      <c r="AC387" s="455"/>
      <c r="AD387" s="455"/>
      <c r="AE387" s="455"/>
      <c r="AF387" s="455"/>
      <c r="AG387" s="455"/>
      <c r="AH387" s="455"/>
      <c r="AI387" s="455"/>
      <c r="AJ387" s="455"/>
      <c r="AK387" s="455"/>
      <c r="AL387" s="455"/>
      <c r="AM387" s="455"/>
      <c r="AN387" s="455"/>
      <c r="AO387" s="455"/>
      <c r="AP387" s="455"/>
      <c r="AQ387" s="455"/>
      <c r="AR387" s="455"/>
      <c r="AS387" s="455"/>
      <c r="AT387" s="455"/>
      <c r="AU387" s="455"/>
      <c r="AV387" s="455"/>
      <c r="AW387" s="455"/>
      <c r="AX387" s="455"/>
      <c r="AY387" s="455"/>
      <c r="AZ387" s="455"/>
      <c r="BA387" s="455"/>
      <c r="BB387" s="455"/>
      <c r="BC387" s="455"/>
      <c r="BD387" s="455"/>
      <c r="BE387" s="455"/>
      <c r="BF387" s="455"/>
      <c r="BG387" s="455"/>
      <c r="BH387" s="455"/>
      <c r="BI387" s="455"/>
      <c r="BJ387" s="455"/>
      <c r="BK387" s="455"/>
      <c r="BL387" s="455"/>
      <c r="BM387" s="455"/>
      <c r="BN387" s="455"/>
      <c r="BO387" s="455"/>
      <c r="BP387" s="455"/>
      <c r="BQ387" s="455"/>
      <c r="BR387" s="455"/>
      <c r="BS387" s="455"/>
      <c r="BT387" s="455"/>
      <c r="BU387" s="455"/>
      <c r="BV387" s="455"/>
      <c r="BW387" s="455"/>
      <c r="BX387" s="455"/>
      <c r="BY387" s="455"/>
      <c r="BZ387" s="455"/>
      <c r="CA387" s="455"/>
      <c r="CB387" s="455"/>
      <c r="CC387" s="455"/>
      <c r="CD387" s="455"/>
      <c r="CE387" s="455"/>
      <c r="CF387" s="455"/>
      <c r="CG387" s="455"/>
      <c r="CH387" s="455"/>
      <c r="CI387" s="455"/>
      <c r="CJ387" s="455"/>
      <c r="CK387" s="455"/>
      <c r="CL387" s="455"/>
      <c r="CM387" s="455"/>
      <c r="CN387" s="455"/>
      <c r="CO387" s="455"/>
      <c r="CP387" s="455"/>
      <c r="CQ387" s="455"/>
      <c r="CR387" s="455"/>
      <c r="CS387" s="455"/>
      <c r="CT387" s="455"/>
      <c r="CU387" s="455"/>
      <c r="CV387" s="455"/>
      <c r="CW387" s="455"/>
      <c r="CX387" s="455"/>
      <c r="CY387" s="455"/>
      <c r="CZ387" s="455"/>
      <c r="DA387" s="455"/>
      <c r="DB387" s="455"/>
      <c r="DC387" s="455"/>
      <c r="DD387" s="455"/>
      <c r="DE387" s="455"/>
      <c r="DF387" s="455"/>
      <c r="DG387" s="455"/>
      <c r="DH387" s="455"/>
      <c r="DI387" s="455"/>
      <c r="DJ387" s="455"/>
      <c r="DK387" s="455"/>
      <c r="DL387" s="455"/>
      <c r="DM387" s="455"/>
      <c r="DN387" s="455"/>
      <c r="DO387" s="455"/>
      <c r="DP387" s="455"/>
      <c r="DQ387" s="455"/>
      <c r="DR387" s="455"/>
      <c r="DS387" s="455"/>
      <c r="DT387" s="455"/>
      <c r="DU387" s="455"/>
      <c r="DV387" s="455"/>
      <c r="DW387" s="455"/>
      <c r="DX387" s="455"/>
      <c r="DY387" s="455"/>
      <c r="DZ387" s="455"/>
      <c r="EA387" s="455"/>
      <c r="EB387" s="455"/>
      <c r="EC387" s="455"/>
      <c r="ED387" s="455"/>
      <c r="EE387" s="455"/>
      <c r="EF387" s="455"/>
      <c r="EG387" s="455"/>
      <c r="EH387" s="455"/>
      <c r="EI387" s="455"/>
      <c r="EJ387" s="455"/>
      <c r="EK387" s="455"/>
      <c r="EL387" s="455"/>
      <c r="EM387" s="455"/>
      <c r="EN387" s="455"/>
      <c r="EO387" s="455"/>
      <c r="EP387" s="455"/>
      <c r="EQ387" s="455"/>
      <c r="ER387" s="455"/>
      <c r="ES387" s="455"/>
      <c r="ET387" s="455"/>
      <c r="EU387" s="455"/>
      <c r="EV387" s="455"/>
      <c r="EW387" s="455"/>
      <c r="EX387" s="455"/>
      <c r="EY387" s="455"/>
      <c r="EZ387" s="455"/>
      <c r="FA387" s="455"/>
      <c r="FB387" s="455"/>
      <c r="FC387" s="455"/>
      <c r="FD387" s="455"/>
      <c r="FE387" s="455"/>
      <c r="FF387" s="455"/>
      <c r="FG387" s="455"/>
      <c r="FH387" s="455"/>
      <c r="FI387" s="455"/>
      <c r="FJ387" s="455"/>
      <c r="FK387" s="455"/>
      <c r="FL387" s="455"/>
      <c r="FM387" s="455"/>
      <c r="FN387" s="455"/>
      <c r="FO387" s="455"/>
      <c r="FP387" s="455"/>
      <c r="FQ387" s="455"/>
      <c r="FR387" s="455"/>
      <c r="FS387" s="455"/>
      <c r="FT387" s="455"/>
      <c r="FU387" s="455"/>
      <c r="FV387" s="455"/>
      <c r="FW387" s="455"/>
      <c r="FX387" s="455"/>
      <c r="FY387" s="455"/>
      <c r="FZ387" s="455"/>
      <c r="GA387" s="455"/>
      <c r="GB387" s="455"/>
      <c r="GC387" s="455"/>
      <c r="GD387" s="455"/>
      <c r="GE387" s="455"/>
      <c r="GF387" s="455"/>
      <c r="GG387" s="455"/>
      <c r="GH387" s="455"/>
      <c r="GI387" s="455"/>
      <c r="GJ387" s="455"/>
      <c r="GK387" s="455"/>
      <c r="GL387" s="455"/>
      <c r="GM387" s="455"/>
      <c r="GN387" s="455"/>
      <c r="GO387" s="455"/>
      <c r="GP387" s="455"/>
      <c r="GQ387" s="455"/>
      <c r="GR387" s="455"/>
      <c r="GS387" s="455"/>
      <c r="GT387" s="455"/>
      <c r="GU387" s="455"/>
      <c r="GV387" s="455"/>
      <c r="GW387" s="455"/>
      <c r="GX387" s="455"/>
      <c r="GY387" s="455"/>
      <c r="GZ387" s="455"/>
      <c r="HA387" s="455"/>
      <c r="HB387" s="455"/>
      <c r="HC387" s="455"/>
      <c r="HD387" s="455"/>
      <c r="HE387" s="455"/>
      <c r="HF387" s="455"/>
      <c r="HG387" s="455"/>
      <c r="HH387" s="455"/>
      <c r="HI387" s="455"/>
      <c r="HJ387" s="455"/>
      <c r="HK387" s="455"/>
      <c r="HL387" s="455"/>
      <c r="HM387" s="455"/>
      <c r="HN387" s="455"/>
      <c r="HO387" s="455"/>
      <c r="HP387" s="455"/>
      <c r="HQ387" s="455"/>
      <c r="HR387" s="455"/>
      <c r="HS387" s="455"/>
      <c r="HT387" s="455"/>
      <c r="HU387" s="455"/>
      <c r="HV387" s="455"/>
      <c r="HW387" s="455"/>
      <c r="HX387" s="455"/>
      <c r="HY387" s="455"/>
      <c r="HZ387" s="455"/>
      <c r="IA387" s="455"/>
      <c r="IB387" s="455"/>
      <c r="IC387" s="455"/>
      <c r="ID387" s="455"/>
      <c r="IE387" s="455"/>
      <c r="IF387" s="455"/>
      <c r="IG387" s="455"/>
      <c r="IH387" s="455"/>
      <c r="II387" s="455"/>
      <c r="IJ387" s="455"/>
      <c r="IK387" s="455"/>
      <c r="IL387" s="455"/>
      <c r="IM387" s="455"/>
      <c r="IN387" s="455"/>
      <c r="IO387" s="455"/>
      <c r="IP387" s="455"/>
      <c r="IQ387" s="455"/>
      <c r="IR387" s="455"/>
      <c r="IS387" s="455"/>
    </row>
    <row r="388" spans="1:253" s="458" customFormat="1" ht="45" x14ac:dyDescent="0.2">
      <c r="A388" s="444">
        <v>7443</v>
      </c>
      <c r="B388" s="445" t="s">
        <v>51</v>
      </c>
      <c r="C388" s="445" t="s">
        <v>52</v>
      </c>
      <c r="D388" s="445" t="s">
        <v>366</v>
      </c>
      <c r="E388" s="445"/>
      <c r="F388" s="479"/>
      <c r="G388" s="446">
        <v>84</v>
      </c>
      <c r="H388" s="445">
        <v>600</v>
      </c>
      <c r="I388" s="445"/>
      <c r="J388" s="445">
        <v>8</v>
      </c>
      <c r="K388" s="447">
        <v>19</v>
      </c>
      <c r="L388" s="445" t="s">
        <v>492</v>
      </c>
      <c r="M388" s="445">
        <v>5</v>
      </c>
      <c r="N388" s="445" t="s">
        <v>72</v>
      </c>
      <c r="O388" s="464" t="s">
        <v>1423</v>
      </c>
      <c r="P388" s="450">
        <v>2.371</v>
      </c>
      <c r="Q388" s="451">
        <f t="shared" si="9"/>
        <v>2.371</v>
      </c>
      <c r="R388" s="451">
        <f>SUMIF('Wege im Detail'!$A:$A,"7443",'Wege im Detail'!$P:$P)</f>
        <v>120.56900000000002</v>
      </c>
      <c r="S388" s="452" t="s">
        <v>2270</v>
      </c>
      <c r="T388" s="453">
        <v>43952</v>
      </c>
      <c r="U388" s="448"/>
      <c r="V388" s="457"/>
      <c r="W388" s="448"/>
    </row>
    <row r="389" spans="1:253" s="458" customFormat="1" ht="33.75" x14ac:dyDescent="0.2">
      <c r="A389" s="444">
        <v>7443</v>
      </c>
      <c r="B389" s="445" t="s">
        <v>51</v>
      </c>
      <c r="C389" s="445" t="s">
        <v>52</v>
      </c>
      <c r="D389" s="445" t="s">
        <v>366</v>
      </c>
      <c r="E389" s="445"/>
      <c r="F389" s="479"/>
      <c r="G389" s="446">
        <v>84</v>
      </c>
      <c r="H389" s="445">
        <v>600</v>
      </c>
      <c r="I389" s="445"/>
      <c r="J389" s="445">
        <v>9</v>
      </c>
      <c r="K389" s="447">
        <v>19</v>
      </c>
      <c r="L389" s="445" t="s">
        <v>492</v>
      </c>
      <c r="M389" s="445">
        <v>5</v>
      </c>
      <c r="N389" s="445" t="s">
        <v>181</v>
      </c>
      <c r="O389" s="464" t="s">
        <v>1424</v>
      </c>
      <c r="P389" s="450">
        <v>3.0310000000000001</v>
      </c>
      <c r="Q389" s="451">
        <f t="shared" si="9"/>
        <v>3.0310000000000001</v>
      </c>
      <c r="R389" s="451">
        <f>SUMIF('Wege im Detail'!$A:$A,"7443",'Wege im Detail'!$P:$P)</f>
        <v>120.56900000000002</v>
      </c>
      <c r="S389" s="452" t="s">
        <v>2270</v>
      </c>
      <c r="T389" s="453">
        <v>43952</v>
      </c>
      <c r="U389" s="448"/>
      <c r="V389" s="457"/>
      <c r="W389" s="448"/>
    </row>
    <row r="390" spans="1:253" s="458" customFormat="1" ht="45" x14ac:dyDescent="0.2">
      <c r="A390" s="444">
        <v>7443</v>
      </c>
      <c r="B390" s="445" t="s">
        <v>51</v>
      </c>
      <c r="C390" s="445" t="s">
        <v>52</v>
      </c>
      <c r="D390" s="445" t="s">
        <v>366</v>
      </c>
      <c r="E390" s="445"/>
      <c r="F390" s="479"/>
      <c r="G390" s="446">
        <v>84</v>
      </c>
      <c r="H390" s="445">
        <v>600</v>
      </c>
      <c r="I390" s="445"/>
      <c r="J390" s="445">
        <v>10</v>
      </c>
      <c r="K390" s="447">
        <v>19</v>
      </c>
      <c r="L390" s="445" t="s">
        <v>492</v>
      </c>
      <c r="M390" s="445">
        <v>2</v>
      </c>
      <c r="N390" s="445" t="s">
        <v>834</v>
      </c>
      <c r="O390" s="464" t="s">
        <v>1425</v>
      </c>
      <c r="P390" s="450">
        <v>9.1240000000000006</v>
      </c>
      <c r="Q390" s="451">
        <f t="shared" si="9"/>
        <v>9.1240000000000006</v>
      </c>
      <c r="R390" s="451">
        <f>SUMIF('Wege im Detail'!$A:$A,"7443",'Wege im Detail'!$P:$P)</f>
        <v>120.56900000000002</v>
      </c>
      <c r="S390" s="452" t="s">
        <v>2270</v>
      </c>
      <c r="T390" s="453">
        <v>43952</v>
      </c>
      <c r="U390" s="448"/>
      <c r="V390" s="457"/>
      <c r="W390" s="448"/>
    </row>
    <row r="391" spans="1:253" s="458" customFormat="1" ht="45" x14ac:dyDescent="0.2">
      <c r="A391" s="444">
        <v>7443</v>
      </c>
      <c r="B391" s="445" t="s">
        <v>51</v>
      </c>
      <c r="C391" s="445" t="s">
        <v>52</v>
      </c>
      <c r="D391" s="445" t="s">
        <v>366</v>
      </c>
      <c r="E391" s="445"/>
      <c r="F391" s="479"/>
      <c r="G391" s="446">
        <v>84</v>
      </c>
      <c r="H391" s="445">
        <v>600</v>
      </c>
      <c r="I391" s="445"/>
      <c r="J391" s="445">
        <v>11</v>
      </c>
      <c r="K391" s="447">
        <v>19</v>
      </c>
      <c r="L391" s="445" t="s">
        <v>492</v>
      </c>
      <c r="M391" s="445">
        <v>3</v>
      </c>
      <c r="N391" s="445" t="s">
        <v>187</v>
      </c>
      <c r="O391" s="464" t="s">
        <v>1426</v>
      </c>
      <c r="P391" s="450">
        <v>11.417999999999999</v>
      </c>
      <c r="Q391" s="451">
        <f t="shared" si="9"/>
        <v>11.417999999999999</v>
      </c>
      <c r="R391" s="451">
        <f>SUMIF('Wege im Detail'!$A:$A,"7443",'Wege im Detail'!$P:$P)</f>
        <v>120.56900000000002</v>
      </c>
      <c r="S391" s="452" t="s">
        <v>2270</v>
      </c>
      <c r="T391" s="453">
        <v>43952</v>
      </c>
      <c r="U391" s="448"/>
      <c r="V391" s="457"/>
      <c r="W391" s="448"/>
    </row>
    <row r="392" spans="1:253" s="458" customFormat="1" ht="45" x14ac:dyDescent="0.2">
      <c r="A392" s="444">
        <v>7443</v>
      </c>
      <c r="B392" s="445" t="s">
        <v>51</v>
      </c>
      <c r="C392" s="445" t="s">
        <v>52</v>
      </c>
      <c r="D392" s="445" t="s">
        <v>366</v>
      </c>
      <c r="E392" s="445"/>
      <c r="F392" s="479"/>
      <c r="G392" s="446">
        <v>84</v>
      </c>
      <c r="H392" s="445">
        <v>600</v>
      </c>
      <c r="I392" s="445"/>
      <c r="J392" s="445">
        <v>12</v>
      </c>
      <c r="K392" s="447">
        <v>19</v>
      </c>
      <c r="L392" s="445" t="s">
        <v>492</v>
      </c>
      <c r="M392" s="445">
        <v>5</v>
      </c>
      <c r="N392" s="445" t="s">
        <v>98</v>
      </c>
      <c r="O392" s="464" t="s">
        <v>1427</v>
      </c>
      <c r="P392" s="450">
        <v>5.6980000000000004</v>
      </c>
      <c r="Q392" s="451">
        <f t="shared" si="9"/>
        <v>5.6980000000000004</v>
      </c>
      <c r="R392" s="451">
        <f>SUMIF('Wege im Detail'!$A:$A,"7443",'Wege im Detail'!$P:$P)</f>
        <v>120.56900000000002</v>
      </c>
      <c r="S392" s="452" t="s">
        <v>2270</v>
      </c>
      <c r="T392" s="453">
        <v>43952</v>
      </c>
      <c r="U392" s="448"/>
      <c r="V392" s="457"/>
      <c r="W392" s="448"/>
    </row>
    <row r="393" spans="1:253" s="458" customFormat="1" ht="33.75" x14ac:dyDescent="0.2">
      <c r="A393" s="444">
        <v>7443</v>
      </c>
      <c r="B393" s="445" t="s">
        <v>51</v>
      </c>
      <c r="C393" s="445" t="s">
        <v>52</v>
      </c>
      <c r="D393" s="445" t="s">
        <v>366</v>
      </c>
      <c r="E393" s="445"/>
      <c r="F393" s="479"/>
      <c r="G393" s="446">
        <v>84</v>
      </c>
      <c r="H393" s="445">
        <v>600</v>
      </c>
      <c r="I393" s="445"/>
      <c r="J393" s="445">
        <v>13</v>
      </c>
      <c r="K393" s="447">
        <v>19</v>
      </c>
      <c r="L393" s="445" t="s">
        <v>492</v>
      </c>
      <c r="M393" s="445">
        <v>3</v>
      </c>
      <c r="N393" s="445" t="s">
        <v>93</v>
      </c>
      <c r="O393" s="464" t="s">
        <v>1428</v>
      </c>
      <c r="P393" s="450">
        <v>9.0399999999999991</v>
      </c>
      <c r="Q393" s="451">
        <f t="shared" si="9"/>
        <v>9.0399999999999991</v>
      </c>
      <c r="R393" s="451">
        <f>SUMIF('Wege im Detail'!$A:$A,"7443",'Wege im Detail'!$P:$P)</f>
        <v>120.56900000000002</v>
      </c>
      <c r="S393" s="452" t="s">
        <v>2270</v>
      </c>
      <c r="T393" s="453">
        <v>43952</v>
      </c>
      <c r="U393" s="448"/>
      <c r="V393" s="457"/>
      <c r="W393" s="448"/>
    </row>
    <row r="394" spans="1:253" s="458" customFormat="1" ht="33.75" x14ac:dyDescent="0.2">
      <c r="A394" s="444">
        <v>7443</v>
      </c>
      <c r="B394" s="445" t="s">
        <v>51</v>
      </c>
      <c r="C394" s="445" t="s">
        <v>52</v>
      </c>
      <c r="D394" s="445" t="s">
        <v>366</v>
      </c>
      <c r="E394" s="445"/>
      <c r="F394" s="479"/>
      <c r="G394" s="446">
        <v>84</v>
      </c>
      <c r="H394" s="445">
        <v>600</v>
      </c>
      <c r="I394" s="445"/>
      <c r="J394" s="445">
        <v>14</v>
      </c>
      <c r="K394" s="447">
        <v>19</v>
      </c>
      <c r="L394" s="445" t="s">
        <v>492</v>
      </c>
      <c r="M394" s="445">
        <v>3</v>
      </c>
      <c r="N394" s="445" t="s">
        <v>303</v>
      </c>
      <c r="O394" s="464" t="s">
        <v>1429</v>
      </c>
      <c r="P394" s="450">
        <v>4.5549999999999997</v>
      </c>
      <c r="Q394" s="451">
        <f t="shared" si="9"/>
        <v>4.5549999999999997</v>
      </c>
      <c r="R394" s="451">
        <f>SUMIF('Wege im Detail'!$A:$A,"7443",'Wege im Detail'!$P:$P)</f>
        <v>120.56900000000002</v>
      </c>
      <c r="S394" s="452" t="s">
        <v>2270</v>
      </c>
      <c r="T394" s="453">
        <v>44570</v>
      </c>
      <c r="U394" s="448"/>
      <c r="V394" s="492" t="s">
        <v>1430</v>
      </c>
      <c r="W394" s="448"/>
    </row>
    <row r="395" spans="1:253" s="458" customFormat="1" ht="33.75" x14ac:dyDescent="0.2">
      <c r="A395" s="444">
        <v>7443</v>
      </c>
      <c r="B395" s="445" t="s">
        <v>51</v>
      </c>
      <c r="C395" s="445" t="s">
        <v>52</v>
      </c>
      <c r="D395" s="445" t="s">
        <v>366</v>
      </c>
      <c r="E395" s="445"/>
      <c r="F395" s="479"/>
      <c r="G395" s="446">
        <v>84</v>
      </c>
      <c r="H395" s="445">
        <v>600</v>
      </c>
      <c r="I395" s="445"/>
      <c r="J395" s="445">
        <v>15</v>
      </c>
      <c r="K395" s="447">
        <v>19</v>
      </c>
      <c r="L395" s="445" t="s">
        <v>492</v>
      </c>
      <c r="M395" s="445">
        <v>3</v>
      </c>
      <c r="N395" s="445" t="s">
        <v>303</v>
      </c>
      <c r="O395" s="464" t="s">
        <v>1431</v>
      </c>
      <c r="P395" s="450">
        <v>4.4710000000000001</v>
      </c>
      <c r="Q395" s="451">
        <f t="shared" si="9"/>
        <v>4.4710000000000001</v>
      </c>
      <c r="R395" s="451">
        <f>SUMIF('Wege im Detail'!$A:$A,"7443",'Wege im Detail'!$P:$P)</f>
        <v>120.56900000000002</v>
      </c>
      <c r="S395" s="452" t="s">
        <v>2270</v>
      </c>
      <c r="T395" s="453">
        <v>43952</v>
      </c>
      <c r="U395" s="448"/>
      <c r="V395" s="457"/>
      <c r="W395" s="448"/>
    </row>
    <row r="396" spans="1:253" s="458" customFormat="1" ht="45" x14ac:dyDescent="0.2">
      <c r="A396" s="444">
        <v>7443</v>
      </c>
      <c r="B396" s="445" t="s">
        <v>51</v>
      </c>
      <c r="C396" s="445" t="s">
        <v>52</v>
      </c>
      <c r="D396" s="445" t="s">
        <v>366</v>
      </c>
      <c r="E396" s="445"/>
      <c r="F396" s="445"/>
      <c r="G396" s="446">
        <v>84</v>
      </c>
      <c r="H396" s="445">
        <v>600</v>
      </c>
      <c r="I396" s="445"/>
      <c r="J396" s="445">
        <v>17</v>
      </c>
      <c r="K396" s="447">
        <v>19</v>
      </c>
      <c r="L396" s="445" t="s">
        <v>492</v>
      </c>
      <c r="M396" s="445">
        <v>3</v>
      </c>
      <c r="N396" s="445" t="s">
        <v>226</v>
      </c>
      <c r="O396" s="449" t="s">
        <v>1432</v>
      </c>
      <c r="P396" s="450">
        <v>5.2889999999999997</v>
      </c>
      <c r="Q396" s="451">
        <f t="shared" si="9"/>
        <v>5.2889999999999997</v>
      </c>
      <c r="R396" s="451">
        <f>SUMIF('Wege im Detail'!$A:$A,"7443",'Wege im Detail'!$P:$P)</f>
        <v>120.56900000000002</v>
      </c>
      <c r="S396" s="452" t="s">
        <v>2270</v>
      </c>
      <c r="T396" s="453">
        <v>43952</v>
      </c>
      <c r="U396" s="534"/>
      <c r="V396" s="457"/>
      <c r="W396" s="534"/>
    </row>
    <row r="397" spans="1:253" s="458" customFormat="1" ht="45" x14ac:dyDescent="0.2">
      <c r="A397" s="444">
        <v>7443</v>
      </c>
      <c r="B397" s="445" t="s">
        <v>51</v>
      </c>
      <c r="C397" s="445" t="s">
        <v>52</v>
      </c>
      <c r="D397" s="445" t="s">
        <v>366</v>
      </c>
      <c r="E397" s="445"/>
      <c r="F397" s="479"/>
      <c r="G397" s="446">
        <v>84</v>
      </c>
      <c r="H397" s="445">
        <v>600</v>
      </c>
      <c r="I397" s="445"/>
      <c r="J397" s="445">
        <v>16</v>
      </c>
      <c r="K397" s="447">
        <v>19</v>
      </c>
      <c r="L397" s="445" t="s">
        <v>492</v>
      </c>
      <c r="M397" s="445">
        <v>3</v>
      </c>
      <c r="N397" s="445" t="s">
        <v>466</v>
      </c>
      <c r="O397" s="464" t="s">
        <v>1433</v>
      </c>
      <c r="P397" s="450">
        <v>2.79</v>
      </c>
      <c r="Q397" s="451">
        <f t="shared" ref="Q397" si="10">P397</f>
        <v>2.79</v>
      </c>
      <c r="R397" s="451">
        <f>SUMIF('Wege im Detail'!$A:$A,"7443",'Wege im Detail'!$P:$P)</f>
        <v>120.56900000000002</v>
      </c>
      <c r="S397" s="452" t="s">
        <v>2270</v>
      </c>
      <c r="T397" s="453">
        <v>45105</v>
      </c>
      <c r="U397" s="448"/>
      <c r="V397" s="538" t="s">
        <v>1434</v>
      </c>
      <c r="W397" s="448"/>
    </row>
    <row r="398" spans="1:253" s="458" customFormat="1" ht="56.25" x14ac:dyDescent="0.2">
      <c r="A398" s="438">
        <v>7589</v>
      </c>
      <c r="B398" s="445" t="s">
        <v>51</v>
      </c>
      <c r="C398" s="445" t="s">
        <v>52</v>
      </c>
      <c r="D398" s="445"/>
      <c r="E398" s="445"/>
      <c r="F398" s="479"/>
      <c r="G398" s="446">
        <v>88</v>
      </c>
      <c r="H398" s="445">
        <v>19</v>
      </c>
      <c r="I398" s="445"/>
      <c r="J398" s="445">
        <v>1</v>
      </c>
      <c r="K398" s="447">
        <v>1</v>
      </c>
      <c r="L398" s="445" t="s">
        <v>494</v>
      </c>
      <c r="M398" s="445">
        <v>4</v>
      </c>
      <c r="N398" s="445" t="s">
        <v>56</v>
      </c>
      <c r="O398" s="461" t="s">
        <v>1435</v>
      </c>
      <c r="P398" s="450">
        <v>6.7990000000000004</v>
      </c>
      <c r="Q398" s="451"/>
      <c r="R398" s="451">
        <f>SUMIF('Wege im Detail'!$A:$A,"7589",'Wege im Detail'!$P:$P)</f>
        <v>6.7990000000000004</v>
      </c>
      <c r="S398" s="452" t="s">
        <v>495</v>
      </c>
      <c r="T398" s="453">
        <v>43952</v>
      </c>
      <c r="U398" s="462" t="s">
        <v>955</v>
      </c>
      <c r="W398" s="462"/>
      <c r="X398" s="455"/>
      <c r="Y398" s="455"/>
      <c r="Z398" s="455"/>
      <c r="AA398" s="455"/>
      <c r="AB398" s="455"/>
      <c r="AC398" s="455"/>
      <c r="AD398" s="455"/>
      <c r="AE398" s="455"/>
      <c r="AF398" s="455"/>
      <c r="AG398" s="455"/>
      <c r="AH398" s="455"/>
      <c r="AI398" s="455"/>
      <c r="AJ398" s="455"/>
      <c r="AK398" s="455"/>
      <c r="AL398" s="455"/>
      <c r="AM398" s="455"/>
      <c r="AN398" s="455"/>
      <c r="AO398" s="455"/>
      <c r="AP398" s="455"/>
      <c r="AQ398" s="455"/>
      <c r="AR398" s="455"/>
      <c r="AS398" s="455"/>
      <c r="AT398" s="455"/>
      <c r="AU398" s="455"/>
      <c r="AV398" s="455"/>
      <c r="AW398" s="455"/>
      <c r="AX398" s="455"/>
      <c r="AY398" s="455"/>
      <c r="AZ398" s="455"/>
      <c r="BA398" s="455"/>
      <c r="BB398" s="455"/>
      <c r="BC398" s="455"/>
      <c r="BD398" s="455"/>
      <c r="BE398" s="455"/>
      <c r="BF398" s="455"/>
      <c r="BG398" s="455"/>
      <c r="BH398" s="455"/>
      <c r="BI398" s="455"/>
      <c r="BJ398" s="455"/>
      <c r="BK398" s="455"/>
      <c r="BL398" s="455"/>
      <c r="BM398" s="455"/>
      <c r="BN398" s="455"/>
      <c r="BO398" s="455"/>
      <c r="BP398" s="455"/>
      <c r="BQ398" s="455"/>
      <c r="BR398" s="455"/>
      <c r="BS398" s="455"/>
      <c r="BT398" s="455"/>
      <c r="BU398" s="455"/>
      <c r="BV398" s="455"/>
      <c r="BW398" s="455"/>
      <c r="BX398" s="455"/>
      <c r="BY398" s="455"/>
      <c r="BZ398" s="455"/>
      <c r="CA398" s="455"/>
      <c r="CB398" s="455"/>
      <c r="CC398" s="455"/>
      <c r="CD398" s="455"/>
      <c r="CE398" s="455"/>
      <c r="CF398" s="455"/>
      <c r="CG398" s="455"/>
      <c r="CH398" s="455"/>
      <c r="CI398" s="455"/>
      <c r="CJ398" s="455"/>
      <c r="CK398" s="455"/>
      <c r="CL398" s="455"/>
      <c r="CM398" s="455"/>
      <c r="CN398" s="455"/>
      <c r="CO398" s="455"/>
      <c r="CP398" s="455"/>
      <c r="CQ398" s="455"/>
      <c r="CR398" s="455"/>
      <c r="CS398" s="455"/>
      <c r="CT398" s="455"/>
      <c r="CU398" s="455"/>
      <c r="CV398" s="455"/>
      <c r="CW398" s="455"/>
      <c r="CX398" s="455"/>
      <c r="CY398" s="455"/>
      <c r="CZ398" s="455"/>
      <c r="DA398" s="455"/>
      <c r="DB398" s="455"/>
      <c r="DC398" s="455"/>
      <c r="DD398" s="455"/>
      <c r="DE398" s="455"/>
      <c r="DF398" s="455"/>
      <c r="DG398" s="455"/>
      <c r="DH398" s="455"/>
      <c r="DI398" s="455"/>
      <c r="DJ398" s="455"/>
      <c r="DK398" s="455"/>
      <c r="DL398" s="455"/>
      <c r="DM398" s="455"/>
      <c r="DN398" s="455"/>
      <c r="DO398" s="455"/>
      <c r="DP398" s="455"/>
      <c r="DQ398" s="455"/>
      <c r="DR398" s="455"/>
      <c r="DS398" s="455"/>
      <c r="DT398" s="455"/>
      <c r="DU398" s="455"/>
      <c r="DV398" s="455"/>
      <c r="DW398" s="455"/>
      <c r="DX398" s="455"/>
      <c r="DY398" s="455"/>
      <c r="DZ398" s="455"/>
      <c r="EA398" s="455"/>
      <c r="EB398" s="455"/>
      <c r="EC398" s="455"/>
      <c r="ED398" s="455"/>
      <c r="EE398" s="455"/>
      <c r="EF398" s="455"/>
      <c r="EG398" s="455"/>
      <c r="EH398" s="455"/>
      <c r="EI398" s="455"/>
      <c r="EJ398" s="455"/>
      <c r="EK398" s="455"/>
      <c r="EL398" s="455"/>
      <c r="EM398" s="455"/>
      <c r="EN398" s="455"/>
      <c r="EO398" s="455"/>
      <c r="EP398" s="455"/>
      <c r="EQ398" s="455"/>
      <c r="ER398" s="455"/>
      <c r="ES398" s="455"/>
      <c r="ET398" s="455"/>
      <c r="EU398" s="455"/>
      <c r="EV398" s="455"/>
      <c r="EW398" s="455"/>
      <c r="EX398" s="455"/>
      <c r="EY398" s="455"/>
      <c r="EZ398" s="455"/>
      <c r="FA398" s="455"/>
      <c r="FB398" s="455"/>
      <c r="FC398" s="455"/>
      <c r="FD398" s="455"/>
      <c r="FE398" s="455"/>
      <c r="FF398" s="455"/>
      <c r="FG398" s="455"/>
      <c r="FH398" s="455"/>
      <c r="FI398" s="455"/>
      <c r="FJ398" s="455"/>
      <c r="FK398" s="455"/>
      <c r="FL398" s="455"/>
      <c r="FM398" s="455"/>
      <c r="FN398" s="455"/>
      <c r="FO398" s="455"/>
      <c r="FP398" s="455"/>
      <c r="FQ398" s="455"/>
      <c r="FR398" s="455"/>
      <c r="FS398" s="455"/>
      <c r="FT398" s="455"/>
      <c r="FU398" s="455"/>
      <c r="FV398" s="455"/>
      <c r="FW398" s="455"/>
      <c r="FX398" s="455"/>
      <c r="FY398" s="455"/>
      <c r="FZ398" s="455"/>
      <c r="GA398" s="455"/>
      <c r="GB398" s="455"/>
      <c r="GC398" s="455"/>
      <c r="GD398" s="455"/>
      <c r="GE398" s="455"/>
      <c r="GF398" s="455"/>
      <c r="GG398" s="455"/>
      <c r="GH398" s="455"/>
      <c r="GI398" s="455"/>
      <c r="GJ398" s="455"/>
      <c r="GK398" s="455"/>
      <c r="GL398" s="455"/>
      <c r="GM398" s="455"/>
      <c r="GN398" s="455"/>
      <c r="GO398" s="455"/>
      <c r="GP398" s="455"/>
      <c r="GQ398" s="455"/>
      <c r="GR398" s="455"/>
      <c r="GS398" s="455"/>
      <c r="GT398" s="455"/>
      <c r="GU398" s="455"/>
      <c r="GV398" s="455"/>
      <c r="GW398" s="455"/>
      <c r="GX398" s="455"/>
      <c r="GY398" s="455"/>
      <c r="GZ398" s="455"/>
      <c r="HA398" s="455"/>
      <c r="HB398" s="455"/>
      <c r="HC398" s="455"/>
      <c r="HD398" s="455"/>
      <c r="HE398" s="455"/>
      <c r="HF398" s="455"/>
      <c r="HG398" s="455"/>
      <c r="HH398" s="455"/>
      <c r="HI398" s="455"/>
      <c r="HJ398" s="455"/>
      <c r="HK398" s="455"/>
      <c r="HL398" s="455"/>
      <c r="HM398" s="455"/>
      <c r="HN398" s="455"/>
      <c r="HO398" s="455"/>
      <c r="HP398" s="455"/>
      <c r="HQ398" s="455"/>
      <c r="HR398" s="455"/>
      <c r="HS398" s="455"/>
      <c r="HT398" s="455"/>
      <c r="HU398" s="455"/>
      <c r="HV398" s="455"/>
      <c r="HW398" s="455"/>
      <c r="HX398" s="455"/>
      <c r="HY398" s="455"/>
      <c r="HZ398" s="455"/>
      <c r="IA398" s="455"/>
      <c r="IB398" s="455"/>
      <c r="IC398" s="455"/>
      <c r="ID398" s="455"/>
      <c r="IE398" s="455"/>
      <c r="IF398" s="455"/>
      <c r="IG398" s="455"/>
      <c r="IH398" s="455"/>
      <c r="II398" s="455"/>
      <c r="IJ398" s="455"/>
      <c r="IK398" s="455"/>
      <c r="IL398" s="455"/>
      <c r="IM398" s="455"/>
      <c r="IN398" s="455"/>
      <c r="IO398" s="455"/>
      <c r="IP398" s="455"/>
      <c r="IQ398" s="455"/>
      <c r="IR398" s="455"/>
      <c r="IS398" s="455"/>
    </row>
    <row r="399" spans="1:253" s="458" customFormat="1" ht="56.25" x14ac:dyDescent="0.2">
      <c r="A399" s="444">
        <v>8500</v>
      </c>
      <c r="B399" s="445" t="s">
        <v>84</v>
      </c>
      <c r="C399" s="445" t="s">
        <v>85</v>
      </c>
      <c r="D399" s="445"/>
      <c r="E399" s="445"/>
      <c r="F399" s="445"/>
      <c r="G399" s="446">
        <v>286</v>
      </c>
      <c r="H399" s="445" t="s">
        <v>497</v>
      </c>
      <c r="I399" s="445"/>
      <c r="J399" s="445"/>
      <c r="K399" s="447"/>
      <c r="L399" s="445" t="s">
        <v>498</v>
      </c>
      <c r="M399" s="445">
        <v>3</v>
      </c>
      <c r="N399" s="445" t="s">
        <v>106</v>
      </c>
      <c r="O399" s="449" t="s">
        <v>1436</v>
      </c>
      <c r="P399" s="489">
        <v>6.8040000000000003</v>
      </c>
      <c r="Q399" s="451">
        <f t="shared" ref="Q399:Q430" si="11">P399</f>
        <v>6.8040000000000003</v>
      </c>
      <c r="R399" s="451">
        <f>SUMIF('Wege im Detail'!$A:$A,"8500",'Wege im Detail'!$P:$P)</f>
        <v>6.8040000000000003</v>
      </c>
      <c r="S399" s="452" t="s">
        <v>499</v>
      </c>
      <c r="T399" s="453">
        <v>43252</v>
      </c>
      <c r="U399" s="448"/>
      <c r="V399" s="476"/>
      <c r="W399" s="448"/>
    </row>
    <row r="400" spans="1:253" s="458" customFormat="1" ht="67.5" x14ac:dyDescent="0.2">
      <c r="A400" s="444">
        <v>8501</v>
      </c>
      <c r="B400" s="445" t="s">
        <v>84</v>
      </c>
      <c r="C400" s="445" t="s">
        <v>85</v>
      </c>
      <c r="D400" s="445"/>
      <c r="E400" s="445"/>
      <c r="F400" s="445"/>
      <c r="G400" s="446">
        <v>282</v>
      </c>
      <c r="H400" s="445" t="s">
        <v>500</v>
      </c>
      <c r="I400" s="445"/>
      <c r="J400" s="445"/>
      <c r="K400" s="447"/>
      <c r="L400" s="445" t="s">
        <v>147</v>
      </c>
      <c r="M400" s="445">
        <v>3</v>
      </c>
      <c r="N400" s="445" t="s">
        <v>106</v>
      </c>
      <c r="O400" s="449" t="s">
        <v>1437</v>
      </c>
      <c r="P400" s="489">
        <v>9.5239999999999991</v>
      </c>
      <c r="Q400" s="451">
        <f t="shared" si="11"/>
        <v>9.5239999999999991</v>
      </c>
      <c r="R400" s="451">
        <f>SUMIF('Wege im Detail'!$A:$A,"8501",'Wege im Detail'!$P:$P)</f>
        <v>9.5239999999999991</v>
      </c>
      <c r="S400" s="452" t="s">
        <v>501</v>
      </c>
      <c r="T400" s="453">
        <v>43252</v>
      </c>
      <c r="U400" s="448"/>
      <c r="V400" s="476"/>
      <c r="W400" s="448"/>
    </row>
    <row r="401" spans="1:253" s="458" customFormat="1" ht="56.25" x14ac:dyDescent="0.2">
      <c r="A401" s="444">
        <v>8507</v>
      </c>
      <c r="B401" s="445" t="s">
        <v>84</v>
      </c>
      <c r="C401" s="445" t="s">
        <v>85</v>
      </c>
      <c r="D401" s="445"/>
      <c r="E401" s="445"/>
      <c r="F401" s="445"/>
      <c r="G401" s="446">
        <v>285</v>
      </c>
      <c r="H401" s="445" t="s">
        <v>503</v>
      </c>
      <c r="I401" s="445"/>
      <c r="J401" s="445"/>
      <c r="K401" s="447"/>
      <c r="L401" s="445" t="s">
        <v>88</v>
      </c>
      <c r="M401" s="445">
        <v>3</v>
      </c>
      <c r="N401" s="445" t="s">
        <v>106</v>
      </c>
      <c r="O401" s="449" t="s">
        <v>1438</v>
      </c>
      <c r="P401" s="489">
        <v>7.633</v>
      </c>
      <c r="Q401" s="451">
        <f t="shared" si="11"/>
        <v>7.633</v>
      </c>
      <c r="R401" s="451">
        <f>SUMIF('Wege im Detail'!$A:$A,"8507",'Wege im Detail'!$P:$P)</f>
        <v>7.633</v>
      </c>
      <c r="S401" s="452" t="s">
        <v>504</v>
      </c>
      <c r="T401" s="453">
        <v>43252</v>
      </c>
      <c r="U401" s="448"/>
      <c r="V401" s="476"/>
      <c r="W401" s="448"/>
      <c r="X401" s="455"/>
      <c r="Y401" s="455"/>
      <c r="Z401" s="455"/>
      <c r="AA401" s="455"/>
      <c r="AB401" s="455"/>
      <c r="AC401" s="455"/>
      <c r="AD401" s="455"/>
      <c r="AE401" s="455"/>
      <c r="AF401" s="455"/>
      <c r="AG401" s="455"/>
      <c r="AH401" s="455"/>
      <c r="AI401" s="455"/>
      <c r="AJ401" s="455"/>
      <c r="AK401" s="455"/>
      <c r="AL401" s="455"/>
      <c r="AM401" s="455"/>
      <c r="AN401" s="455"/>
      <c r="AO401" s="455"/>
      <c r="AP401" s="455"/>
      <c r="AQ401" s="455"/>
      <c r="AR401" s="455"/>
      <c r="AS401" s="455"/>
      <c r="AT401" s="455"/>
      <c r="AU401" s="455"/>
      <c r="AV401" s="455"/>
      <c r="AW401" s="455"/>
      <c r="AX401" s="455"/>
      <c r="AY401" s="455"/>
      <c r="AZ401" s="455"/>
      <c r="BA401" s="455"/>
      <c r="BB401" s="455"/>
      <c r="BC401" s="455"/>
      <c r="BD401" s="455"/>
      <c r="BE401" s="455"/>
      <c r="BF401" s="455"/>
      <c r="BG401" s="455"/>
      <c r="BH401" s="455"/>
      <c r="BI401" s="455"/>
      <c r="BJ401" s="455"/>
      <c r="BK401" s="455"/>
      <c r="BL401" s="455"/>
      <c r="BM401" s="455"/>
      <c r="BN401" s="455"/>
      <c r="BO401" s="455"/>
      <c r="BP401" s="455"/>
      <c r="BQ401" s="455"/>
      <c r="BR401" s="455"/>
      <c r="BS401" s="455"/>
      <c r="BT401" s="455"/>
      <c r="BU401" s="455"/>
      <c r="BV401" s="455"/>
      <c r="BW401" s="455"/>
      <c r="BX401" s="455"/>
      <c r="BY401" s="455"/>
      <c r="BZ401" s="455"/>
      <c r="CA401" s="455"/>
      <c r="CB401" s="455"/>
      <c r="CC401" s="455"/>
      <c r="CD401" s="455"/>
      <c r="CE401" s="455"/>
      <c r="CF401" s="455"/>
      <c r="CG401" s="455"/>
      <c r="CH401" s="455"/>
      <c r="CI401" s="455"/>
      <c r="CJ401" s="455"/>
      <c r="CK401" s="455"/>
      <c r="CL401" s="455"/>
      <c r="CM401" s="455"/>
      <c r="CN401" s="455"/>
      <c r="CO401" s="455"/>
      <c r="CP401" s="455"/>
      <c r="CQ401" s="455"/>
      <c r="CR401" s="455"/>
      <c r="CS401" s="455"/>
      <c r="CT401" s="455"/>
      <c r="CU401" s="455"/>
      <c r="CV401" s="455"/>
      <c r="CW401" s="455"/>
      <c r="CX401" s="455"/>
      <c r="CY401" s="455"/>
      <c r="CZ401" s="455"/>
      <c r="DA401" s="455"/>
      <c r="DB401" s="455"/>
      <c r="DC401" s="455"/>
      <c r="DD401" s="455"/>
      <c r="DE401" s="455"/>
      <c r="DF401" s="455"/>
      <c r="DG401" s="455"/>
      <c r="DH401" s="455"/>
      <c r="DI401" s="455"/>
      <c r="DJ401" s="455"/>
      <c r="DK401" s="455"/>
      <c r="DL401" s="455"/>
      <c r="DM401" s="455"/>
      <c r="DN401" s="455"/>
      <c r="DO401" s="455"/>
      <c r="DP401" s="455"/>
      <c r="DQ401" s="455"/>
      <c r="DR401" s="455"/>
      <c r="DS401" s="455"/>
      <c r="DT401" s="455"/>
      <c r="DU401" s="455"/>
      <c r="DV401" s="455"/>
      <c r="DW401" s="455"/>
      <c r="DX401" s="455"/>
      <c r="DY401" s="455"/>
      <c r="DZ401" s="455"/>
      <c r="EA401" s="455"/>
      <c r="EB401" s="455"/>
      <c r="EC401" s="455"/>
      <c r="ED401" s="455"/>
      <c r="EE401" s="455"/>
      <c r="EF401" s="455"/>
      <c r="EG401" s="455"/>
      <c r="EH401" s="455"/>
      <c r="EI401" s="455"/>
      <c r="EJ401" s="455"/>
      <c r="EK401" s="455"/>
      <c r="EL401" s="455"/>
      <c r="EM401" s="455"/>
      <c r="EN401" s="455"/>
      <c r="EO401" s="455"/>
      <c r="EP401" s="455"/>
      <c r="EQ401" s="455"/>
      <c r="ER401" s="455"/>
      <c r="ES401" s="455"/>
      <c r="ET401" s="455"/>
      <c r="EU401" s="455"/>
      <c r="EV401" s="455"/>
      <c r="EW401" s="455"/>
      <c r="EX401" s="455"/>
      <c r="EY401" s="455"/>
      <c r="EZ401" s="455"/>
      <c r="FA401" s="455"/>
      <c r="FB401" s="455"/>
      <c r="FC401" s="455"/>
      <c r="FD401" s="455"/>
      <c r="FE401" s="455"/>
      <c r="FF401" s="455"/>
      <c r="FG401" s="455"/>
      <c r="FH401" s="455"/>
      <c r="FI401" s="455"/>
      <c r="FJ401" s="455"/>
      <c r="FK401" s="455"/>
      <c r="FL401" s="455"/>
      <c r="FM401" s="455"/>
      <c r="FN401" s="455"/>
      <c r="FO401" s="455"/>
      <c r="FP401" s="455"/>
      <c r="FQ401" s="455"/>
      <c r="FR401" s="455"/>
      <c r="FS401" s="455"/>
      <c r="FT401" s="455"/>
      <c r="FU401" s="455"/>
      <c r="FV401" s="455"/>
      <c r="FW401" s="455"/>
      <c r="FX401" s="455"/>
      <c r="FY401" s="455"/>
      <c r="FZ401" s="455"/>
      <c r="GA401" s="455"/>
      <c r="GB401" s="455"/>
      <c r="GC401" s="455"/>
      <c r="GD401" s="455"/>
      <c r="GE401" s="455"/>
      <c r="GF401" s="455"/>
      <c r="GG401" s="455"/>
      <c r="GH401" s="455"/>
      <c r="GI401" s="455"/>
      <c r="GJ401" s="455"/>
      <c r="GK401" s="455"/>
      <c r="GL401" s="455"/>
      <c r="GM401" s="455"/>
      <c r="GN401" s="455"/>
      <c r="GO401" s="455"/>
      <c r="GP401" s="455"/>
      <c r="GQ401" s="455"/>
      <c r="GR401" s="455"/>
      <c r="GS401" s="455"/>
      <c r="GT401" s="455"/>
      <c r="GU401" s="455"/>
      <c r="GV401" s="455"/>
      <c r="GW401" s="455"/>
      <c r="GX401" s="455"/>
      <c r="GY401" s="455"/>
      <c r="GZ401" s="455"/>
      <c r="HA401" s="455"/>
      <c r="HB401" s="455"/>
      <c r="HC401" s="455"/>
      <c r="HD401" s="455"/>
      <c r="HE401" s="455"/>
      <c r="HF401" s="455"/>
      <c r="HG401" s="455"/>
      <c r="HH401" s="455"/>
      <c r="HI401" s="455"/>
      <c r="HJ401" s="455"/>
      <c r="HK401" s="455"/>
      <c r="HL401" s="455"/>
      <c r="HM401" s="455"/>
      <c r="HN401" s="455"/>
      <c r="HO401" s="455"/>
      <c r="HP401" s="455"/>
      <c r="HQ401" s="455"/>
      <c r="HR401" s="455"/>
      <c r="HS401" s="455"/>
      <c r="HT401" s="455"/>
      <c r="HU401" s="455"/>
      <c r="HV401" s="455"/>
      <c r="HW401" s="455"/>
      <c r="HX401" s="455"/>
      <c r="HY401" s="455"/>
      <c r="HZ401" s="455"/>
      <c r="IA401" s="455"/>
      <c r="IB401" s="455"/>
      <c r="IC401" s="455"/>
      <c r="ID401" s="455"/>
      <c r="IE401" s="455"/>
      <c r="IF401" s="455"/>
      <c r="IG401" s="455"/>
      <c r="IH401" s="455"/>
      <c r="II401" s="455"/>
      <c r="IJ401" s="455"/>
      <c r="IK401" s="455"/>
      <c r="IL401" s="455"/>
      <c r="IM401" s="455"/>
      <c r="IN401" s="455"/>
      <c r="IO401" s="455"/>
      <c r="IP401" s="455"/>
      <c r="IQ401" s="455"/>
      <c r="IR401" s="455"/>
      <c r="IS401" s="455"/>
    </row>
    <row r="402" spans="1:253" s="458" customFormat="1" ht="67.5" x14ac:dyDescent="0.2">
      <c r="A402" s="444">
        <v>8508</v>
      </c>
      <c r="B402" s="445" t="s">
        <v>84</v>
      </c>
      <c r="C402" s="445" t="s">
        <v>85</v>
      </c>
      <c r="D402" s="445"/>
      <c r="E402" s="445"/>
      <c r="F402" s="445"/>
      <c r="G402" s="446">
        <v>284</v>
      </c>
      <c r="H402" s="445" t="s">
        <v>506</v>
      </c>
      <c r="I402" s="445"/>
      <c r="J402" s="445"/>
      <c r="K402" s="447"/>
      <c r="L402" s="445" t="s">
        <v>138</v>
      </c>
      <c r="M402" s="445">
        <v>3</v>
      </c>
      <c r="N402" s="445" t="s">
        <v>106</v>
      </c>
      <c r="O402" s="449" t="s">
        <v>507</v>
      </c>
      <c r="P402" s="489">
        <v>7.609</v>
      </c>
      <c r="Q402" s="451">
        <f t="shared" si="11"/>
        <v>7.609</v>
      </c>
      <c r="R402" s="451">
        <f>SUMIF('Wege im Detail'!$A:$A,"8508",'Wege im Detail'!$P:$P)</f>
        <v>7.609</v>
      </c>
      <c r="S402" s="452" t="s">
        <v>508</v>
      </c>
      <c r="T402" s="453">
        <v>43252</v>
      </c>
      <c r="U402" s="448"/>
      <c r="V402" s="476"/>
      <c r="W402" s="448"/>
    </row>
    <row r="403" spans="1:253" s="458" customFormat="1" ht="56.25" x14ac:dyDescent="0.2">
      <c r="A403" s="438">
        <v>8513</v>
      </c>
      <c r="B403" s="445" t="s">
        <v>84</v>
      </c>
      <c r="C403" s="445" t="s">
        <v>85</v>
      </c>
      <c r="D403" s="445"/>
      <c r="E403" s="445"/>
      <c r="F403" s="445"/>
      <c r="G403" s="446">
        <v>281</v>
      </c>
      <c r="H403" s="445" t="s">
        <v>509</v>
      </c>
      <c r="I403" s="445"/>
      <c r="J403" s="445"/>
      <c r="K403" s="447"/>
      <c r="L403" s="445" t="s">
        <v>142</v>
      </c>
      <c r="M403" s="445">
        <v>3</v>
      </c>
      <c r="N403" s="445" t="s">
        <v>106</v>
      </c>
      <c r="O403" s="449" t="s">
        <v>1439</v>
      </c>
      <c r="P403" s="489">
        <v>6.1349999999999998</v>
      </c>
      <c r="Q403" s="451">
        <f t="shared" si="11"/>
        <v>6.1349999999999998</v>
      </c>
      <c r="R403" s="451">
        <f>SUMIF('Wege im Detail'!$A:$A,"8513",'Wege im Detail'!$P:$P)</f>
        <v>6.1349999999999998</v>
      </c>
      <c r="S403" s="452" t="s">
        <v>510</v>
      </c>
      <c r="T403" s="453">
        <v>43282</v>
      </c>
      <c r="U403" s="477" t="s">
        <v>1440</v>
      </c>
      <c r="V403" s="476" t="s">
        <v>1441</v>
      </c>
      <c r="W403" s="448"/>
    </row>
    <row r="404" spans="1:253" s="458" customFormat="1" ht="67.5" x14ac:dyDescent="0.2">
      <c r="A404" s="444">
        <v>8516</v>
      </c>
      <c r="B404" s="445" t="s">
        <v>84</v>
      </c>
      <c r="C404" s="445" t="s">
        <v>85</v>
      </c>
      <c r="D404" s="445"/>
      <c r="E404" s="445"/>
      <c r="F404" s="445"/>
      <c r="G404" s="446">
        <v>283</v>
      </c>
      <c r="H404" s="445" t="s">
        <v>512</v>
      </c>
      <c r="I404" s="445"/>
      <c r="J404" s="445"/>
      <c r="K404" s="447"/>
      <c r="L404" s="445" t="s">
        <v>133</v>
      </c>
      <c r="M404" s="445">
        <v>3</v>
      </c>
      <c r="N404" s="445" t="s">
        <v>106</v>
      </c>
      <c r="O404" s="449" t="s">
        <v>1442</v>
      </c>
      <c r="P404" s="489">
        <v>10.795999999999999</v>
      </c>
      <c r="Q404" s="451">
        <f t="shared" si="11"/>
        <v>10.795999999999999</v>
      </c>
      <c r="R404" s="451">
        <f>SUMIF('Wege im Detail'!$A:$A,"8516",'Wege im Detail'!$P:$P)</f>
        <v>10.795999999999999</v>
      </c>
      <c r="S404" s="452" t="s">
        <v>513</v>
      </c>
      <c r="T404" s="453">
        <v>43282</v>
      </c>
      <c r="U404" s="448"/>
      <c r="V404" s="476"/>
      <c r="W404" s="448"/>
    </row>
    <row r="405" spans="1:253" s="458" customFormat="1" ht="56.25" x14ac:dyDescent="0.2">
      <c r="A405" s="444">
        <v>8548</v>
      </c>
      <c r="B405" s="445" t="s">
        <v>84</v>
      </c>
      <c r="C405" s="445" t="s">
        <v>85</v>
      </c>
      <c r="D405" s="445"/>
      <c r="E405" s="445"/>
      <c r="F405" s="445"/>
      <c r="G405" s="446">
        <v>294</v>
      </c>
      <c r="H405" s="445" t="s">
        <v>515</v>
      </c>
      <c r="I405" s="445"/>
      <c r="J405" s="445"/>
      <c r="K405" s="447"/>
      <c r="L405" s="445" t="s">
        <v>138</v>
      </c>
      <c r="M405" s="445">
        <v>3</v>
      </c>
      <c r="N405" s="445" t="s">
        <v>466</v>
      </c>
      <c r="O405" s="449" t="s">
        <v>1443</v>
      </c>
      <c r="P405" s="450">
        <v>8.58</v>
      </c>
      <c r="Q405" s="451">
        <f t="shared" si="11"/>
        <v>8.58</v>
      </c>
      <c r="R405" s="451">
        <f>SUMIF('Wege im Detail'!$A:$A,"8548",'Wege im Detail'!$P:$P)</f>
        <v>8.58</v>
      </c>
      <c r="S405" s="452" t="s">
        <v>516</v>
      </c>
      <c r="T405" s="453">
        <v>43922</v>
      </c>
      <c r="U405" s="448"/>
      <c r="V405" s="476"/>
      <c r="W405" s="448"/>
    </row>
    <row r="406" spans="1:253" s="458" customFormat="1" ht="45" x14ac:dyDescent="0.2">
      <c r="A406" s="444">
        <v>8549</v>
      </c>
      <c r="B406" s="445" t="s">
        <v>84</v>
      </c>
      <c r="C406" s="445" t="s">
        <v>85</v>
      </c>
      <c r="D406" s="445"/>
      <c r="E406" s="445"/>
      <c r="F406" s="445"/>
      <c r="G406" s="446">
        <v>291</v>
      </c>
      <c r="H406" s="445" t="s">
        <v>518</v>
      </c>
      <c r="I406" s="445"/>
      <c r="J406" s="445"/>
      <c r="K406" s="447"/>
      <c r="L406" s="445" t="s">
        <v>519</v>
      </c>
      <c r="M406" s="445">
        <v>3</v>
      </c>
      <c r="N406" s="445" t="s">
        <v>466</v>
      </c>
      <c r="O406" s="449" t="s">
        <v>1444</v>
      </c>
      <c r="P406" s="450">
        <v>5.7619999999999996</v>
      </c>
      <c r="Q406" s="451">
        <f t="shared" si="11"/>
        <v>5.7619999999999996</v>
      </c>
      <c r="R406" s="451">
        <f>SUMIF('Wege im Detail'!$A:$A,"8549",'Wege im Detail'!$P:$P)</f>
        <v>5.7619999999999996</v>
      </c>
      <c r="S406" s="452" t="s">
        <v>520</v>
      </c>
      <c r="T406" s="453">
        <v>43922</v>
      </c>
      <c r="U406" s="448"/>
      <c r="V406" s="476"/>
      <c r="W406" s="448"/>
    </row>
    <row r="407" spans="1:253" s="458" customFormat="1" ht="56.25" x14ac:dyDescent="0.2">
      <c r="A407" s="444">
        <v>8550</v>
      </c>
      <c r="B407" s="445" t="s">
        <v>84</v>
      </c>
      <c r="C407" s="445" t="s">
        <v>85</v>
      </c>
      <c r="D407" s="445"/>
      <c r="E407" s="445"/>
      <c r="F407" s="445"/>
      <c r="G407" s="446">
        <v>292</v>
      </c>
      <c r="H407" s="445" t="s">
        <v>522</v>
      </c>
      <c r="I407" s="445"/>
      <c r="J407" s="445"/>
      <c r="K407" s="447"/>
      <c r="L407" s="445" t="s">
        <v>523</v>
      </c>
      <c r="M407" s="445">
        <v>3</v>
      </c>
      <c r="N407" s="445" t="s">
        <v>466</v>
      </c>
      <c r="O407" s="449" t="s">
        <v>1445</v>
      </c>
      <c r="P407" s="450">
        <v>7.9939999999999998</v>
      </c>
      <c r="Q407" s="451">
        <f t="shared" si="11"/>
        <v>7.9939999999999998</v>
      </c>
      <c r="R407" s="451">
        <f>SUMIF('Wege im Detail'!$A:$A,"8550",'Wege im Detail'!$P:$P)</f>
        <v>7.9939999999999998</v>
      </c>
      <c r="S407" s="452" t="s">
        <v>524</v>
      </c>
      <c r="T407" s="453">
        <v>43922</v>
      </c>
      <c r="U407" s="448"/>
      <c r="V407" s="476"/>
      <c r="W407" s="448"/>
    </row>
    <row r="408" spans="1:253" s="458" customFormat="1" ht="67.5" x14ac:dyDescent="0.2">
      <c r="A408" s="444">
        <v>8551</v>
      </c>
      <c r="B408" s="445" t="s">
        <v>84</v>
      </c>
      <c r="C408" s="445" t="s">
        <v>85</v>
      </c>
      <c r="D408" s="445"/>
      <c r="E408" s="445"/>
      <c r="F408" s="445"/>
      <c r="G408" s="446">
        <v>293</v>
      </c>
      <c r="H408" s="445" t="s">
        <v>526</v>
      </c>
      <c r="I408" s="445"/>
      <c r="J408" s="445"/>
      <c r="K408" s="447"/>
      <c r="L408" s="445" t="s">
        <v>527</v>
      </c>
      <c r="M408" s="445">
        <v>3</v>
      </c>
      <c r="N408" s="445" t="s">
        <v>466</v>
      </c>
      <c r="O408" s="449" t="s">
        <v>1446</v>
      </c>
      <c r="P408" s="450">
        <v>7.444</v>
      </c>
      <c r="Q408" s="451">
        <f t="shared" si="11"/>
        <v>7.444</v>
      </c>
      <c r="R408" s="451">
        <f>SUMIF('Wege im Detail'!$A:$A,"8551",'Wege im Detail'!$P:$P)</f>
        <v>7.444</v>
      </c>
      <c r="S408" s="452" t="s">
        <v>528</v>
      </c>
      <c r="T408" s="453">
        <v>43922</v>
      </c>
      <c r="U408" s="448"/>
      <c r="V408" s="476"/>
      <c r="W408" s="448"/>
      <c r="X408" s="455"/>
      <c r="Y408" s="455"/>
      <c r="Z408" s="455"/>
      <c r="AA408" s="455"/>
      <c r="AB408" s="455"/>
      <c r="AC408" s="455"/>
      <c r="AD408" s="455"/>
      <c r="AE408" s="455"/>
      <c r="AF408" s="455"/>
      <c r="AG408" s="455"/>
      <c r="AH408" s="455"/>
      <c r="AI408" s="455"/>
      <c r="AJ408" s="455"/>
      <c r="AK408" s="455"/>
      <c r="AL408" s="455"/>
      <c r="AM408" s="455"/>
      <c r="AN408" s="455"/>
      <c r="AO408" s="455"/>
      <c r="AP408" s="455"/>
      <c r="AQ408" s="455"/>
      <c r="AR408" s="455"/>
      <c r="AS408" s="455"/>
      <c r="AT408" s="455"/>
      <c r="AU408" s="455"/>
      <c r="AV408" s="455"/>
      <c r="AW408" s="455"/>
      <c r="AX408" s="455"/>
      <c r="AY408" s="455"/>
      <c r="AZ408" s="455"/>
      <c r="BA408" s="455"/>
      <c r="BB408" s="455"/>
      <c r="BC408" s="455"/>
      <c r="BD408" s="455"/>
      <c r="BE408" s="455"/>
      <c r="BF408" s="455"/>
      <c r="BG408" s="455"/>
      <c r="BH408" s="455"/>
      <c r="BI408" s="455"/>
      <c r="BJ408" s="455"/>
      <c r="BK408" s="455"/>
      <c r="BL408" s="455"/>
      <c r="BM408" s="455"/>
      <c r="BN408" s="455"/>
      <c r="BO408" s="455"/>
      <c r="BP408" s="455"/>
      <c r="BQ408" s="455"/>
      <c r="BR408" s="455"/>
      <c r="BS408" s="455"/>
      <c r="BT408" s="455"/>
      <c r="BU408" s="455"/>
      <c r="BV408" s="455"/>
      <c r="BW408" s="455"/>
      <c r="BX408" s="455"/>
      <c r="BY408" s="455"/>
      <c r="BZ408" s="455"/>
      <c r="CA408" s="455"/>
      <c r="CB408" s="455"/>
      <c r="CC408" s="455"/>
      <c r="CD408" s="455"/>
      <c r="CE408" s="455"/>
      <c r="CF408" s="455"/>
      <c r="CG408" s="455"/>
      <c r="CH408" s="455"/>
      <c r="CI408" s="455"/>
      <c r="CJ408" s="455"/>
      <c r="CK408" s="455"/>
      <c r="CL408" s="455"/>
      <c r="CM408" s="455"/>
      <c r="CN408" s="455"/>
      <c r="CO408" s="455"/>
      <c r="CP408" s="455"/>
      <c r="CQ408" s="455"/>
      <c r="CR408" s="455"/>
      <c r="CS408" s="455"/>
      <c r="CT408" s="455"/>
      <c r="CU408" s="455"/>
      <c r="CV408" s="455"/>
      <c r="CW408" s="455"/>
      <c r="CX408" s="455"/>
      <c r="CY408" s="455"/>
      <c r="CZ408" s="455"/>
      <c r="DA408" s="455"/>
      <c r="DB408" s="455"/>
      <c r="DC408" s="455"/>
      <c r="DD408" s="455"/>
      <c r="DE408" s="455"/>
      <c r="DF408" s="455"/>
      <c r="DG408" s="455"/>
      <c r="DH408" s="455"/>
      <c r="DI408" s="455"/>
      <c r="DJ408" s="455"/>
      <c r="DK408" s="455"/>
      <c r="DL408" s="455"/>
      <c r="DM408" s="455"/>
      <c r="DN408" s="455"/>
      <c r="DO408" s="455"/>
      <c r="DP408" s="455"/>
      <c r="DQ408" s="455"/>
      <c r="DR408" s="455"/>
      <c r="DS408" s="455"/>
      <c r="DT408" s="455"/>
      <c r="DU408" s="455"/>
      <c r="DV408" s="455"/>
      <c r="DW408" s="455"/>
      <c r="DX408" s="455"/>
      <c r="DY408" s="455"/>
      <c r="DZ408" s="455"/>
      <c r="EA408" s="455"/>
      <c r="EB408" s="455"/>
      <c r="EC408" s="455"/>
      <c r="ED408" s="455"/>
      <c r="EE408" s="455"/>
      <c r="EF408" s="455"/>
      <c r="EG408" s="455"/>
      <c r="EH408" s="455"/>
      <c r="EI408" s="455"/>
      <c r="EJ408" s="455"/>
      <c r="EK408" s="455"/>
      <c r="EL408" s="455"/>
      <c r="EM408" s="455"/>
      <c r="EN408" s="455"/>
      <c r="EO408" s="455"/>
      <c r="EP408" s="455"/>
      <c r="EQ408" s="455"/>
      <c r="ER408" s="455"/>
      <c r="ES408" s="455"/>
      <c r="ET408" s="455"/>
      <c r="EU408" s="455"/>
      <c r="EV408" s="455"/>
      <c r="EW408" s="455"/>
      <c r="EX408" s="455"/>
      <c r="EY408" s="455"/>
      <c r="EZ408" s="455"/>
      <c r="FA408" s="455"/>
      <c r="FB408" s="455"/>
      <c r="FC408" s="455"/>
      <c r="FD408" s="455"/>
      <c r="FE408" s="455"/>
      <c r="FF408" s="455"/>
      <c r="FG408" s="455"/>
      <c r="FH408" s="455"/>
      <c r="FI408" s="455"/>
      <c r="FJ408" s="455"/>
      <c r="FK408" s="455"/>
      <c r="FL408" s="455"/>
      <c r="FM408" s="455"/>
      <c r="FN408" s="455"/>
      <c r="FO408" s="455"/>
      <c r="FP408" s="455"/>
      <c r="FQ408" s="455"/>
      <c r="FR408" s="455"/>
      <c r="FS408" s="455"/>
      <c r="FT408" s="455"/>
      <c r="FU408" s="455"/>
      <c r="FV408" s="455"/>
      <c r="FW408" s="455"/>
      <c r="FX408" s="455"/>
      <c r="FY408" s="455"/>
      <c r="FZ408" s="455"/>
      <c r="GA408" s="455"/>
      <c r="GB408" s="455"/>
      <c r="GC408" s="455"/>
      <c r="GD408" s="455"/>
      <c r="GE408" s="455"/>
      <c r="GF408" s="455"/>
      <c r="GG408" s="455"/>
      <c r="GH408" s="455"/>
      <c r="GI408" s="455"/>
      <c r="GJ408" s="455"/>
      <c r="GK408" s="455"/>
      <c r="GL408" s="455"/>
      <c r="GM408" s="455"/>
      <c r="GN408" s="455"/>
      <c r="GO408" s="455"/>
      <c r="GP408" s="455"/>
      <c r="GQ408" s="455"/>
      <c r="GR408" s="455"/>
      <c r="GS408" s="455"/>
      <c r="GT408" s="455"/>
      <c r="GU408" s="455"/>
      <c r="GV408" s="455"/>
      <c r="GW408" s="455"/>
      <c r="GX408" s="455"/>
      <c r="GY408" s="455"/>
      <c r="GZ408" s="455"/>
      <c r="HA408" s="455"/>
      <c r="HB408" s="455"/>
      <c r="HC408" s="455"/>
      <c r="HD408" s="455"/>
      <c r="HE408" s="455"/>
      <c r="HF408" s="455"/>
      <c r="HG408" s="455"/>
      <c r="HH408" s="455"/>
      <c r="HI408" s="455"/>
      <c r="HJ408" s="455"/>
      <c r="HK408" s="455"/>
      <c r="HL408" s="455"/>
      <c r="HM408" s="455"/>
      <c r="HN408" s="455"/>
      <c r="HO408" s="455"/>
      <c r="HP408" s="455"/>
      <c r="HQ408" s="455"/>
      <c r="HR408" s="455"/>
      <c r="HS408" s="455"/>
      <c r="HT408" s="455"/>
      <c r="HU408" s="455"/>
      <c r="HV408" s="455"/>
      <c r="HW408" s="455"/>
      <c r="HX408" s="455"/>
      <c r="HY408" s="455"/>
      <c r="HZ408" s="455"/>
      <c r="IA408" s="455"/>
      <c r="IB408" s="455"/>
      <c r="IC408" s="455"/>
      <c r="ID408" s="455"/>
      <c r="IE408" s="455"/>
      <c r="IF408" s="455"/>
      <c r="IG408" s="455"/>
      <c r="IH408" s="455"/>
      <c r="II408" s="455"/>
      <c r="IJ408" s="455"/>
      <c r="IK408" s="455"/>
      <c r="IL408" s="455"/>
      <c r="IM408" s="455"/>
      <c r="IN408" s="455"/>
      <c r="IO408" s="455"/>
      <c r="IP408" s="455"/>
      <c r="IQ408" s="455"/>
      <c r="IR408" s="455"/>
      <c r="IS408" s="455"/>
    </row>
    <row r="409" spans="1:253" s="458" customFormat="1" ht="45" x14ac:dyDescent="0.2">
      <c r="A409" s="444">
        <v>8553</v>
      </c>
      <c r="B409" s="445" t="s">
        <v>84</v>
      </c>
      <c r="C409" s="445" t="s">
        <v>85</v>
      </c>
      <c r="D409" s="445"/>
      <c r="E409" s="445"/>
      <c r="F409" s="445"/>
      <c r="G409" s="446">
        <v>295</v>
      </c>
      <c r="H409" s="445" t="s">
        <v>530</v>
      </c>
      <c r="I409" s="445"/>
      <c r="J409" s="445"/>
      <c r="K409" s="447"/>
      <c r="L409" s="445" t="s">
        <v>531</v>
      </c>
      <c r="M409" s="445">
        <v>3</v>
      </c>
      <c r="N409" s="445" t="s">
        <v>466</v>
      </c>
      <c r="O409" s="449" t="s">
        <v>1447</v>
      </c>
      <c r="P409" s="450">
        <v>4.915</v>
      </c>
      <c r="Q409" s="451">
        <f t="shared" si="11"/>
        <v>4.915</v>
      </c>
      <c r="R409" s="451">
        <f>SUMIF('Wege im Detail'!$A:$A,"8553",'Wege im Detail'!$P:$P)</f>
        <v>4.915</v>
      </c>
      <c r="S409" s="452" t="s">
        <v>532</v>
      </c>
      <c r="T409" s="453">
        <v>43922</v>
      </c>
      <c r="U409" s="448"/>
      <c r="V409" s="476"/>
      <c r="W409" s="448"/>
      <c r="X409" s="455"/>
      <c r="Y409" s="455"/>
      <c r="Z409" s="455"/>
      <c r="AA409" s="455"/>
      <c r="AB409" s="455"/>
      <c r="AC409" s="455"/>
      <c r="AD409" s="455"/>
      <c r="AE409" s="455"/>
      <c r="AF409" s="455"/>
      <c r="AG409" s="455"/>
      <c r="AH409" s="455"/>
      <c r="AI409" s="455"/>
      <c r="AJ409" s="455"/>
      <c r="AK409" s="455"/>
      <c r="AL409" s="455"/>
      <c r="AM409" s="455"/>
      <c r="AN409" s="455"/>
      <c r="AO409" s="455"/>
      <c r="AP409" s="455"/>
      <c r="AQ409" s="455"/>
      <c r="AR409" s="455"/>
      <c r="AS409" s="455"/>
      <c r="AT409" s="455"/>
      <c r="AU409" s="455"/>
      <c r="AV409" s="455"/>
      <c r="AW409" s="455"/>
      <c r="AX409" s="455"/>
      <c r="AY409" s="455"/>
      <c r="AZ409" s="455"/>
      <c r="BA409" s="455"/>
      <c r="BB409" s="455"/>
      <c r="BC409" s="455"/>
      <c r="BD409" s="455"/>
      <c r="BE409" s="455"/>
      <c r="BF409" s="455"/>
      <c r="BG409" s="455"/>
      <c r="BH409" s="455"/>
      <c r="BI409" s="455"/>
      <c r="BJ409" s="455"/>
      <c r="BK409" s="455"/>
      <c r="BL409" s="455"/>
      <c r="BM409" s="455"/>
      <c r="BN409" s="455"/>
      <c r="BO409" s="455"/>
      <c r="BP409" s="455"/>
      <c r="BQ409" s="455"/>
      <c r="BR409" s="455"/>
      <c r="BS409" s="455"/>
      <c r="BT409" s="455"/>
      <c r="BU409" s="455"/>
      <c r="BV409" s="455"/>
      <c r="BW409" s="455"/>
      <c r="BX409" s="455"/>
      <c r="BY409" s="455"/>
      <c r="BZ409" s="455"/>
      <c r="CA409" s="455"/>
      <c r="CB409" s="455"/>
      <c r="CC409" s="455"/>
      <c r="CD409" s="455"/>
      <c r="CE409" s="455"/>
      <c r="CF409" s="455"/>
      <c r="CG409" s="455"/>
      <c r="CH409" s="455"/>
      <c r="CI409" s="455"/>
      <c r="CJ409" s="455"/>
      <c r="CK409" s="455"/>
      <c r="CL409" s="455"/>
      <c r="CM409" s="455"/>
      <c r="CN409" s="455"/>
      <c r="CO409" s="455"/>
      <c r="CP409" s="455"/>
      <c r="CQ409" s="455"/>
      <c r="CR409" s="455"/>
      <c r="CS409" s="455"/>
      <c r="CT409" s="455"/>
      <c r="CU409" s="455"/>
      <c r="CV409" s="455"/>
      <c r="CW409" s="455"/>
      <c r="CX409" s="455"/>
      <c r="CY409" s="455"/>
      <c r="CZ409" s="455"/>
      <c r="DA409" s="455"/>
      <c r="DB409" s="455"/>
      <c r="DC409" s="455"/>
      <c r="DD409" s="455"/>
      <c r="DE409" s="455"/>
      <c r="DF409" s="455"/>
      <c r="DG409" s="455"/>
      <c r="DH409" s="455"/>
      <c r="DI409" s="455"/>
      <c r="DJ409" s="455"/>
      <c r="DK409" s="455"/>
      <c r="DL409" s="455"/>
      <c r="DM409" s="455"/>
      <c r="DN409" s="455"/>
      <c r="DO409" s="455"/>
      <c r="DP409" s="455"/>
      <c r="DQ409" s="455"/>
      <c r="DR409" s="455"/>
      <c r="DS409" s="455"/>
      <c r="DT409" s="455"/>
      <c r="DU409" s="455"/>
      <c r="DV409" s="455"/>
      <c r="DW409" s="455"/>
      <c r="DX409" s="455"/>
      <c r="DY409" s="455"/>
      <c r="DZ409" s="455"/>
      <c r="EA409" s="455"/>
      <c r="EB409" s="455"/>
      <c r="EC409" s="455"/>
      <c r="ED409" s="455"/>
      <c r="EE409" s="455"/>
      <c r="EF409" s="455"/>
      <c r="EG409" s="455"/>
      <c r="EH409" s="455"/>
      <c r="EI409" s="455"/>
      <c r="EJ409" s="455"/>
      <c r="EK409" s="455"/>
      <c r="EL409" s="455"/>
      <c r="EM409" s="455"/>
      <c r="EN409" s="455"/>
      <c r="EO409" s="455"/>
      <c r="EP409" s="455"/>
      <c r="EQ409" s="455"/>
      <c r="ER409" s="455"/>
      <c r="ES409" s="455"/>
      <c r="ET409" s="455"/>
      <c r="EU409" s="455"/>
      <c r="EV409" s="455"/>
      <c r="EW409" s="455"/>
      <c r="EX409" s="455"/>
      <c r="EY409" s="455"/>
      <c r="EZ409" s="455"/>
      <c r="FA409" s="455"/>
      <c r="FB409" s="455"/>
      <c r="FC409" s="455"/>
      <c r="FD409" s="455"/>
      <c r="FE409" s="455"/>
      <c r="FF409" s="455"/>
      <c r="FG409" s="455"/>
      <c r="FH409" s="455"/>
      <c r="FI409" s="455"/>
      <c r="FJ409" s="455"/>
      <c r="FK409" s="455"/>
      <c r="FL409" s="455"/>
      <c r="FM409" s="455"/>
      <c r="FN409" s="455"/>
      <c r="FO409" s="455"/>
      <c r="FP409" s="455"/>
      <c r="FQ409" s="455"/>
      <c r="FR409" s="455"/>
      <c r="FS409" s="455"/>
      <c r="FT409" s="455"/>
      <c r="FU409" s="455"/>
      <c r="FV409" s="455"/>
      <c r="FW409" s="455"/>
      <c r="FX409" s="455"/>
      <c r="FY409" s="455"/>
      <c r="FZ409" s="455"/>
      <c r="GA409" s="455"/>
      <c r="GB409" s="455"/>
      <c r="GC409" s="455"/>
      <c r="GD409" s="455"/>
      <c r="GE409" s="455"/>
      <c r="GF409" s="455"/>
      <c r="GG409" s="455"/>
      <c r="GH409" s="455"/>
      <c r="GI409" s="455"/>
      <c r="GJ409" s="455"/>
      <c r="GK409" s="455"/>
      <c r="GL409" s="455"/>
      <c r="GM409" s="455"/>
      <c r="GN409" s="455"/>
      <c r="GO409" s="455"/>
      <c r="GP409" s="455"/>
      <c r="GQ409" s="455"/>
      <c r="GR409" s="455"/>
      <c r="GS409" s="455"/>
      <c r="GT409" s="455"/>
      <c r="GU409" s="455"/>
      <c r="GV409" s="455"/>
      <c r="GW409" s="455"/>
      <c r="GX409" s="455"/>
      <c r="GY409" s="455"/>
      <c r="GZ409" s="455"/>
      <c r="HA409" s="455"/>
      <c r="HB409" s="455"/>
      <c r="HC409" s="455"/>
      <c r="HD409" s="455"/>
      <c r="HE409" s="455"/>
      <c r="HF409" s="455"/>
      <c r="HG409" s="455"/>
      <c r="HH409" s="455"/>
      <c r="HI409" s="455"/>
      <c r="HJ409" s="455"/>
      <c r="HK409" s="455"/>
      <c r="HL409" s="455"/>
      <c r="HM409" s="455"/>
      <c r="HN409" s="455"/>
      <c r="HO409" s="455"/>
      <c r="HP409" s="455"/>
      <c r="HQ409" s="455"/>
      <c r="HR409" s="455"/>
      <c r="HS409" s="455"/>
      <c r="HT409" s="455"/>
      <c r="HU409" s="455"/>
      <c r="HV409" s="455"/>
      <c r="HW409" s="455"/>
      <c r="HX409" s="455"/>
      <c r="HY409" s="455"/>
      <c r="HZ409" s="455"/>
      <c r="IA409" s="455"/>
      <c r="IB409" s="455"/>
      <c r="IC409" s="455"/>
      <c r="ID409" s="455"/>
      <c r="IE409" s="455"/>
      <c r="IF409" s="455"/>
      <c r="IG409" s="455"/>
      <c r="IH409" s="455"/>
      <c r="II409" s="455"/>
      <c r="IJ409" s="455"/>
      <c r="IK409" s="455"/>
      <c r="IL409" s="455"/>
      <c r="IM409" s="455"/>
      <c r="IN409" s="455"/>
      <c r="IO409" s="455"/>
      <c r="IP409" s="455"/>
      <c r="IQ409" s="455"/>
      <c r="IR409" s="455"/>
      <c r="IS409" s="455"/>
    </row>
    <row r="410" spans="1:253" s="458" customFormat="1" ht="45" x14ac:dyDescent="0.2">
      <c r="A410" s="444">
        <v>8554</v>
      </c>
      <c r="B410" s="445" t="s">
        <v>84</v>
      </c>
      <c r="C410" s="445" t="s">
        <v>85</v>
      </c>
      <c r="D410" s="445"/>
      <c r="E410" s="445"/>
      <c r="F410" s="445"/>
      <c r="G410" s="446">
        <v>296</v>
      </c>
      <c r="H410" s="445" t="s">
        <v>534</v>
      </c>
      <c r="I410" s="445"/>
      <c r="J410" s="445"/>
      <c r="K410" s="447"/>
      <c r="L410" s="445" t="s">
        <v>535</v>
      </c>
      <c r="M410" s="445">
        <v>3</v>
      </c>
      <c r="N410" s="445" t="s">
        <v>466</v>
      </c>
      <c r="O410" s="449" t="s">
        <v>1448</v>
      </c>
      <c r="P410" s="450">
        <v>4.1150000000000002</v>
      </c>
      <c r="Q410" s="451">
        <f t="shared" si="11"/>
        <v>4.1150000000000002</v>
      </c>
      <c r="R410" s="451">
        <f>SUMIF('Wege im Detail'!$A:$A,"8554",'Wege im Detail'!$P:$P)</f>
        <v>4.1150000000000002</v>
      </c>
      <c r="S410" s="452" t="s">
        <v>536</v>
      </c>
      <c r="T410" s="453">
        <v>43922</v>
      </c>
      <c r="U410" s="448"/>
      <c r="V410" s="476"/>
      <c r="W410" s="448"/>
    </row>
    <row r="411" spans="1:253" s="458" customFormat="1" ht="67.5" x14ac:dyDescent="0.2">
      <c r="A411" s="444">
        <v>8558</v>
      </c>
      <c r="B411" s="445" t="s">
        <v>84</v>
      </c>
      <c r="C411" s="445" t="s">
        <v>85</v>
      </c>
      <c r="D411" s="445"/>
      <c r="E411" s="445"/>
      <c r="F411" s="445"/>
      <c r="G411" s="446">
        <v>266</v>
      </c>
      <c r="H411" s="445" t="s">
        <v>538</v>
      </c>
      <c r="I411" s="445"/>
      <c r="J411" s="445"/>
      <c r="K411" s="447"/>
      <c r="L411" s="445" t="s">
        <v>172</v>
      </c>
      <c r="M411" s="445">
        <v>3</v>
      </c>
      <c r="N411" s="445" t="s">
        <v>206</v>
      </c>
      <c r="O411" s="449" t="s">
        <v>1449</v>
      </c>
      <c r="P411" s="450">
        <v>4.7169999999999996</v>
      </c>
      <c r="Q411" s="451">
        <f t="shared" si="11"/>
        <v>4.7169999999999996</v>
      </c>
      <c r="R411" s="451">
        <f>SUMIF('Wege im Detail'!$A:$A,"8558",'Wege im Detail'!$P:$P)</f>
        <v>4.7169999999999996</v>
      </c>
      <c r="S411" s="452" t="s">
        <v>539</v>
      </c>
      <c r="T411" s="453">
        <v>43922</v>
      </c>
      <c r="U411" s="448"/>
      <c r="V411" s="475" t="s">
        <v>1205</v>
      </c>
      <c r="W411" s="448"/>
    </row>
    <row r="412" spans="1:253" s="458" customFormat="1" ht="56.25" x14ac:dyDescent="0.2">
      <c r="A412" s="444">
        <v>8559</v>
      </c>
      <c r="B412" s="445" t="s">
        <v>84</v>
      </c>
      <c r="C412" s="445" t="s">
        <v>85</v>
      </c>
      <c r="D412" s="445"/>
      <c r="E412" s="445"/>
      <c r="F412" s="445"/>
      <c r="G412" s="446">
        <v>267</v>
      </c>
      <c r="H412" s="445" t="s">
        <v>541</v>
      </c>
      <c r="I412" s="445"/>
      <c r="J412" s="445"/>
      <c r="K412" s="447"/>
      <c r="L412" s="445" t="s">
        <v>163</v>
      </c>
      <c r="M412" s="445">
        <v>3</v>
      </c>
      <c r="N412" s="445" t="s">
        <v>206</v>
      </c>
      <c r="O412" s="449" t="s">
        <v>1450</v>
      </c>
      <c r="P412" s="450">
        <v>2.7909999999999999</v>
      </c>
      <c r="Q412" s="451">
        <f t="shared" si="11"/>
        <v>2.7909999999999999</v>
      </c>
      <c r="R412" s="451">
        <f>SUMIF('Wege im Detail'!$A:$A,"8559",'Wege im Detail'!$P:$P)</f>
        <v>2.7909999999999999</v>
      </c>
      <c r="S412" s="452" t="s">
        <v>542</v>
      </c>
      <c r="T412" s="453">
        <v>43922</v>
      </c>
      <c r="U412" s="448"/>
      <c r="V412" s="475" t="s">
        <v>1205</v>
      </c>
      <c r="W412" s="448"/>
    </row>
    <row r="413" spans="1:253" s="458" customFormat="1" ht="67.5" x14ac:dyDescent="0.2">
      <c r="A413" s="444">
        <v>8560</v>
      </c>
      <c r="B413" s="445" t="s">
        <v>84</v>
      </c>
      <c r="C413" s="445" t="s">
        <v>85</v>
      </c>
      <c r="D413" s="445"/>
      <c r="E413" s="445"/>
      <c r="F413" s="445"/>
      <c r="G413" s="446">
        <v>268</v>
      </c>
      <c r="H413" s="445" t="s">
        <v>544</v>
      </c>
      <c r="I413" s="445"/>
      <c r="J413" s="445"/>
      <c r="K413" s="447"/>
      <c r="L413" s="445" t="s">
        <v>168</v>
      </c>
      <c r="M413" s="445">
        <v>3</v>
      </c>
      <c r="N413" s="445" t="s">
        <v>206</v>
      </c>
      <c r="O413" s="449" t="s">
        <v>1451</v>
      </c>
      <c r="P413" s="450">
        <v>7.875</v>
      </c>
      <c r="Q413" s="451">
        <f t="shared" si="11"/>
        <v>7.875</v>
      </c>
      <c r="R413" s="451">
        <f>SUMIF('Wege im Detail'!$A:$A,"8560",'Wege im Detail'!$P:$P)</f>
        <v>7.875</v>
      </c>
      <c r="S413" s="452" t="s">
        <v>545</v>
      </c>
      <c r="T413" s="453">
        <v>43922</v>
      </c>
      <c r="U413" s="448"/>
      <c r="V413" s="475" t="s">
        <v>1205</v>
      </c>
      <c r="W413" s="448"/>
    </row>
    <row r="414" spans="1:253" s="458" customFormat="1" ht="56.25" x14ac:dyDescent="0.2">
      <c r="A414" s="444">
        <v>8561</v>
      </c>
      <c r="B414" s="445" t="s">
        <v>84</v>
      </c>
      <c r="C414" s="445" t="s">
        <v>85</v>
      </c>
      <c r="D414" s="445"/>
      <c r="E414" s="445"/>
      <c r="F414" s="445"/>
      <c r="G414" s="446">
        <v>269</v>
      </c>
      <c r="H414" s="445" t="s">
        <v>547</v>
      </c>
      <c r="I414" s="445"/>
      <c r="J414" s="445"/>
      <c r="K414" s="447"/>
      <c r="L414" s="445" t="s">
        <v>273</v>
      </c>
      <c r="M414" s="445">
        <v>3</v>
      </c>
      <c r="N414" s="445" t="s">
        <v>206</v>
      </c>
      <c r="O414" s="449" t="s">
        <v>1452</v>
      </c>
      <c r="P414" s="450">
        <v>6.9119999999999999</v>
      </c>
      <c r="Q414" s="451">
        <f t="shared" si="11"/>
        <v>6.9119999999999999</v>
      </c>
      <c r="R414" s="451">
        <f>SUMIF('Wege im Detail'!$A:$A,"8561",'Wege im Detail'!$P:$P)</f>
        <v>6.9119999999999999</v>
      </c>
      <c r="S414" s="452" t="s">
        <v>548</v>
      </c>
      <c r="T414" s="453">
        <v>43922</v>
      </c>
      <c r="U414" s="448"/>
      <c r="V414" s="475" t="s">
        <v>1205</v>
      </c>
      <c r="W414" s="448"/>
    </row>
    <row r="415" spans="1:253" s="458" customFormat="1" ht="78.75" customHeight="1" x14ac:dyDescent="0.2">
      <c r="A415" s="444">
        <v>8562</v>
      </c>
      <c r="B415" s="445" t="s">
        <v>84</v>
      </c>
      <c r="C415" s="445" t="s">
        <v>85</v>
      </c>
      <c r="D415" s="445"/>
      <c r="E415" s="445"/>
      <c r="F415" s="445"/>
      <c r="G415" s="446">
        <v>270</v>
      </c>
      <c r="H415" s="445" t="s">
        <v>550</v>
      </c>
      <c r="I415" s="445"/>
      <c r="J415" s="445"/>
      <c r="K415" s="447"/>
      <c r="L415" s="445" t="s">
        <v>277</v>
      </c>
      <c r="M415" s="445">
        <v>3</v>
      </c>
      <c r="N415" s="445" t="s">
        <v>206</v>
      </c>
      <c r="O415" s="449" t="s">
        <v>1453</v>
      </c>
      <c r="P415" s="450">
        <v>6.6920000000000002</v>
      </c>
      <c r="Q415" s="451">
        <f t="shared" si="11"/>
        <v>6.6920000000000002</v>
      </c>
      <c r="R415" s="451">
        <f>SUMIF('Wege im Detail'!$A:$A,"8562",'Wege im Detail'!$P:$P)</f>
        <v>6.6920000000000002</v>
      </c>
      <c r="S415" s="452" t="s">
        <v>551</v>
      </c>
      <c r="T415" s="453">
        <v>43922</v>
      </c>
      <c r="U415" s="448"/>
      <c r="V415" s="475" t="s">
        <v>1205</v>
      </c>
      <c r="W415" s="448"/>
    </row>
    <row r="416" spans="1:253" s="458" customFormat="1" ht="45" customHeight="1" x14ac:dyDescent="0.25">
      <c r="A416" s="441">
        <v>8564</v>
      </c>
      <c r="B416" s="445" t="s">
        <v>84</v>
      </c>
      <c r="C416" s="445" t="s">
        <v>85</v>
      </c>
      <c r="D416" s="445"/>
      <c r="E416" s="445"/>
      <c r="F416" s="479"/>
      <c r="G416" s="446">
        <v>231</v>
      </c>
      <c r="H416" s="445" t="s">
        <v>553</v>
      </c>
      <c r="I416" s="445"/>
      <c r="J416" s="445"/>
      <c r="K416" s="447"/>
      <c r="L416" s="445" t="s">
        <v>554</v>
      </c>
      <c r="M416" s="445">
        <v>3</v>
      </c>
      <c r="N416" s="445" t="s">
        <v>220</v>
      </c>
      <c r="O416" s="449" t="s">
        <v>1454</v>
      </c>
      <c r="P416" s="450">
        <v>13.002000000000001</v>
      </c>
      <c r="Q416" s="451">
        <f t="shared" si="11"/>
        <v>13.002000000000001</v>
      </c>
      <c r="R416" s="451">
        <f>SUMIF('Wege im Detail'!$A:$A,"8564",'Wege im Detail'!$P:$P)</f>
        <v>13.002000000000001</v>
      </c>
      <c r="S416" s="452" t="s">
        <v>555</v>
      </c>
      <c r="T416" s="453">
        <v>43922</v>
      </c>
      <c r="U416" s="448"/>
      <c r="V416" s="490" t="s">
        <v>556</v>
      </c>
      <c r="W416" s="448"/>
    </row>
    <row r="417" spans="1:253" s="458" customFormat="1" ht="45" x14ac:dyDescent="0.2">
      <c r="A417" s="444">
        <v>8566</v>
      </c>
      <c r="B417" s="445" t="s">
        <v>84</v>
      </c>
      <c r="C417" s="445" t="s">
        <v>85</v>
      </c>
      <c r="D417" s="445"/>
      <c r="E417" s="445"/>
      <c r="F417" s="445"/>
      <c r="G417" s="446">
        <v>206</v>
      </c>
      <c r="H417" s="445" t="s">
        <v>558</v>
      </c>
      <c r="I417" s="445"/>
      <c r="J417" s="445"/>
      <c r="K417" s="447"/>
      <c r="L417" s="445" t="s">
        <v>172</v>
      </c>
      <c r="M417" s="445">
        <v>3</v>
      </c>
      <c r="N417" s="445" t="s">
        <v>351</v>
      </c>
      <c r="O417" s="449" t="s">
        <v>1455</v>
      </c>
      <c r="P417" s="450">
        <v>4.4240000000000004</v>
      </c>
      <c r="Q417" s="451">
        <f t="shared" si="11"/>
        <v>4.4240000000000004</v>
      </c>
      <c r="R417" s="451">
        <f>SUMIF('Wege im Detail'!$A:$A,"8566",'Wege im Detail'!$P:$P)</f>
        <v>4.4240000000000004</v>
      </c>
      <c r="S417" s="452" t="s">
        <v>559</v>
      </c>
      <c r="T417" s="453">
        <v>43922</v>
      </c>
      <c r="U417" s="448"/>
      <c r="V417" s="476"/>
      <c r="W417" s="448"/>
    </row>
    <row r="418" spans="1:253" s="458" customFormat="1" ht="78.75" x14ac:dyDescent="0.2">
      <c r="A418" s="444">
        <v>8572</v>
      </c>
      <c r="B418" s="445" t="s">
        <v>84</v>
      </c>
      <c r="C418" s="445" t="s">
        <v>85</v>
      </c>
      <c r="D418" s="445"/>
      <c r="E418" s="445"/>
      <c r="F418" s="479"/>
      <c r="G418" s="446">
        <v>234</v>
      </c>
      <c r="H418" s="445" t="s">
        <v>561</v>
      </c>
      <c r="I418" s="445"/>
      <c r="J418" s="445"/>
      <c r="K418" s="447"/>
      <c r="L418" s="445" t="s">
        <v>562</v>
      </c>
      <c r="M418" s="445">
        <v>3</v>
      </c>
      <c r="N418" s="445" t="s">
        <v>220</v>
      </c>
      <c r="O418" s="449" t="s">
        <v>1456</v>
      </c>
      <c r="P418" s="450">
        <v>13.78</v>
      </c>
      <c r="Q418" s="451">
        <f t="shared" si="11"/>
        <v>13.78</v>
      </c>
      <c r="R418" s="451">
        <f>SUMIF('Wege im Detail'!$A:$A,"8572",'Wege im Detail'!$P:$P)</f>
        <v>13.78</v>
      </c>
      <c r="S418" s="452" t="s">
        <v>563</v>
      </c>
      <c r="T418" s="453">
        <v>44682</v>
      </c>
      <c r="U418" s="477" t="s">
        <v>1457</v>
      </c>
      <c r="V418" s="492" t="s">
        <v>1458</v>
      </c>
      <c r="W418" s="448"/>
    </row>
    <row r="419" spans="1:253" s="458" customFormat="1" ht="33.75" x14ac:dyDescent="0.2">
      <c r="A419" s="444">
        <v>8637</v>
      </c>
      <c r="B419" s="445" t="s">
        <v>51</v>
      </c>
      <c r="C419" s="445" t="s">
        <v>52</v>
      </c>
      <c r="D419" s="445"/>
      <c r="E419" s="445"/>
      <c r="F419" s="445"/>
      <c r="G419" s="446">
        <v>5</v>
      </c>
      <c r="H419" s="445">
        <v>7</v>
      </c>
      <c r="I419" s="445"/>
      <c r="J419" s="445">
        <v>1</v>
      </c>
      <c r="K419" s="447">
        <v>6</v>
      </c>
      <c r="L419" s="445" t="s">
        <v>565</v>
      </c>
      <c r="M419" s="445">
        <v>5</v>
      </c>
      <c r="N419" s="445" t="s">
        <v>181</v>
      </c>
      <c r="O419" s="464" t="s">
        <v>1459</v>
      </c>
      <c r="P419" s="450">
        <v>1.155</v>
      </c>
      <c r="Q419" s="451">
        <f t="shared" si="11"/>
        <v>1.155</v>
      </c>
      <c r="R419" s="451">
        <f>SUMIF('Wege im Detail'!$A:$A,"008637",'Wege im Detail'!$P:$P)</f>
        <v>46.429000000000002</v>
      </c>
      <c r="S419" s="452" t="s">
        <v>566</v>
      </c>
      <c r="T419" s="453">
        <v>43160</v>
      </c>
      <c r="U419" s="448"/>
      <c r="V419" s="491"/>
      <c r="W419" s="448"/>
    </row>
    <row r="420" spans="1:253" s="458" customFormat="1" ht="45" x14ac:dyDescent="0.2">
      <c r="A420" s="444">
        <v>8637</v>
      </c>
      <c r="B420" s="445" t="s">
        <v>51</v>
      </c>
      <c r="C420" s="445" t="s">
        <v>52</v>
      </c>
      <c r="D420" s="445"/>
      <c r="E420" s="445"/>
      <c r="F420" s="445"/>
      <c r="G420" s="446">
        <v>5</v>
      </c>
      <c r="H420" s="445">
        <v>7</v>
      </c>
      <c r="I420" s="445"/>
      <c r="J420" s="445">
        <v>2</v>
      </c>
      <c r="K420" s="447">
        <v>6</v>
      </c>
      <c r="L420" s="445" t="s">
        <v>565</v>
      </c>
      <c r="M420" s="445">
        <v>2</v>
      </c>
      <c r="N420" s="445" t="s">
        <v>461</v>
      </c>
      <c r="O420" s="464" t="s">
        <v>1460</v>
      </c>
      <c r="P420" s="450">
        <v>5.87</v>
      </c>
      <c r="Q420" s="451">
        <f t="shared" si="11"/>
        <v>5.87</v>
      </c>
      <c r="R420" s="451">
        <f>SUMIF('Wege im Detail'!$A:$A,"008637",'Wege im Detail'!$P:$P)</f>
        <v>46.429000000000002</v>
      </c>
      <c r="S420" s="452" t="s">
        <v>566</v>
      </c>
      <c r="T420" s="453">
        <v>43160</v>
      </c>
      <c r="U420" s="448"/>
      <c r="V420" s="491"/>
      <c r="W420" s="448"/>
    </row>
    <row r="421" spans="1:253" s="458" customFormat="1" ht="45" x14ac:dyDescent="0.2">
      <c r="A421" s="444">
        <v>8637</v>
      </c>
      <c r="B421" s="445" t="s">
        <v>51</v>
      </c>
      <c r="C421" s="445" t="s">
        <v>52</v>
      </c>
      <c r="D421" s="445"/>
      <c r="E421" s="445"/>
      <c r="F421" s="445"/>
      <c r="G421" s="446">
        <v>5</v>
      </c>
      <c r="H421" s="445">
        <v>7</v>
      </c>
      <c r="I421" s="445"/>
      <c r="J421" s="445">
        <v>3</v>
      </c>
      <c r="K421" s="447">
        <v>6</v>
      </c>
      <c r="L421" s="445" t="s">
        <v>565</v>
      </c>
      <c r="M421" s="445">
        <v>2</v>
      </c>
      <c r="N421" s="445" t="s">
        <v>446</v>
      </c>
      <c r="O421" s="464" t="s">
        <v>1461</v>
      </c>
      <c r="P421" s="450">
        <v>5.8659999999999997</v>
      </c>
      <c r="Q421" s="451">
        <f t="shared" si="11"/>
        <v>5.8659999999999997</v>
      </c>
      <c r="R421" s="451">
        <f>SUMIF('Wege im Detail'!$A:$A,"008637",'Wege im Detail'!$P:$P)</f>
        <v>46.429000000000002</v>
      </c>
      <c r="S421" s="452" t="s">
        <v>566</v>
      </c>
      <c r="T421" s="453">
        <v>43160</v>
      </c>
      <c r="U421" s="448"/>
      <c r="V421" s="491"/>
      <c r="W421" s="448"/>
      <c r="X421" s="455"/>
      <c r="Y421" s="455"/>
      <c r="Z421" s="455"/>
      <c r="AA421" s="455"/>
      <c r="AB421" s="455"/>
      <c r="AC421" s="455"/>
      <c r="AD421" s="455"/>
      <c r="AE421" s="455"/>
      <c r="AF421" s="455"/>
      <c r="AG421" s="455"/>
      <c r="AH421" s="455"/>
      <c r="AI421" s="455"/>
      <c r="AJ421" s="455"/>
      <c r="AK421" s="455"/>
      <c r="AL421" s="455"/>
      <c r="AM421" s="455"/>
      <c r="AN421" s="455"/>
      <c r="AO421" s="455"/>
      <c r="AP421" s="455"/>
      <c r="AQ421" s="455"/>
      <c r="AR421" s="455"/>
      <c r="AS421" s="455"/>
      <c r="AT421" s="455"/>
      <c r="AU421" s="455"/>
      <c r="AV421" s="455"/>
      <c r="AW421" s="455"/>
      <c r="AX421" s="455"/>
      <c r="AY421" s="455"/>
      <c r="AZ421" s="455"/>
      <c r="BA421" s="455"/>
      <c r="BB421" s="455"/>
      <c r="BC421" s="455"/>
      <c r="BD421" s="455"/>
      <c r="BE421" s="455"/>
      <c r="BF421" s="455"/>
      <c r="BG421" s="455"/>
      <c r="BH421" s="455"/>
      <c r="BI421" s="455"/>
      <c r="BJ421" s="455"/>
      <c r="BK421" s="455"/>
      <c r="BL421" s="455"/>
      <c r="BM421" s="455"/>
      <c r="BN421" s="455"/>
      <c r="BO421" s="455"/>
      <c r="BP421" s="455"/>
      <c r="BQ421" s="455"/>
      <c r="BR421" s="455"/>
      <c r="BS421" s="455"/>
      <c r="BT421" s="455"/>
      <c r="BU421" s="455"/>
      <c r="BV421" s="455"/>
      <c r="BW421" s="455"/>
      <c r="BX421" s="455"/>
      <c r="BY421" s="455"/>
      <c r="BZ421" s="455"/>
      <c r="CA421" s="455"/>
      <c r="CB421" s="455"/>
      <c r="CC421" s="455"/>
      <c r="CD421" s="455"/>
      <c r="CE421" s="455"/>
      <c r="CF421" s="455"/>
      <c r="CG421" s="455"/>
      <c r="CH421" s="455"/>
      <c r="CI421" s="455"/>
      <c r="CJ421" s="455"/>
      <c r="CK421" s="455"/>
      <c r="CL421" s="455"/>
      <c r="CM421" s="455"/>
      <c r="CN421" s="455"/>
      <c r="CO421" s="455"/>
      <c r="CP421" s="455"/>
      <c r="CQ421" s="455"/>
      <c r="CR421" s="455"/>
      <c r="CS421" s="455"/>
      <c r="CT421" s="455"/>
      <c r="CU421" s="455"/>
      <c r="CV421" s="455"/>
      <c r="CW421" s="455"/>
      <c r="CX421" s="455"/>
      <c r="CY421" s="455"/>
      <c r="CZ421" s="455"/>
      <c r="DA421" s="455"/>
      <c r="DB421" s="455"/>
      <c r="DC421" s="455"/>
      <c r="DD421" s="455"/>
      <c r="DE421" s="455"/>
      <c r="DF421" s="455"/>
      <c r="DG421" s="455"/>
      <c r="DH421" s="455"/>
      <c r="DI421" s="455"/>
      <c r="DJ421" s="455"/>
      <c r="DK421" s="455"/>
      <c r="DL421" s="455"/>
      <c r="DM421" s="455"/>
      <c r="DN421" s="455"/>
      <c r="DO421" s="455"/>
      <c r="DP421" s="455"/>
      <c r="DQ421" s="455"/>
      <c r="DR421" s="455"/>
      <c r="DS421" s="455"/>
      <c r="DT421" s="455"/>
      <c r="DU421" s="455"/>
      <c r="DV421" s="455"/>
      <c r="DW421" s="455"/>
      <c r="DX421" s="455"/>
      <c r="DY421" s="455"/>
      <c r="DZ421" s="455"/>
      <c r="EA421" s="455"/>
      <c r="EB421" s="455"/>
      <c r="EC421" s="455"/>
      <c r="ED421" s="455"/>
      <c r="EE421" s="455"/>
      <c r="EF421" s="455"/>
      <c r="EG421" s="455"/>
      <c r="EH421" s="455"/>
      <c r="EI421" s="455"/>
      <c r="EJ421" s="455"/>
      <c r="EK421" s="455"/>
      <c r="EL421" s="455"/>
      <c r="EM421" s="455"/>
      <c r="EN421" s="455"/>
      <c r="EO421" s="455"/>
      <c r="EP421" s="455"/>
      <c r="EQ421" s="455"/>
      <c r="ER421" s="455"/>
      <c r="ES421" s="455"/>
      <c r="ET421" s="455"/>
      <c r="EU421" s="455"/>
      <c r="EV421" s="455"/>
      <c r="EW421" s="455"/>
      <c r="EX421" s="455"/>
      <c r="EY421" s="455"/>
      <c r="EZ421" s="455"/>
      <c r="FA421" s="455"/>
      <c r="FB421" s="455"/>
      <c r="FC421" s="455"/>
      <c r="FD421" s="455"/>
      <c r="FE421" s="455"/>
      <c r="FF421" s="455"/>
      <c r="FG421" s="455"/>
      <c r="FH421" s="455"/>
      <c r="FI421" s="455"/>
      <c r="FJ421" s="455"/>
      <c r="FK421" s="455"/>
      <c r="FL421" s="455"/>
      <c r="FM421" s="455"/>
      <c r="FN421" s="455"/>
      <c r="FO421" s="455"/>
      <c r="FP421" s="455"/>
      <c r="FQ421" s="455"/>
      <c r="FR421" s="455"/>
      <c r="FS421" s="455"/>
      <c r="FT421" s="455"/>
      <c r="FU421" s="455"/>
      <c r="FV421" s="455"/>
      <c r="FW421" s="455"/>
      <c r="FX421" s="455"/>
      <c r="FY421" s="455"/>
      <c r="FZ421" s="455"/>
      <c r="GA421" s="455"/>
      <c r="GB421" s="455"/>
      <c r="GC421" s="455"/>
      <c r="GD421" s="455"/>
      <c r="GE421" s="455"/>
      <c r="GF421" s="455"/>
      <c r="GG421" s="455"/>
      <c r="GH421" s="455"/>
      <c r="GI421" s="455"/>
      <c r="GJ421" s="455"/>
      <c r="GK421" s="455"/>
      <c r="GL421" s="455"/>
      <c r="GM421" s="455"/>
      <c r="GN421" s="455"/>
      <c r="GO421" s="455"/>
      <c r="GP421" s="455"/>
      <c r="GQ421" s="455"/>
      <c r="GR421" s="455"/>
      <c r="GS421" s="455"/>
      <c r="GT421" s="455"/>
      <c r="GU421" s="455"/>
      <c r="GV421" s="455"/>
      <c r="GW421" s="455"/>
      <c r="GX421" s="455"/>
      <c r="GY421" s="455"/>
      <c r="GZ421" s="455"/>
      <c r="HA421" s="455"/>
      <c r="HB421" s="455"/>
      <c r="HC421" s="455"/>
      <c r="HD421" s="455"/>
      <c r="HE421" s="455"/>
      <c r="HF421" s="455"/>
      <c r="HG421" s="455"/>
      <c r="HH421" s="455"/>
      <c r="HI421" s="455"/>
      <c r="HJ421" s="455"/>
      <c r="HK421" s="455"/>
      <c r="HL421" s="455"/>
      <c r="HM421" s="455"/>
      <c r="HN421" s="455"/>
      <c r="HO421" s="455"/>
      <c r="HP421" s="455"/>
      <c r="HQ421" s="455"/>
      <c r="HR421" s="455"/>
      <c r="HS421" s="455"/>
      <c r="HT421" s="455"/>
      <c r="HU421" s="455"/>
      <c r="HV421" s="455"/>
      <c r="HW421" s="455"/>
      <c r="HX421" s="455"/>
      <c r="HY421" s="455"/>
      <c r="HZ421" s="455"/>
      <c r="IA421" s="455"/>
      <c r="IB421" s="455"/>
      <c r="IC421" s="455"/>
      <c r="ID421" s="455"/>
      <c r="IE421" s="455"/>
      <c r="IF421" s="455"/>
      <c r="IG421" s="455"/>
      <c r="IH421" s="455"/>
      <c r="II421" s="455"/>
      <c r="IJ421" s="455"/>
      <c r="IK421" s="455"/>
      <c r="IL421" s="455"/>
      <c r="IM421" s="455"/>
      <c r="IN421" s="455"/>
      <c r="IO421" s="455"/>
      <c r="IP421" s="455"/>
      <c r="IQ421" s="455"/>
      <c r="IR421" s="455"/>
      <c r="IS421" s="455"/>
    </row>
    <row r="422" spans="1:253" s="458" customFormat="1" ht="56.25" x14ac:dyDescent="0.2">
      <c r="A422" s="444">
        <v>8637</v>
      </c>
      <c r="B422" s="445" t="s">
        <v>51</v>
      </c>
      <c r="C422" s="445" t="s">
        <v>52</v>
      </c>
      <c r="D422" s="445"/>
      <c r="E422" s="445"/>
      <c r="F422" s="445"/>
      <c r="G422" s="446">
        <v>5</v>
      </c>
      <c r="H422" s="445">
        <v>7</v>
      </c>
      <c r="I422" s="445"/>
      <c r="J422" s="445">
        <v>4</v>
      </c>
      <c r="K422" s="447">
        <v>6</v>
      </c>
      <c r="L422" s="445" t="s">
        <v>565</v>
      </c>
      <c r="M422" s="445">
        <v>2</v>
      </c>
      <c r="N422" s="445" t="s">
        <v>433</v>
      </c>
      <c r="O422" s="464" t="s">
        <v>1462</v>
      </c>
      <c r="P422" s="450">
        <v>10.039999999999999</v>
      </c>
      <c r="Q422" s="451">
        <f t="shared" si="11"/>
        <v>10.039999999999999</v>
      </c>
      <c r="R422" s="451">
        <f>SUMIF('Wege im Detail'!$A:$A,"008637",'Wege im Detail'!$P:$P)</f>
        <v>46.429000000000002</v>
      </c>
      <c r="S422" s="452" t="s">
        <v>566</v>
      </c>
      <c r="T422" s="453">
        <v>43160</v>
      </c>
      <c r="U422" s="448"/>
      <c r="V422" s="491"/>
      <c r="W422" s="448"/>
    </row>
    <row r="423" spans="1:253" s="458" customFormat="1" ht="56.25" x14ac:dyDescent="0.2">
      <c r="A423" s="444">
        <v>8637</v>
      </c>
      <c r="B423" s="445" t="s">
        <v>51</v>
      </c>
      <c r="C423" s="445" t="s">
        <v>52</v>
      </c>
      <c r="D423" s="445"/>
      <c r="E423" s="445"/>
      <c r="F423" s="445"/>
      <c r="G423" s="446">
        <v>5</v>
      </c>
      <c r="H423" s="445">
        <v>7</v>
      </c>
      <c r="I423" s="445"/>
      <c r="J423" s="445">
        <v>5</v>
      </c>
      <c r="K423" s="447">
        <v>6</v>
      </c>
      <c r="L423" s="445" t="s">
        <v>565</v>
      </c>
      <c r="M423" s="445">
        <v>2</v>
      </c>
      <c r="N423" s="445" t="s">
        <v>67</v>
      </c>
      <c r="O423" s="464" t="s">
        <v>1463</v>
      </c>
      <c r="P423" s="450">
        <v>11.265000000000001</v>
      </c>
      <c r="Q423" s="451">
        <f t="shared" si="11"/>
        <v>11.265000000000001</v>
      </c>
      <c r="R423" s="451">
        <f>SUMIF('Wege im Detail'!$A:$A,"008637",'Wege im Detail'!$P:$P)</f>
        <v>46.429000000000002</v>
      </c>
      <c r="S423" s="452" t="s">
        <v>566</v>
      </c>
      <c r="T423" s="453">
        <v>43160</v>
      </c>
      <c r="U423" s="448"/>
      <c r="W423" s="448"/>
    </row>
    <row r="424" spans="1:253" s="458" customFormat="1" ht="45" x14ac:dyDescent="0.2">
      <c r="A424" s="444">
        <v>8637</v>
      </c>
      <c r="B424" s="445" t="s">
        <v>51</v>
      </c>
      <c r="C424" s="445" t="s">
        <v>52</v>
      </c>
      <c r="D424" s="445"/>
      <c r="E424" s="445"/>
      <c r="F424" s="445"/>
      <c r="G424" s="446">
        <v>5</v>
      </c>
      <c r="H424" s="445">
        <v>7</v>
      </c>
      <c r="I424" s="445"/>
      <c r="J424" s="445">
        <v>6</v>
      </c>
      <c r="K424" s="447">
        <v>6</v>
      </c>
      <c r="L424" s="445" t="s">
        <v>565</v>
      </c>
      <c r="M424" s="445">
        <v>1</v>
      </c>
      <c r="N424" s="445" t="s">
        <v>425</v>
      </c>
      <c r="O424" s="464" t="s">
        <v>1464</v>
      </c>
      <c r="P424" s="450">
        <v>12.233000000000001</v>
      </c>
      <c r="Q424" s="451">
        <f t="shared" si="11"/>
        <v>12.233000000000001</v>
      </c>
      <c r="R424" s="451">
        <f>SUMIF('Wege im Detail'!$A:$A,"008637",'Wege im Detail'!$P:$P)</f>
        <v>46.429000000000002</v>
      </c>
      <c r="S424" s="452" t="s">
        <v>566</v>
      </c>
      <c r="T424" s="453">
        <v>43160</v>
      </c>
      <c r="U424" s="448"/>
      <c r="V424" s="491"/>
      <c r="W424" s="448"/>
    </row>
    <row r="425" spans="1:253" s="458" customFormat="1" ht="123.75" x14ac:dyDescent="0.2">
      <c r="A425" s="444">
        <v>8644</v>
      </c>
      <c r="B425" s="445" t="s">
        <v>84</v>
      </c>
      <c r="C425" s="445" t="s">
        <v>85</v>
      </c>
      <c r="D425" s="445"/>
      <c r="E425" s="445"/>
      <c r="F425" s="479"/>
      <c r="G425" s="446">
        <v>77</v>
      </c>
      <c r="H425" s="445" t="s">
        <v>569</v>
      </c>
      <c r="I425" s="445"/>
      <c r="J425" s="445"/>
      <c r="K425" s="447"/>
      <c r="L425" s="445" t="s">
        <v>570</v>
      </c>
      <c r="M425" s="445">
        <v>2</v>
      </c>
      <c r="N425" s="445" t="s">
        <v>458</v>
      </c>
      <c r="O425" s="464" t="s">
        <v>1465</v>
      </c>
      <c r="P425" s="450">
        <v>15.172000000000001</v>
      </c>
      <c r="Q425" s="451">
        <f t="shared" si="11"/>
        <v>15.172000000000001</v>
      </c>
      <c r="R425" s="451">
        <f>SUMIF('Wege im Detail'!$A:$A,"8644",'Wege im Detail'!$P:$P)</f>
        <v>15.172000000000001</v>
      </c>
      <c r="S425" s="452" t="s">
        <v>571</v>
      </c>
      <c r="T425" s="453">
        <v>43922</v>
      </c>
      <c r="U425" s="448"/>
      <c r="W425" s="448"/>
      <c r="X425" s="455"/>
      <c r="Y425" s="455"/>
      <c r="Z425" s="455"/>
      <c r="AA425" s="455"/>
      <c r="AB425" s="455"/>
      <c r="AC425" s="455"/>
      <c r="AD425" s="455"/>
      <c r="AE425" s="455"/>
      <c r="AF425" s="455"/>
      <c r="AG425" s="455"/>
      <c r="AH425" s="455"/>
      <c r="AI425" s="455"/>
      <c r="AJ425" s="455"/>
      <c r="AK425" s="455"/>
      <c r="AL425" s="455"/>
      <c r="AM425" s="455"/>
      <c r="AN425" s="455"/>
      <c r="AO425" s="455"/>
      <c r="AP425" s="455"/>
      <c r="AQ425" s="455"/>
      <c r="AR425" s="455"/>
      <c r="AS425" s="455"/>
      <c r="AT425" s="455"/>
      <c r="AU425" s="455"/>
      <c r="AV425" s="455"/>
      <c r="AW425" s="455"/>
      <c r="AX425" s="455"/>
      <c r="AY425" s="455"/>
      <c r="AZ425" s="455"/>
      <c r="BA425" s="455"/>
      <c r="BB425" s="455"/>
      <c r="BC425" s="455"/>
      <c r="BD425" s="455"/>
      <c r="BE425" s="455"/>
      <c r="BF425" s="455"/>
      <c r="BG425" s="455"/>
      <c r="BH425" s="455"/>
      <c r="BI425" s="455"/>
      <c r="BJ425" s="455"/>
      <c r="BK425" s="455"/>
      <c r="BL425" s="455"/>
      <c r="BM425" s="455"/>
      <c r="BN425" s="455"/>
      <c r="BO425" s="455"/>
      <c r="BP425" s="455"/>
      <c r="BQ425" s="455"/>
      <c r="BR425" s="455"/>
      <c r="BS425" s="455"/>
      <c r="BT425" s="455"/>
      <c r="BU425" s="455"/>
      <c r="BV425" s="455"/>
      <c r="BW425" s="455"/>
      <c r="BX425" s="455"/>
      <c r="BY425" s="455"/>
      <c r="BZ425" s="455"/>
      <c r="CA425" s="455"/>
      <c r="CB425" s="455"/>
      <c r="CC425" s="455"/>
      <c r="CD425" s="455"/>
      <c r="CE425" s="455"/>
      <c r="CF425" s="455"/>
      <c r="CG425" s="455"/>
      <c r="CH425" s="455"/>
      <c r="CI425" s="455"/>
      <c r="CJ425" s="455"/>
      <c r="CK425" s="455"/>
      <c r="CL425" s="455"/>
      <c r="CM425" s="455"/>
      <c r="CN425" s="455"/>
      <c r="CO425" s="455"/>
      <c r="CP425" s="455"/>
      <c r="CQ425" s="455"/>
      <c r="CR425" s="455"/>
      <c r="CS425" s="455"/>
      <c r="CT425" s="455"/>
      <c r="CU425" s="455"/>
      <c r="CV425" s="455"/>
      <c r="CW425" s="455"/>
      <c r="CX425" s="455"/>
      <c r="CY425" s="455"/>
      <c r="CZ425" s="455"/>
      <c r="DA425" s="455"/>
      <c r="DB425" s="455"/>
      <c r="DC425" s="455"/>
      <c r="DD425" s="455"/>
      <c r="DE425" s="455"/>
      <c r="DF425" s="455"/>
      <c r="DG425" s="455"/>
      <c r="DH425" s="455"/>
      <c r="DI425" s="455"/>
      <c r="DJ425" s="455"/>
      <c r="DK425" s="455"/>
      <c r="DL425" s="455"/>
      <c r="DM425" s="455"/>
      <c r="DN425" s="455"/>
      <c r="DO425" s="455"/>
      <c r="DP425" s="455"/>
      <c r="DQ425" s="455"/>
      <c r="DR425" s="455"/>
      <c r="DS425" s="455"/>
      <c r="DT425" s="455"/>
      <c r="DU425" s="455"/>
      <c r="DV425" s="455"/>
      <c r="DW425" s="455"/>
      <c r="DX425" s="455"/>
      <c r="DY425" s="455"/>
      <c r="DZ425" s="455"/>
      <c r="EA425" s="455"/>
      <c r="EB425" s="455"/>
      <c r="EC425" s="455"/>
      <c r="ED425" s="455"/>
      <c r="EE425" s="455"/>
      <c r="EF425" s="455"/>
      <c r="EG425" s="455"/>
      <c r="EH425" s="455"/>
      <c r="EI425" s="455"/>
      <c r="EJ425" s="455"/>
      <c r="EK425" s="455"/>
      <c r="EL425" s="455"/>
      <c r="EM425" s="455"/>
      <c r="EN425" s="455"/>
      <c r="EO425" s="455"/>
      <c r="EP425" s="455"/>
      <c r="EQ425" s="455"/>
      <c r="ER425" s="455"/>
      <c r="ES425" s="455"/>
      <c r="ET425" s="455"/>
      <c r="EU425" s="455"/>
      <c r="EV425" s="455"/>
      <c r="EW425" s="455"/>
      <c r="EX425" s="455"/>
      <c r="EY425" s="455"/>
      <c r="EZ425" s="455"/>
      <c r="FA425" s="455"/>
      <c r="FB425" s="455"/>
      <c r="FC425" s="455"/>
      <c r="FD425" s="455"/>
      <c r="FE425" s="455"/>
      <c r="FF425" s="455"/>
      <c r="FG425" s="455"/>
      <c r="FH425" s="455"/>
      <c r="FI425" s="455"/>
      <c r="FJ425" s="455"/>
      <c r="FK425" s="455"/>
      <c r="FL425" s="455"/>
      <c r="FM425" s="455"/>
      <c r="FN425" s="455"/>
      <c r="FO425" s="455"/>
      <c r="FP425" s="455"/>
      <c r="FQ425" s="455"/>
      <c r="FR425" s="455"/>
      <c r="FS425" s="455"/>
      <c r="FT425" s="455"/>
      <c r="FU425" s="455"/>
      <c r="FV425" s="455"/>
      <c r="FW425" s="455"/>
      <c r="FX425" s="455"/>
      <c r="FY425" s="455"/>
      <c r="FZ425" s="455"/>
      <c r="GA425" s="455"/>
      <c r="GB425" s="455"/>
      <c r="GC425" s="455"/>
      <c r="GD425" s="455"/>
      <c r="GE425" s="455"/>
      <c r="GF425" s="455"/>
      <c r="GG425" s="455"/>
      <c r="GH425" s="455"/>
      <c r="GI425" s="455"/>
      <c r="GJ425" s="455"/>
      <c r="GK425" s="455"/>
      <c r="GL425" s="455"/>
      <c r="GM425" s="455"/>
      <c r="GN425" s="455"/>
      <c r="GO425" s="455"/>
      <c r="GP425" s="455"/>
      <c r="GQ425" s="455"/>
      <c r="GR425" s="455"/>
      <c r="GS425" s="455"/>
      <c r="GT425" s="455"/>
      <c r="GU425" s="455"/>
      <c r="GV425" s="455"/>
      <c r="GW425" s="455"/>
      <c r="GX425" s="455"/>
      <c r="GY425" s="455"/>
      <c r="GZ425" s="455"/>
      <c r="HA425" s="455"/>
      <c r="HB425" s="455"/>
      <c r="HC425" s="455"/>
      <c r="HD425" s="455"/>
      <c r="HE425" s="455"/>
      <c r="HF425" s="455"/>
      <c r="HG425" s="455"/>
      <c r="HH425" s="455"/>
      <c r="HI425" s="455"/>
      <c r="HJ425" s="455"/>
      <c r="HK425" s="455"/>
      <c r="HL425" s="455"/>
      <c r="HM425" s="455"/>
      <c r="HN425" s="455"/>
      <c r="HO425" s="455"/>
      <c r="HP425" s="455"/>
      <c r="HQ425" s="455"/>
      <c r="HR425" s="455"/>
      <c r="HS425" s="455"/>
      <c r="HT425" s="455"/>
      <c r="HU425" s="455"/>
      <c r="HV425" s="455"/>
      <c r="HW425" s="455"/>
      <c r="HX425" s="455"/>
      <c r="HY425" s="455"/>
      <c r="HZ425" s="455"/>
      <c r="IA425" s="455"/>
      <c r="IB425" s="455"/>
      <c r="IC425" s="455"/>
      <c r="ID425" s="455"/>
      <c r="IE425" s="455"/>
      <c r="IF425" s="455"/>
      <c r="IG425" s="455"/>
      <c r="IH425" s="455"/>
      <c r="II425" s="455"/>
      <c r="IJ425" s="455"/>
      <c r="IK425" s="455"/>
      <c r="IL425" s="455"/>
      <c r="IM425" s="455"/>
      <c r="IN425" s="455"/>
      <c r="IO425" s="455"/>
      <c r="IP425" s="455"/>
      <c r="IQ425" s="455"/>
      <c r="IR425" s="455"/>
      <c r="IS425" s="455"/>
    </row>
    <row r="426" spans="1:253" s="458" customFormat="1" ht="56.25" x14ac:dyDescent="0.2">
      <c r="A426" s="444">
        <v>8649</v>
      </c>
      <c r="B426" s="445" t="s">
        <v>84</v>
      </c>
      <c r="C426" s="445" t="s">
        <v>85</v>
      </c>
      <c r="D426" s="445"/>
      <c r="E426" s="445"/>
      <c r="F426" s="479"/>
      <c r="G426" s="446">
        <v>78</v>
      </c>
      <c r="H426" s="445" t="s">
        <v>573</v>
      </c>
      <c r="I426" s="445"/>
      <c r="J426" s="445"/>
      <c r="K426" s="447"/>
      <c r="L426" s="445" t="s">
        <v>574</v>
      </c>
      <c r="M426" s="445">
        <v>3</v>
      </c>
      <c r="N426" s="445" t="s">
        <v>220</v>
      </c>
      <c r="O426" s="449" t="s">
        <v>1466</v>
      </c>
      <c r="P426" s="450">
        <v>4.8719999999999999</v>
      </c>
      <c r="Q426" s="451">
        <f t="shared" si="11"/>
        <v>4.8719999999999999</v>
      </c>
      <c r="R426" s="451">
        <f>SUMIF('Wege im Detail'!$A:$A,"8649",'Wege im Detail'!$P:$P)</f>
        <v>4.8719999999999999</v>
      </c>
      <c r="S426" s="452" t="s">
        <v>575</v>
      </c>
      <c r="T426" s="453">
        <v>43922</v>
      </c>
      <c r="U426" s="448"/>
      <c r="W426" s="448"/>
    </row>
    <row r="427" spans="1:253" s="458" customFormat="1" ht="78.75" x14ac:dyDescent="0.2">
      <c r="A427" s="444">
        <v>8650</v>
      </c>
      <c r="B427" s="445" t="s">
        <v>84</v>
      </c>
      <c r="C427" s="445" t="s">
        <v>85</v>
      </c>
      <c r="D427" s="445"/>
      <c r="E427" s="445"/>
      <c r="F427" s="479"/>
      <c r="G427" s="446">
        <v>233</v>
      </c>
      <c r="H427" s="445" t="s">
        <v>577</v>
      </c>
      <c r="I427" s="445"/>
      <c r="J427" s="445"/>
      <c r="K427" s="447"/>
      <c r="L427" s="445" t="s">
        <v>578</v>
      </c>
      <c r="M427" s="445">
        <v>3</v>
      </c>
      <c r="N427" s="445" t="s">
        <v>220</v>
      </c>
      <c r="O427" s="449" t="s">
        <v>1467</v>
      </c>
      <c r="P427" s="450">
        <v>14.58</v>
      </c>
      <c r="Q427" s="451">
        <f t="shared" si="11"/>
        <v>14.58</v>
      </c>
      <c r="R427" s="451">
        <f>SUMIF('Wege im Detail'!$A:$A,"8650",'Wege im Detail'!$P:$P)</f>
        <v>14.58</v>
      </c>
      <c r="S427" s="452" t="s">
        <v>579</v>
      </c>
      <c r="T427" s="453">
        <v>44501</v>
      </c>
      <c r="U427" s="477" t="s">
        <v>1468</v>
      </c>
      <c r="W427" s="448"/>
    </row>
    <row r="428" spans="1:253" s="458" customFormat="1" ht="67.5" x14ac:dyDescent="0.2">
      <c r="A428" s="444">
        <v>8651</v>
      </c>
      <c r="B428" s="445" t="s">
        <v>84</v>
      </c>
      <c r="C428" s="445" t="s">
        <v>85</v>
      </c>
      <c r="D428" s="445"/>
      <c r="E428" s="445"/>
      <c r="F428" s="479"/>
      <c r="G428" s="446">
        <v>266</v>
      </c>
      <c r="H428" s="445" t="s">
        <v>580</v>
      </c>
      <c r="I428" s="445"/>
      <c r="J428" s="445"/>
      <c r="K428" s="447"/>
      <c r="L428" s="445" t="s">
        <v>172</v>
      </c>
      <c r="M428" s="445">
        <v>2</v>
      </c>
      <c r="N428" s="445" t="s">
        <v>458</v>
      </c>
      <c r="O428" s="464" t="s">
        <v>1469</v>
      </c>
      <c r="P428" s="450">
        <v>5.84</v>
      </c>
      <c r="Q428" s="451">
        <f t="shared" si="11"/>
        <v>5.84</v>
      </c>
      <c r="R428" s="451">
        <f>SUMIF('Wege im Detail'!$A:$A,"8651",'Wege im Detail'!$P:$P)</f>
        <v>5.84</v>
      </c>
      <c r="S428" s="452" t="s">
        <v>581</v>
      </c>
      <c r="T428" s="453">
        <v>43922</v>
      </c>
      <c r="U428" s="448"/>
      <c r="W428" s="448"/>
    </row>
    <row r="429" spans="1:253" s="458" customFormat="1" ht="67.5" x14ac:dyDescent="0.2">
      <c r="A429" s="444">
        <v>8652</v>
      </c>
      <c r="B429" s="445" t="s">
        <v>84</v>
      </c>
      <c r="C429" s="445" t="s">
        <v>85</v>
      </c>
      <c r="D429" s="445"/>
      <c r="E429" s="445"/>
      <c r="F429" s="479"/>
      <c r="G429" s="446">
        <v>207</v>
      </c>
      <c r="H429" s="445" t="s">
        <v>583</v>
      </c>
      <c r="I429" s="445"/>
      <c r="J429" s="445"/>
      <c r="K429" s="447"/>
      <c r="L429" s="445" t="s">
        <v>163</v>
      </c>
      <c r="M429" s="445">
        <v>2</v>
      </c>
      <c r="N429" s="445" t="s">
        <v>458</v>
      </c>
      <c r="O429" s="464" t="s">
        <v>1470</v>
      </c>
      <c r="P429" s="450">
        <v>10.773</v>
      </c>
      <c r="Q429" s="451">
        <f t="shared" si="11"/>
        <v>10.773</v>
      </c>
      <c r="R429" s="451">
        <f>SUMIF('Wege im Detail'!$A:$A,"8652",'Wege im Detail'!$P:$P)</f>
        <v>10.773</v>
      </c>
      <c r="S429" s="452" t="s">
        <v>584</v>
      </c>
      <c r="T429" s="453">
        <v>43922</v>
      </c>
      <c r="U429" s="448"/>
      <c r="W429" s="448"/>
    </row>
    <row r="430" spans="1:253" s="458" customFormat="1" ht="45" x14ac:dyDescent="0.2">
      <c r="A430" s="444">
        <v>8653</v>
      </c>
      <c r="B430" s="445" t="s">
        <v>84</v>
      </c>
      <c r="C430" s="445" t="s">
        <v>85</v>
      </c>
      <c r="D430" s="445"/>
      <c r="E430" s="445"/>
      <c r="F430" s="479"/>
      <c r="G430" s="446">
        <v>81</v>
      </c>
      <c r="H430" s="445" t="s">
        <v>586</v>
      </c>
      <c r="I430" s="445"/>
      <c r="J430" s="445"/>
      <c r="K430" s="447"/>
      <c r="L430" s="445" t="s">
        <v>587</v>
      </c>
      <c r="M430" s="445">
        <v>3</v>
      </c>
      <c r="N430" s="445" t="s">
        <v>220</v>
      </c>
      <c r="O430" s="449" t="s">
        <v>1471</v>
      </c>
      <c r="P430" s="450">
        <v>6.2969999999999997</v>
      </c>
      <c r="Q430" s="451">
        <f t="shared" si="11"/>
        <v>6.2969999999999997</v>
      </c>
      <c r="R430" s="451">
        <f>SUMIF('Wege im Detail'!$A:$A,"8653",'Wege im Detail'!$P:$P)</f>
        <v>6.2969999999999997</v>
      </c>
      <c r="S430" s="452" t="s">
        <v>588</v>
      </c>
      <c r="T430" s="453">
        <v>43922</v>
      </c>
      <c r="U430" s="448"/>
      <c r="W430" s="448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/>
      <c r="AH430" s="455"/>
      <c r="AI430" s="455"/>
      <c r="AJ430" s="455"/>
      <c r="AK430" s="455"/>
      <c r="AL430" s="455"/>
      <c r="AM430" s="455"/>
      <c r="AN430" s="455"/>
      <c r="AO430" s="455"/>
      <c r="AP430" s="455"/>
      <c r="AQ430" s="455"/>
      <c r="AR430" s="455"/>
      <c r="AS430" s="455"/>
      <c r="AT430" s="455"/>
      <c r="AU430" s="455"/>
      <c r="AV430" s="455"/>
      <c r="AW430" s="455"/>
      <c r="AX430" s="455"/>
      <c r="AY430" s="455"/>
      <c r="AZ430" s="455"/>
      <c r="BA430" s="455"/>
      <c r="BB430" s="455"/>
      <c r="BC430" s="455"/>
      <c r="BD430" s="455"/>
      <c r="BE430" s="455"/>
      <c r="BF430" s="455"/>
      <c r="BG430" s="455"/>
      <c r="BH430" s="455"/>
      <c r="BI430" s="455"/>
      <c r="BJ430" s="455"/>
      <c r="BK430" s="455"/>
      <c r="BL430" s="455"/>
      <c r="BM430" s="455"/>
      <c r="BN430" s="455"/>
      <c r="BO430" s="455"/>
      <c r="BP430" s="455"/>
      <c r="BQ430" s="455"/>
      <c r="BR430" s="455"/>
      <c r="BS430" s="455"/>
      <c r="BT430" s="455"/>
      <c r="BU430" s="455"/>
      <c r="BV430" s="455"/>
      <c r="BW430" s="455"/>
      <c r="BX430" s="455"/>
      <c r="BY430" s="455"/>
      <c r="BZ430" s="455"/>
      <c r="CA430" s="455"/>
      <c r="CB430" s="455"/>
      <c r="CC430" s="455"/>
      <c r="CD430" s="455"/>
      <c r="CE430" s="455"/>
      <c r="CF430" s="455"/>
      <c r="CG430" s="455"/>
      <c r="CH430" s="455"/>
      <c r="CI430" s="455"/>
      <c r="CJ430" s="455"/>
      <c r="CK430" s="455"/>
      <c r="CL430" s="455"/>
      <c r="CM430" s="455"/>
      <c r="CN430" s="455"/>
      <c r="CO430" s="455"/>
      <c r="CP430" s="455"/>
      <c r="CQ430" s="455"/>
      <c r="CR430" s="455"/>
      <c r="CS430" s="455"/>
      <c r="CT430" s="455"/>
      <c r="CU430" s="455"/>
      <c r="CV430" s="455"/>
      <c r="CW430" s="455"/>
      <c r="CX430" s="455"/>
      <c r="CY430" s="455"/>
      <c r="CZ430" s="455"/>
      <c r="DA430" s="455"/>
      <c r="DB430" s="455"/>
      <c r="DC430" s="455"/>
      <c r="DD430" s="455"/>
      <c r="DE430" s="455"/>
      <c r="DF430" s="455"/>
      <c r="DG430" s="455"/>
      <c r="DH430" s="455"/>
      <c r="DI430" s="455"/>
      <c r="DJ430" s="455"/>
      <c r="DK430" s="455"/>
      <c r="DL430" s="455"/>
      <c r="DM430" s="455"/>
      <c r="DN430" s="455"/>
      <c r="DO430" s="455"/>
      <c r="DP430" s="455"/>
      <c r="DQ430" s="455"/>
      <c r="DR430" s="455"/>
      <c r="DS430" s="455"/>
      <c r="DT430" s="455"/>
      <c r="DU430" s="455"/>
      <c r="DV430" s="455"/>
      <c r="DW430" s="455"/>
      <c r="DX430" s="455"/>
      <c r="DY430" s="455"/>
      <c r="DZ430" s="455"/>
      <c r="EA430" s="455"/>
      <c r="EB430" s="455"/>
      <c r="EC430" s="455"/>
      <c r="ED430" s="455"/>
      <c r="EE430" s="455"/>
      <c r="EF430" s="455"/>
      <c r="EG430" s="455"/>
      <c r="EH430" s="455"/>
      <c r="EI430" s="455"/>
      <c r="EJ430" s="455"/>
      <c r="EK430" s="455"/>
      <c r="EL430" s="455"/>
      <c r="EM430" s="455"/>
      <c r="EN430" s="455"/>
      <c r="EO430" s="455"/>
      <c r="EP430" s="455"/>
      <c r="EQ430" s="455"/>
      <c r="ER430" s="455"/>
      <c r="ES430" s="455"/>
      <c r="ET430" s="455"/>
      <c r="EU430" s="455"/>
      <c r="EV430" s="455"/>
      <c r="EW430" s="455"/>
      <c r="EX430" s="455"/>
      <c r="EY430" s="455"/>
      <c r="EZ430" s="455"/>
      <c r="FA430" s="455"/>
      <c r="FB430" s="455"/>
      <c r="FC430" s="455"/>
      <c r="FD430" s="455"/>
      <c r="FE430" s="455"/>
      <c r="FF430" s="455"/>
      <c r="FG430" s="455"/>
      <c r="FH430" s="455"/>
      <c r="FI430" s="455"/>
      <c r="FJ430" s="455"/>
      <c r="FK430" s="455"/>
      <c r="FL430" s="455"/>
      <c r="FM430" s="455"/>
      <c r="FN430" s="455"/>
      <c r="FO430" s="455"/>
      <c r="FP430" s="455"/>
      <c r="FQ430" s="455"/>
      <c r="FR430" s="455"/>
      <c r="FS430" s="455"/>
      <c r="FT430" s="455"/>
      <c r="FU430" s="455"/>
      <c r="FV430" s="455"/>
      <c r="FW430" s="455"/>
      <c r="FX430" s="455"/>
      <c r="FY430" s="455"/>
      <c r="FZ430" s="455"/>
      <c r="GA430" s="455"/>
      <c r="GB430" s="455"/>
      <c r="GC430" s="455"/>
      <c r="GD430" s="455"/>
      <c r="GE430" s="455"/>
      <c r="GF430" s="455"/>
      <c r="GG430" s="455"/>
      <c r="GH430" s="455"/>
      <c r="GI430" s="455"/>
      <c r="GJ430" s="455"/>
      <c r="GK430" s="455"/>
      <c r="GL430" s="455"/>
      <c r="GM430" s="455"/>
      <c r="GN430" s="455"/>
      <c r="GO430" s="455"/>
      <c r="GP430" s="455"/>
      <c r="GQ430" s="455"/>
      <c r="GR430" s="455"/>
      <c r="GS430" s="455"/>
      <c r="GT430" s="455"/>
      <c r="GU430" s="455"/>
      <c r="GV430" s="455"/>
      <c r="GW430" s="455"/>
      <c r="GX430" s="455"/>
      <c r="GY430" s="455"/>
      <c r="GZ430" s="455"/>
      <c r="HA430" s="455"/>
      <c r="HB430" s="455"/>
      <c r="HC430" s="455"/>
      <c r="HD430" s="455"/>
      <c r="HE430" s="455"/>
      <c r="HF430" s="455"/>
      <c r="HG430" s="455"/>
      <c r="HH430" s="455"/>
      <c r="HI430" s="455"/>
      <c r="HJ430" s="455"/>
      <c r="HK430" s="455"/>
      <c r="HL430" s="455"/>
      <c r="HM430" s="455"/>
      <c r="HN430" s="455"/>
      <c r="HO430" s="455"/>
      <c r="HP430" s="455"/>
      <c r="HQ430" s="455"/>
      <c r="HR430" s="455"/>
      <c r="HS430" s="455"/>
      <c r="HT430" s="455"/>
      <c r="HU430" s="455"/>
      <c r="HV430" s="455"/>
      <c r="HW430" s="455"/>
      <c r="HX430" s="455"/>
      <c r="HY430" s="455"/>
      <c r="HZ430" s="455"/>
      <c r="IA430" s="455"/>
      <c r="IB430" s="455"/>
      <c r="IC430" s="455"/>
      <c r="ID430" s="455"/>
      <c r="IE430" s="455"/>
      <c r="IF430" s="455"/>
      <c r="IG430" s="455"/>
      <c r="IH430" s="455"/>
      <c r="II430" s="455"/>
      <c r="IJ430" s="455"/>
      <c r="IK430" s="455"/>
      <c r="IL430" s="455"/>
      <c r="IM430" s="455"/>
      <c r="IN430" s="455"/>
      <c r="IO430" s="455"/>
      <c r="IP430" s="455"/>
      <c r="IQ430" s="455"/>
      <c r="IR430" s="455"/>
      <c r="IS430" s="455"/>
    </row>
    <row r="431" spans="1:253" s="458" customFormat="1" ht="78.75" x14ac:dyDescent="0.2">
      <c r="A431" s="444">
        <v>8654</v>
      </c>
      <c r="B431" s="445" t="s">
        <v>84</v>
      </c>
      <c r="C431" s="445" t="s">
        <v>85</v>
      </c>
      <c r="D431" s="445"/>
      <c r="E431" s="445"/>
      <c r="F431" s="479"/>
      <c r="G431" s="446">
        <v>80</v>
      </c>
      <c r="H431" s="445" t="s">
        <v>590</v>
      </c>
      <c r="I431" s="445"/>
      <c r="J431" s="445"/>
      <c r="K431" s="447"/>
      <c r="L431" s="445" t="s">
        <v>591</v>
      </c>
      <c r="M431" s="445">
        <v>3</v>
      </c>
      <c r="N431" s="445" t="s">
        <v>220</v>
      </c>
      <c r="O431" s="449" t="s">
        <v>1472</v>
      </c>
      <c r="P431" s="450">
        <v>8.0500000000000007</v>
      </c>
      <c r="Q431" s="451">
        <f t="shared" ref="Q431:Q462" si="12">P431</f>
        <v>8.0500000000000007</v>
      </c>
      <c r="R431" s="451">
        <f>SUMIF('Wege im Detail'!$A:$A,"8654",'Wege im Detail'!$P:$P)</f>
        <v>8.0500000000000007</v>
      </c>
      <c r="S431" s="452" t="s">
        <v>592</v>
      </c>
      <c r="T431" s="453">
        <v>43922</v>
      </c>
      <c r="U431" s="448"/>
      <c r="W431" s="448"/>
    </row>
    <row r="432" spans="1:253" s="458" customFormat="1" ht="67.5" x14ac:dyDescent="0.2">
      <c r="A432" s="444">
        <v>8655</v>
      </c>
      <c r="B432" s="445" t="s">
        <v>84</v>
      </c>
      <c r="C432" s="445" t="s">
        <v>85</v>
      </c>
      <c r="D432" s="445"/>
      <c r="E432" s="445"/>
      <c r="F432" s="445"/>
      <c r="G432" s="446">
        <v>287</v>
      </c>
      <c r="H432" s="445" t="s">
        <v>593</v>
      </c>
      <c r="I432" s="445"/>
      <c r="J432" s="445"/>
      <c r="K432" s="447"/>
      <c r="L432" s="445" t="s">
        <v>594</v>
      </c>
      <c r="M432" s="445">
        <v>3</v>
      </c>
      <c r="N432" s="445" t="s">
        <v>106</v>
      </c>
      <c r="O432" s="449" t="s">
        <v>1473</v>
      </c>
      <c r="P432" s="489">
        <v>9.157</v>
      </c>
      <c r="Q432" s="451">
        <f t="shared" si="12"/>
        <v>9.157</v>
      </c>
      <c r="R432" s="451">
        <f>SUMIF('Wege im Detail'!$A:$A,"8655",'Wege im Detail'!$P:$P)</f>
        <v>9.157</v>
      </c>
      <c r="S432" s="452" t="s">
        <v>595</v>
      </c>
      <c r="T432" s="453">
        <v>44228</v>
      </c>
      <c r="U432" s="448"/>
      <c r="V432" s="476"/>
      <c r="W432" s="448"/>
    </row>
    <row r="433" spans="1:253" s="458" customFormat="1" ht="78.75" x14ac:dyDescent="0.2">
      <c r="A433" s="444">
        <v>8656</v>
      </c>
      <c r="B433" s="445" t="s">
        <v>84</v>
      </c>
      <c r="C433" s="445" t="s">
        <v>85</v>
      </c>
      <c r="D433" s="445"/>
      <c r="E433" s="445"/>
      <c r="F433" s="445"/>
      <c r="G433" s="446">
        <v>288</v>
      </c>
      <c r="H433" s="445" t="s">
        <v>596</v>
      </c>
      <c r="I433" s="445"/>
      <c r="J433" s="445"/>
      <c r="K433" s="447"/>
      <c r="L433" s="445" t="s">
        <v>1474</v>
      </c>
      <c r="M433" s="445">
        <v>3</v>
      </c>
      <c r="N433" s="445" t="s">
        <v>106</v>
      </c>
      <c r="O433" s="449" t="s">
        <v>1475</v>
      </c>
      <c r="P433" s="489">
        <v>18.768000000000001</v>
      </c>
      <c r="Q433" s="451">
        <f t="shared" si="12"/>
        <v>18.768000000000001</v>
      </c>
      <c r="R433" s="451">
        <f>SUMIF('Wege im Detail'!$A:$A,"8656",'Wege im Detail'!$P:$P)</f>
        <v>18.768000000000001</v>
      </c>
      <c r="S433" s="452" t="s">
        <v>513</v>
      </c>
      <c r="T433" s="453">
        <v>44228</v>
      </c>
      <c r="U433" s="448"/>
      <c r="V433" s="476" t="s">
        <v>1476</v>
      </c>
      <c r="W433" s="448"/>
    </row>
    <row r="434" spans="1:253" s="458" customFormat="1" ht="67.5" x14ac:dyDescent="0.2">
      <c r="A434" s="438">
        <v>8667</v>
      </c>
      <c r="B434" s="445" t="s">
        <v>84</v>
      </c>
      <c r="C434" s="445" t="s">
        <v>85</v>
      </c>
      <c r="D434" s="445"/>
      <c r="E434" s="445"/>
      <c r="F434" s="479"/>
      <c r="G434" s="446">
        <v>201</v>
      </c>
      <c r="H434" s="445" t="s">
        <v>598</v>
      </c>
      <c r="I434" s="445"/>
      <c r="J434" s="445"/>
      <c r="K434" s="447"/>
      <c r="L434" s="445" t="s">
        <v>142</v>
      </c>
      <c r="M434" s="445">
        <v>2</v>
      </c>
      <c r="N434" s="445" t="s">
        <v>63</v>
      </c>
      <c r="O434" s="464" t="s">
        <v>1477</v>
      </c>
      <c r="P434" s="450">
        <v>6.2679999999999998</v>
      </c>
      <c r="Q434" s="451">
        <f t="shared" si="12"/>
        <v>6.2679999999999998</v>
      </c>
      <c r="R434" s="451">
        <f>SUMIF('Wege im Detail'!$A:$A,"8667",'Wege im Detail'!$P:$P)</f>
        <v>6.2679999999999998</v>
      </c>
      <c r="S434" s="452" t="s">
        <v>599</v>
      </c>
      <c r="T434" s="453">
        <v>43922</v>
      </c>
      <c r="U434" s="477" t="s">
        <v>1478</v>
      </c>
      <c r="W434" s="448"/>
    </row>
    <row r="435" spans="1:253" s="458" customFormat="1" ht="56.25" x14ac:dyDescent="0.2">
      <c r="A435" s="438">
        <v>8668</v>
      </c>
      <c r="B435" s="445" t="s">
        <v>84</v>
      </c>
      <c r="C435" s="445" t="s">
        <v>85</v>
      </c>
      <c r="D435" s="445"/>
      <c r="E435" s="445"/>
      <c r="F435" s="479"/>
      <c r="G435" s="446">
        <v>202</v>
      </c>
      <c r="H435" s="445" t="s">
        <v>600</v>
      </c>
      <c r="I435" s="445"/>
      <c r="J435" s="445"/>
      <c r="K435" s="447"/>
      <c r="L435" s="445" t="s">
        <v>147</v>
      </c>
      <c r="M435" s="445">
        <v>2</v>
      </c>
      <c r="N435" s="445" t="s">
        <v>63</v>
      </c>
      <c r="O435" s="464" t="s">
        <v>1479</v>
      </c>
      <c r="P435" s="450">
        <v>3.976</v>
      </c>
      <c r="Q435" s="451">
        <f t="shared" si="12"/>
        <v>3.976</v>
      </c>
      <c r="R435" s="451">
        <f>SUMIF('Wege im Detail'!$A:$A,"8668",'Wege im Detail'!$P:$P)</f>
        <v>3.976</v>
      </c>
      <c r="S435" s="452" t="s">
        <v>601</v>
      </c>
      <c r="T435" s="453">
        <v>43922</v>
      </c>
      <c r="U435" s="477" t="s">
        <v>1480</v>
      </c>
      <c r="W435" s="448"/>
      <c r="X435" s="455"/>
      <c r="Y435" s="455"/>
      <c r="Z435" s="455"/>
      <c r="AA435" s="455"/>
      <c r="AB435" s="455"/>
      <c r="AC435" s="455"/>
      <c r="AD435" s="455"/>
      <c r="AE435" s="455"/>
      <c r="AF435" s="455"/>
      <c r="AG435" s="455"/>
      <c r="AH435" s="455"/>
      <c r="AI435" s="455"/>
      <c r="AJ435" s="455"/>
      <c r="AK435" s="455"/>
      <c r="AL435" s="455"/>
      <c r="AM435" s="455"/>
      <c r="AN435" s="455"/>
      <c r="AO435" s="455"/>
      <c r="AP435" s="455"/>
      <c r="AQ435" s="455"/>
      <c r="AR435" s="455"/>
      <c r="AS435" s="455"/>
      <c r="AT435" s="455"/>
      <c r="AU435" s="455"/>
      <c r="AV435" s="455"/>
      <c r="AW435" s="455"/>
      <c r="AX435" s="455"/>
      <c r="AY435" s="455"/>
      <c r="AZ435" s="455"/>
      <c r="BA435" s="455"/>
      <c r="BB435" s="455"/>
      <c r="BC435" s="455"/>
      <c r="BD435" s="455"/>
      <c r="BE435" s="455"/>
      <c r="BF435" s="455"/>
      <c r="BG435" s="455"/>
      <c r="BH435" s="455"/>
      <c r="BI435" s="455"/>
      <c r="BJ435" s="455"/>
      <c r="BK435" s="455"/>
      <c r="BL435" s="455"/>
      <c r="BM435" s="455"/>
      <c r="BN435" s="455"/>
      <c r="BO435" s="455"/>
      <c r="BP435" s="455"/>
      <c r="BQ435" s="455"/>
      <c r="BR435" s="455"/>
      <c r="BS435" s="455"/>
      <c r="BT435" s="455"/>
      <c r="BU435" s="455"/>
      <c r="BV435" s="455"/>
      <c r="BW435" s="455"/>
      <c r="BX435" s="455"/>
      <c r="BY435" s="455"/>
      <c r="BZ435" s="455"/>
      <c r="CA435" s="455"/>
      <c r="CB435" s="455"/>
      <c r="CC435" s="455"/>
      <c r="CD435" s="455"/>
      <c r="CE435" s="455"/>
      <c r="CF435" s="455"/>
      <c r="CG435" s="455"/>
      <c r="CH435" s="455"/>
      <c r="CI435" s="455"/>
      <c r="CJ435" s="455"/>
      <c r="CK435" s="455"/>
      <c r="CL435" s="455"/>
      <c r="CM435" s="455"/>
      <c r="CN435" s="455"/>
      <c r="CO435" s="455"/>
      <c r="CP435" s="455"/>
      <c r="CQ435" s="455"/>
      <c r="CR435" s="455"/>
      <c r="CS435" s="455"/>
      <c r="CT435" s="455"/>
      <c r="CU435" s="455"/>
      <c r="CV435" s="455"/>
      <c r="CW435" s="455"/>
      <c r="CX435" s="455"/>
      <c r="CY435" s="455"/>
      <c r="CZ435" s="455"/>
      <c r="DA435" s="455"/>
      <c r="DB435" s="455"/>
      <c r="DC435" s="455"/>
      <c r="DD435" s="455"/>
      <c r="DE435" s="455"/>
      <c r="DF435" s="455"/>
      <c r="DG435" s="455"/>
      <c r="DH435" s="455"/>
      <c r="DI435" s="455"/>
      <c r="DJ435" s="455"/>
      <c r="DK435" s="455"/>
      <c r="DL435" s="455"/>
      <c r="DM435" s="455"/>
      <c r="DN435" s="455"/>
      <c r="DO435" s="455"/>
      <c r="DP435" s="455"/>
      <c r="DQ435" s="455"/>
      <c r="DR435" s="455"/>
      <c r="DS435" s="455"/>
      <c r="DT435" s="455"/>
      <c r="DU435" s="455"/>
      <c r="DV435" s="455"/>
      <c r="DW435" s="455"/>
      <c r="DX435" s="455"/>
      <c r="DY435" s="455"/>
      <c r="DZ435" s="455"/>
      <c r="EA435" s="455"/>
      <c r="EB435" s="455"/>
      <c r="EC435" s="455"/>
      <c r="ED435" s="455"/>
      <c r="EE435" s="455"/>
      <c r="EF435" s="455"/>
      <c r="EG435" s="455"/>
      <c r="EH435" s="455"/>
      <c r="EI435" s="455"/>
      <c r="EJ435" s="455"/>
      <c r="EK435" s="455"/>
      <c r="EL435" s="455"/>
      <c r="EM435" s="455"/>
      <c r="EN435" s="455"/>
      <c r="EO435" s="455"/>
      <c r="EP435" s="455"/>
      <c r="EQ435" s="455"/>
      <c r="ER435" s="455"/>
      <c r="ES435" s="455"/>
      <c r="ET435" s="455"/>
      <c r="EU435" s="455"/>
      <c r="EV435" s="455"/>
      <c r="EW435" s="455"/>
      <c r="EX435" s="455"/>
      <c r="EY435" s="455"/>
      <c r="EZ435" s="455"/>
      <c r="FA435" s="455"/>
      <c r="FB435" s="455"/>
      <c r="FC435" s="455"/>
      <c r="FD435" s="455"/>
      <c r="FE435" s="455"/>
      <c r="FF435" s="455"/>
      <c r="FG435" s="455"/>
      <c r="FH435" s="455"/>
      <c r="FI435" s="455"/>
      <c r="FJ435" s="455"/>
      <c r="FK435" s="455"/>
      <c r="FL435" s="455"/>
      <c r="FM435" s="455"/>
      <c r="FN435" s="455"/>
      <c r="FO435" s="455"/>
      <c r="FP435" s="455"/>
      <c r="FQ435" s="455"/>
      <c r="FR435" s="455"/>
      <c r="FS435" s="455"/>
      <c r="FT435" s="455"/>
      <c r="FU435" s="455"/>
      <c r="FV435" s="455"/>
      <c r="FW435" s="455"/>
      <c r="FX435" s="455"/>
      <c r="FY435" s="455"/>
      <c r="FZ435" s="455"/>
      <c r="GA435" s="455"/>
      <c r="GB435" s="455"/>
      <c r="GC435" s="455"/>
      <c r="GD435" s="455"/>
      <c r="GE435" s="455"/>
      <c r="GF435" s="455"/>
      <c r="GG435" s="455"/>
      <c r="GH435" s="455"/>
      <c r="GI435" s="455"/>
      <c r="GJ435" s="455"/>
      <c r="GK435" s="455"/>
      <c r="GL435" s="455"/>
      <c r="GM435" s="455"/>
      <c r="GN435" s="455"/>
      <c r="GO435" s="455"/>
      <c r="GP435" s="455"/>
      <c r="GQ435" s="455"/>
      <c r="GR435" s="455"/>
      <c r="GS435" s="455"/>
      <c r="GT435" s="455"/>
      <c r="GU435" s="455"/>
      <c r="GV435" s="455"/>
      <c r="GW435" s="455"/>
      <c r="GX435" s="455"/>
      <c r="GY435" s="455"/>
      <c r="GZ435" s="455"/>
      <c r="HA435" s="455"/>
      <c r="HB435" s="455"/>
      <c r="HC435" s="455"/>
      <c r="HD435" s="455"/>
      <c r="HE435" s="455"/>
      <c r="HF435" s="455"/>
      <c r="HG435" s="455"/>
      <c r="HH435" s="455"/>
      <c r="HI435" s="455"/>
      <c r="HJ435" s="455"/>
      <c r="HK435" s="455"/>
      <c r="HL435" s="455"/>
      <c r="HM435" s="455"/>
      <c r="HN435" s="455"/>
      <c r="HO435" s="455"/>
      <c r="HP435" s="455"/>
      <c r="HQ435" s="455"/>
      <c r="HR435" s="455"/>
      <c r="HS435" s="455"/>
      <c r="HT435" s="455"/>
      <c r="HU435" s="455"/>
      <c r="HV435" s="455"/>
      <c r="HW435" s="455"/>
      <c r="HX435" s="455"/>
      <c r="HY435" s="455"/>
      <c r="HZ435" s="455"/>
      <c r="IA435" s="455"/>
      <c r="IB435" s="455"/>
      <c r="IC435" s="455"/>
      <c r="ID435" s="455"/>
      <c r="IE435" s="455"/>
      <c r="IF435" s="455"/>
      <c r="IG435" s="455"/>
      <c r="IH435" s="455"/>
      <c r="II435" s="455"/>
      <c r="IJ435" s="455"/>
      <c r="IK435" s="455"/>
      <c r="IL435" s="455"/>
      <c r="IM435" s="455"/>
      <c r="IN435" s="455"/>
      <c r="IO435" s="455"/>
      <c r="IP435" s="455"/>
      <c r="IQ435" s="455"/>
      <c r="IR435" s="455"/>
      <c r="IS435" s="455"/>
    </row>
    <row r="436" spans="1:253" s="458" customFormat="1" ht="67.5" x14ac:dyDescent="0.2">
      <c r="A436" s="444">
        <v>8669</v>
      </c>
      <c r="B436" s="445" t="s">
        <v>84</v>
      </c>
      <c r="C436" s="445" t="s">
        <v>85</v>
      </c>
      <c r="D436" s="445"/>
      <c r="E436" s="445"/>
      <c r="F436" s="479"/>
      <c r="G436" s="446">
        <v>203</v>
      </c>
      <c r="H436" s="445" t="s">
        <v>602</v>
      </c>
      <c r="I436" s="445"/>
      <c r="J436" s="445"/>
      <c r="K436" s="447"/>
      <c r="L436" s="445" t="s">
        <v>133</v>
      </c>
      <c r="M436" s="445">
        <v>2</v>
      </c>
      <c r="N436" s="445" t="s">
        <v>63</v>
      </c>
      <c r="O436" s="464" t="s">
        <v>1481</v>
      </c>
      <c r="P436" s="450">
        <v>5.66</v>
      </c>
      <c r="Q436" s="451">
        <f t="shared" si="12"/>
        <v>5.66</v>
      </c>
      <c r="R436" s="451">
        <f>SUMIF('Wege im Detail'!$A:$A,"8669",'Wege im Detail'!$P:$P)</f>
        <v>5.66</v>
      </c>
      <c r="S436" s="452" t="s">
        <v>603</v>
      </c>
      <c r="T436" s="453">
        <v>43922</v>
      </c>
      <c r="U436" s="448"/>
      <c r="W436" s="448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/>
      <c r="AH436" s="455"/>
      <c r="AI436" s="455"/>
      <c r="AJ436" s="455"/>
      <c r="AK436" s="455"/>
      <c r="AL436" s="455"/>
      <c r="AM436" s="455"/>
      <c r="AN436" s="455"/>
      <c r="AO436" s="455"/>
      <c r="AP436" s="455"/>
      <c r="AQ436" s="455"/>
      <c r="AR436" s="455"/>
      <c r="AS436" s="455"/>
      <c r="AT436" s="455"/>
      <c r="AU436" s="455"/>
      <c r="AV436" s="455"/>
      <c r="AW436" s="455"/>
      <c r="AX436" s="455"/>
      <c r="AY436" s="455"/>
      <c r="AZ436" s="455"/>
      <c r="BA436" s="455"/>
      <c r="BB436" s="455"/>
      <c r="BC436" s="455"/>
      <c r="BD436" s="455"/>
      <c r="BE436" s="455"/>
      <c r="BF436" s="455"/>
      <c r="BG436" s="455"/>
      <c r="BH436" s="455"/>
      <c r="BI436" s="455"/>
      <c r="BJ436" s="455"/>
      <c r="BK436" s="455"/>
      <c r="BL436" s="455"/>
      <c r="BM436" s="455"/>
      <c r="BN436" s="455"/>
      <c r="BO436" s="455"/>
      <c r="BP436" s="455"/>
      <c r="BQ436" s="455"/>
      <c r="BR436" s="455"/>
      <c r="BS436" s="455"/>
      <c r="BT436" s="455"/>
      <c r="BU436" s="455"/>
      <c r="BV436" s="455"/>
      <c r="BW436" s="455"/>
      <c r="BX436" s="455"/>
      <c r="BY436" s="455"/>
      <c r="BZ436" s="455"/>
      <c r="CA436" s="455"/>
      <c r="CB436" s="455"/>
      <c r="CC436" s="455"/>
      <c r="CD436" s="455"/>
      <c r="CE436" s="455"/>
      <c r="CF436" s="455"/>
      <c r="CG436" s="455"/>
      <c r="CH436" s="455"/>
      <c r="CI436" s="455"/>
      <c r="CJ436" s="455"/>
      <c r="CK436" s="455"/>
      <c r="CL436" s="455"/>
      <c r="CM436" s="455"/>
      <c r="CN436" s="455"/>
      <c r="CO436" s="455"/>
      <c r="CP436" s="455"/>
      <c r="CQ436" s="455"/>
      <c r="CR436" s="455"/>
      <c r="CS436" s="455"/>
      <c r="CT436" s="455"/>
      <c r="CU436" s="455"/>
      <c r="CV436" s="455"/>
      <c r="CW436" s="455"/>
      <c r="CX436" s="455"/>
      <c r="CY436" s="455"/>
      <c r="CZ436" s="455"/>
      <c r="DA436" s="455"/>
      <c r="DB436" s="455"/>
      <c r="DC436" s="455"/>
      <c r="DD436" s="455"/>
      <c r="DE436" s="455"/>
      <c r="DF436" s="455"/>
      <c r="DG436" s="455"/>
      <c r="DH436" s="455"/>
      <c r="DI436" s="455"/>
      <c r="DJ436" s="455"/>
      <c r="DK436" s="455"/>
      <c r="DL436" s="455"/>
      <c r="DM436" s="455"/>
      <c r="DN436" s="455"/>
      <c r="DO436" s="455"/>
      <c r="DP436" s="455"/>
      <c r="DQ436" s="455"/>
      <c r="DR436" s="455"/>
      <c r="DS436" s="455"/>
      <c r="DT436" s="455"/>
      <c r="DU436" s="455"/>
      <c r="DV436" s="455"/>
      <c r="DW436" s="455"/>
      <c r="DX436" s="455"/>
      <c r="DY436" s="455"/>
      <c r="DZ436" s="455"/>
      <c r="EA436" s="455"/>
      <c r="EB436" s="455"/>
      <c r="EC436" s="455"/>
      <c r="ED436" s="455"/>
      <c r="EE436" s="455"/>
      <c r="EF436" s="455"/>
      <c r="EG436" s="455"/>
      <c r="EH436" s="455"/>
      <c r="EI436" s="455"/>
      <c r="EJ436" s="455"/>
      <c r="EK436" s="455"/>
      <c r="EL436" s="455"/>
      <c r="EM436" s="455"/>
      <c r="EN436" s="455"/>
      <c r="EO436" s="455"/>
      <c r="EP436" s="455"/>
      <c r="EQ436" s="455"/>
      <c r="ER436" s="455"/>
      <c r="ES436" s="455"/>
      <c r="ET436" s="455"/>
      <c r="EU436" s="455"/>
      <c r="EV436" s="455"/>
      <c r="EW436" s="455"/>
      <c r="EX436" s="455"/>
      <c r="EY436" s="455"/>
      <c r="EZ436" s="455"/>
      <c r="FA436" s="455"/>
      <c r="FB436" s="455"/>
      <c r="FC436" s="455"/>
      <c r="FD436" s="455"/>
      <c r="FE436" s="455"/>
      <c r="FF436" s="455"/>
      <c r="FG436" s="455"/>
      <c r="FH436" s="455"/>
      <c r="FI436" s="455"/>
      <c r="FJ436" s="455"/>
      <c r="FK436" s="455"/>
      <c r="FL436" s="455"/>
      <c r="FM436" s="455"/>
      <c r="FN436" s="455"/>
      <c r="FO436" s="455"/>
      <c r="FP436" s="455"/>
      <c r="FQ436" s="455"/>
      <c r="FR436" s="455"/>
      <c r="FS436" s="455"/>
      <c r="FT436" s="455"/>
      <c r="FU436" s="455"/>
      <c r="FV436" s="455"/>
      <c r="FW436" s="455"/>
      <c r="FX436" s="455"/>
      <c r="FY436" s="455"/>
      <c r="FZ436" s="455"/>
      <c r="GA436" s="455"/>
      <c r="GB436" s="455"/>
      <c r="GC436" s="455"/>
      <c r="GD436" s="455"/>
      <c r="GE436" s="455"/>
      <c r="GF436" s="455"/>
      <c r="GG436" s="455"/>
      <c r="GH436" s="455"/>
      <c r="GI436" s="455"/>
      <c r="GJ436" s="455"/>
      <c r="GK436" s="455"/>
      <c r="GL436" s="455"/>
      <c r="GM436" s="455"/>
      <c r="GN436" s="455"/>
      <c r="GO436" s="455"/>
      <c r="GP436" s="455"/>
      <c r="GQ436" s="455"/>
      <c r="GR436" s="455"/>
      <c r="GS436" s="455"/>
      <c r="GT436" s="455"/>
      <c r="GU436" s="455"/>
      <c r="GV436" s="455"/>
      <c r="GW436" s="455"/>
      <c r="GX436" s="455"/>
      <c r="GY436" s="455"/>
      <c r="GZ436" s="455"/>
      <c r="HA436" s="455"/>
      <c r="HB436" s="455"/>
      <c r="HC436" s="455"/>
      <c r="HD436" s="455"/>
      <c r="HE436" s="455"/>
      <c r="HF436" s="455"/>
      <c r="HG436" s="455"/>
      <c r="HH436" s="455"/>
      <c r="HI436" s="455"/>
      <c r="HJ436" s="455"/>
      <c r="HK436" s="455"/>
      <c r="HL436" s="455"/>
      <c r="HM436" s="455"/>
      <c r="HN436" s="455"/>
      <c r="HO436" s="455"/>
      <c r="HP436" s="455"/>
      <c r="HQ436" s="455"/>
      <c r="HR436" s="455"/>
      <c r="HS436" s="455"/>
      <c r="HT436" s="455"/>
      <c r="HU436" s="455"/>
      <c r="HV436" s="455"/>
      <c r="HW436" s="455"/>
      <c r="HX436" s="455"/>
      <c r="HY436" s="455"/>
      <c r="HZ436" s="455"/>
      <c r="IA436" s="455"/>
      <c r="IB436" s="455"/>
      <c r="IC436" s="455"/>
      <c r="ID436" s="455"/>
      <c r="IE436" s="455"/>
      <c r="IF436" s="455"/>
      <c r="IG436" s="455"/>
      <c r="IH436" s="455"/>
      <c r="II436" s="455"/>
      <c r="IJ436" s="455"/>
      <c r="IK436" s="455"/>
      <c r="IL436" s="455"/>
      <c r="IM436" s="455"/>
      <c r="IN436" s="455"/>
      <c r="IO436" s="455"/>
      <c r="IP436" s="455"/>
      <c r="IQ436" s="455"/>
      <c r="IR436" s="455"/>
      <c r="IS436" s="455"/>
    </row>
    <row r="437" spans="1:253" s="458" customFormat="1" ht="67.5" x14ac:dyDescent="0.2">
      <c r="A437" s="444">
        <v>8670</v>
      </c>
      <c r="B437" s="445" t="s">
        <v>84</v>
      </c>
      <c r="C437" s="445" t="s">
        <v>85</v>
      </c>
      <c r="D437" s="445"/>
      <c r="E437" s="445"/>
      <c r="F437" s="479"/>
      <c r="G437" s="446">
        <v>204</v>
      </c>
      <c r="H437" s="445" t="s">
        <v>1482</v>
      </c>
      <c r="I437" s="445"/>
      <c r="J437" s="445"/>
      <c r="K437" s="447"/>
      <c r="L437" s="445" t="s">
        <v>138</v>
      </c>
      <c r="M437" s="445">
        <v>2</v>
      </c>
      <c r="N437" s="445" t="s">
        <v>63</v>
      </c>
      <c r="O437" s="464" t="s">
        <v>1483</v>
      </c>
      <c r="P437" s="450">
        <v>6.9340000000000002</v>
      </c>
      <c r="Q437" s="451">
        <f t="shared" si="12"/>
        <v>6.9340000000000002</v>
      </c>
      <c r="R437" s="451">
        <f>SUMIF('Wege im Detail'!$A:$A,"8670",'Wege im Detail'!$P:$P)</f>
        <v>6.9340000000000002</v>
      </c>
      <c r="S437" s="452" t="s">
        <v>604</v>
      </c>
      <c r="T437" s="453">
        <v>43922</v>
      </c>
      <c r="U437" s="448"/>
      <c r="W437" s="448"/>
    </row>
    <row r="438" spans="1:253" s="458" customFormat="1" ht="56.25" x14ac:dyDescent="0.2">
      <c r="A438" s="444">
        <v>8672</v>
      </c>
      <c r="B438" s="445" t="s">
        <v>84</v>
      </c>
      <c r="C438" s="445" t="s">
        <v>85</v>
      </c>
      <c r="D438" s="445"/>
      <c r="E438" s="445"/>
      <c r="F438" s="479"/>
      <c r="G438" s="446">
        <v>232</v>
      </c>
      <c r="H438" s="445" t="s">
        <v>606</v>
      </c>
      <c r="I438" s="445"/>
      <c r="J438" s="445"/>
      <c r="K438" s="447"/>
      <c r="L438" s="445" t="s">
        <v>147</v>
      </c>
      <c r="M438" s="445">
        <v>2</v>
      </c>
      <c r="N438" s="445" t="s">
        <v>461</v>
      </c>
      <c r="O438" s="449" t="s">
        <v>1484</v>
      </c>
      <c r="P438" s="450">
        <v>8.6509999999999998</v>
      </c>
      <c r="Q438" s="451">
        <f t="shared" si="12"/>
        <v>8.6509999999999998</v>
      </c>
      <c r="R438" s="451">
        <f>SUMIF('Wege im Detail'!$A:$A,"8672",'Wege im Detail'!$P:$P)</f>
        <v>8.6509999999999998</v>
      </c>
      <c r="S438" s="452" t="s">
        <v>607</v>
      </c>
      <c r="T438" s="453">
        <v>43922</v>
      </c>
      <c r="U438" s="448"/>
      <c r="W438" s="448"/>
    </row>
    <row r="439" spans="1:253" s="458" customFormat="1" ht="45" x14ac:dyDescent="0.2">
      <c r="A439" s="444">
        <v>8673</v>
      </c>
      <c r="B439" s="445" t="s">
        <v>84</v>
      </c>
      <c r="C439" s="445" t="s">
        <v>85</v>
      </c>
      <c r="D439" s="445"/>
      <c r="E439" s="445"/>
      <c r="F439" s="479"/>
      <c r="G439" s="446">
        <v>233</v>
      </c>
      <c r="H439" s="445" t="s">
        <v>608</v>
      </c>
      <c r="I439" s="445"/>
      <c r="J439" s="445"/>
      <c r="K439" s="447"/>
      <c r="L439" s="445" t="s">
        <v>133</v>
      </c>
      <c r="M439" s="445">
        <v>2</v>
      </c>
      <c r="N439" s="445" t="s">
        <v>461</v>
      </c>
      <c r="O439" s="449" t="s">
        <v>1485</v>
      </c>
      <c r="P439" s="450">
        <v>4.7519999999999998</v>
      </c>
      <c r="Q439" s="451">
        <f t="shared" si="12"/>
        <v>4.7519999999999998</v>
      </c>
      <c r="R439" s="451">
        <f>SUMIF('Wege im Detail'!$A:$A,"8673",'Wege im Detail'!$P:$P)</f>
        <v>4.7519999999999998</v>
      </c>
      <c r="S439" s="452" t="s">
        <v>609</v>
      </c>
      <c r="T439" s="453">
        <v>43922</v>
      </c>
      <c r="U439" s="448"/>
      <c r="W439" s="448"/>
      <c r="X439" s="455"/>
      <c r="Y439" s="455"/>
      <c r="Z439" s="455"/>
      <c r="AA439" s="455"/>
      <c r="AB439" s="455"/>
      <c r="AC439" s="455"/>
      <c r="AD439" s="455"/>
      <c r="AE439" s="455"/>
      <c r="AF439" s="455"/>
      <c r="AG439" s="455"/>
      <c r="AH439" s="455"/>
      <c r="AI439" s="455"/>
      <c r="AJ439" s="455"/>
      <c r="AK439" s="455"/>
      <c r="AL439" s="455"/>
      <c r="AM439" s="455"/>
      <c r="AN439" s="455"/>
      <c r="AO439" s="455"/>
      <c r="AP439" s="455"/>
      <c r="AQ439" s="455"/>
      <c r="AR439" s="455"/>
      <c r="AS439" s="455"/>
      <c r="AT439" s="455"/>
      <c r="AU439" s="455"/>
      <c r="AV439" s="455"/>
      <c r="AW439" s="455"/>
      <c r="AX439" s="455"/>
      <c r="AY439" s="455"/>
      <c r="AZ439" s="455"/>
      <c r="BA439" s="455"/>
      <c r="BB439" s="455"/>
      <c r="BC439" s="455"/>
      <c r="BD439" s="455"/>
      <c r="BE439" s="455"/>
      <c r="BF439" s="455"/>
      <c r="BG439" s="455"/>
      <c r="BH439" s="455"/>
      <c r="BI439" s="455"/>
      <c r="BJ439" s="455"/>
      <c r="BK439" s="455"/>
      <c r="BL439" s="455"/>
      <c r="BM439" s="455"/>
      <c r="BN439" s="455"/>
      <c r="BO439" s="455"/>
      <c r="BP439" s="455"/>
      <c r="BQ439" s="455"/>
      <c r="BR439" s="455"/>
      <c r="BS439" s="455"/>
      <c r="BT439" s="455"/>
      <c r="BU439" s="455"/>
      <c r="BV439" s="455"/>
      <c r="BW439" s="455"/>
      <c r="BX439" s="455"/>
      <c r="BY439" s="455"/>
      <c r="BZ439" s="455"/>
      <c r="CA439" s="455"/>
      <c r="CB439" s="455"/>
      <c r="CC439" s="455"/>
      <c r="CD439" s="455"/>
      <c r="CE439" s="455"/>
      <c r="CF439" s="455"/>
      <c r="CG439" s="455"/>
      <c r="CH439" s="455"/>
      <c r="CI439" s="455"/>
      <c r="CJ439" s="455"/>
      <c r="CK439" s="455"/>
      <c r="CL439" s="455"/>
      <c r="CM439" s="455"/>
      <c r="CN439" s="455"/>
      <c r="CO439" s="455"/>
      <c r="CP439" s="455"/>
      <c r="CQ439" s="455"/>
      <c r="CR439" s="455"/>
      <c r="CS439" s="455"/>
      <c r="CT439" s="455"/>
      <c r="CU439" s="455"/>
      <c r="CV439" s="455"/>
      <c r="CW439" s="455"/>
      <c r="CX439" s="455"/>
      <c r="CY439" s="455"/>
      <c r="CZ439" s="455"/>
      <c r="DA439" s="455"/>
      <c r="DB439" s="455"/>
      <c r="DC439" s="455"/>
      <c r="DD439" s="455"/>
      <c r="DE439" s="455"/>
      <c r="DF439" s="455"/>
      <c r="DG439" s="455"/>
      <c r="DH439" s="455"/>
      <c r="DI439" s="455"/>
      <c r="DJ439" s="455"/>
      <c r="DK439" s="455"/>
      <c r="DL439" s="455"/>
      <c r="DM439" s="455"/>
      <c r="DN439" s="455"/>
      <c r="DO439" s="455"/>
      <c r="DP439" s="455"/>
      <c r="DQ439" s="455"/>
      <c r="DR439" s="455"/>
      <c r="DS439" s="455"/>
      <c r="DT439" s="455"/>
      <c r="DU439" s="455"/>
      <c r="DV439" s="455"/>
      <c r="DW439" s="455"/>
      <c r="DX439" s="455"/>
      <c r="DY439" s="455"/>
      <c r="DZ439" s="455"/>
      <c r="EA439" s="455"/>
      <c r="EB439" s="455"/>
      <c r="EC439" s="455"/>
      <c r="ED439" s="455"/>
      <c r="EE439" s="455"/>
      <c r="EF439" s="455"/>
      <c r="EG439" s="455"/>
      <c r="EH439" s="455"/>
      <c r="EI439" s="455"/>
      <c r="EJ439" s="455"/>
      <c r="EK439" s="455"/>
      <c r="EL439" s="455"/>
      <c r="EM439" s="455"/>
      <c r="EN439" s="455"/>
      <c r="EO439" s="455"/>
      <c r="EP439" s="455"/>
      <c r="EQ439" s="455"/>
      <c r="ER439" s="455"/>
      <c r="ES439" s="455"/>
      <c r="ET439" s="455"/>
      <c r="EU439" s="455"/>
      <c r="EV439" s="455"/>
      <c r="EW439" s="455"/>
      <c r="EX439" s="455"/>
      <c r="EY439" s="455"/>
      <c r="EZ439" s="455"/>
      <c r="FA439" s="455"/>
      <c r="FB439" s="455"/>
      <c r="FC439" s="455"/>
      <c r="FD439" s="455"/>
      <c r="FE439" s="455"/>
      <c r="FF439" s="455"/>
      <c r="FG439" s="455"/>
      <c r="FH439" s="455"/>
      <c r="FI439" s="455"/>
      <c r="FJ439" s="455"/>
      <c r="FK439" s="455"/>
      <c r="FL439" s="455"/>
      <c r="FM439" s="455"/>
      <c r="FN439" s="455"/>
      <c r="FO439" s="455"/>
      <c r="FP439" s="455"/>
      <c r="FQ439" s="455"/>
      <c r="FR439" s="455"/>
      <c r="FS439" s="455"/>
      <c r="FT439" s="455"/>
      <c r="FU439" s="455"/>
      <c r="FV439" s="455"/>
      <c r="FW439" s="455"/>
      <c r="FX439" s="455"/>
      <c r="FY439" s="455"/>
      <c r="FZ439" s="455"/>
      <c r="GA439" s="455"/>
      <c r="GB439" s="455"/>
      <c r="GC439" s="455"/>
      <c r="GD439" s="455"/>
      <c r="GE439" s="455"/>
      <c r="GF439" s="455"/>
      <c r="GG439" s="455"/>
      <c r="GH439" s="455"/>
      <c r="GI439" s="455"/>
      <c r="GJ439" s="455"/>
      <c r="GK439" s="455"/>
      <c r="GL439" s="455"/>
      <c r="GM439" s="455"/>
      <c r="GN439" s="455"/>
      <c r="GO439" s="455"/>
      <c r="GP439" s="455"/>
      <c r="GQ439" s="455"/>
      <c r="GR439" s="455"/>
      <c r="GS439" s="455"/>
      <c r="GT439" s="455"/>
      <c r="GU439" s="455"/>
      <c r="GV439" s="455"/>
      <c r="GW439" s="455"/>
      <c r="GX439" s="455"/>
      <c r="GY439" s="455"/>
      <c r="GZ439" s="455"/>
      <c r="HA439" s="455"/>
      <c r="HB439" s="455"/>
      <c r="HC439" s="455"/>
      <c r="HD439" s="455"/>
      <c r="HE439" s="455"/>
      <c r="HF439" s="455"/>
      <c r="HG439" s="455"/>
      <c r="HH439" s="455"/>
      <c r="HI439" s="455"/>
      <c r="HJ439" s="455"/>
      <c r="HK439" s="455"/>
      <c r="HL439" s="455"/>
      <c r="HM439" s="455"/>
      <c r="HN439" s="455"/>
      <c r="HO439" s="455"/>
      <c r="HP439" s="455"/>
      <c r="HQ439" s="455"/>
      <c r="HR439" s="455"/>
      <c r="HS439" s="455"/>
      <c r="HT439" s="455"/>
      <c r="HU439" s="455"/>
      <c r="HV439" s="455"/>
      <c r="HW439" s="455"/>
      <c r="HX439" s="455"/>
      <c r="HY439" s="455"/>
      <c r="HZ439" s="455"/>
      <c r="IA439" s="455"/>
      <c r="IB439" s="455"/>
      <c r="IC439" s="455"/>
      <c r="ID439" s="455"/>
      <c r="IE439" s="455"/>
      <c r="IF439" s="455"/>
      <c r="IG439" s="455"/>
      <c r="IH439" s="455"/>
      <c r="II439" s="455"/>
      <c r="IJ439" s="455"/>
      <c r="IK439" s="455"/>
      <c r="IL439" s="455"/>
      <c r="IM439" s="455"/>
      <c r="IN439" s="455"/>
      <c r="IO439" s="455"/>
      <c r="IP439" s="455"/>
      <c r="IQ439" s="455"/>
      <c r="IR439" s="455"/>
      <c r="IS439" s="455"/>
    </row>
    <row r="440" spans="1:253" s="458" customFormat="1" ht="56.25" x14ac:dyDescent="0.2">
      <c r="A440" s="444">
        <v>8675</v>
      </c>
      <c r="B440" s="445" t="s">
        <v>84</v>
      </c>
      <c r="C440" s="445" t="s">
        <v>85</v>
      </c>
      <c r="D440" s="445"/>
      <c r="E440" s="445"/>
      <c r="F440" s="479"/>
      <c r="G440" s="446">
        <v>231</v>
      </c>
      <c r="H440" s="445" t="s">
        <v>610</v>
      </c>
      <c r="I440" s="445"/>
      <c r="J440" s="445"/>
      <c r="K440" s="447"/>
      <c r="L440" s="445" t="s">
        <v>142</v>
      </c>
      <c r="M440" s="445">
        <v>2</v>
      </c>
      <c r="N440" s="445" t="s">
        <v>461</v>
      </c>
      <c r="O440" s="449" t="s">
        <v>1486</v>
      </c>
      <c r="P440" s="450">
        <v>9.2330000000000005</v>
      </c>
      <c r="Q440" s="451">
        <f t="shared" si="12"/>
        <v>9.2330000000000005</v>
      </c>
      <c r="R440" s="451">
        <f>SUMIF('Wege im Detail'!$A:$A,"8675",'Wege im Detail'!$P:$P)</f>
        <v>9.2330000000000005</v>
      </c>
      <c r="S440" s="452" t="s">
        <v>611</v>
      </c>
      <c r="T440" s="453">
        <v>43922</v>
      </c>
      <c r="U440" s="448"/>
      <c r="W440" s="448"/>
      <c r="X440" s="455"/>
      <c r="Y440" s="455"/>
      <c r="Z440" s="455"/>
      <c r="AA440" s="455"/>
      <c r="AB440" s="455"/>
      <c r="AC440" s="455"/>
      <c r="AD440" s="455"/>
      <c r="AE440" s="455"/>
      <c r="AF440" s="455"/>
      <c r="AG440" s="455"/>
      <c r="AH440" s="455"/>
      <c r="AI440" s="455"/>
      <c r="AJ440" s="455"/>
      <c r="AK440" s="455"/>
      <c r="AL440" s="455"/>
      <c r="AM440" s="455"/>
      <c r="AN440" s="455"/>
      <c r="AO440" s="455"/>
      <c r="AP440" s="455"/>
      <c r="AQ440" s="455"/>
      <c r="AR440" s="455"/>
      <c r="AS440" s="455"/>
      <c r="AT440" s="455"/>
      <c r="AU440" s="455"/>
      <c r="AV440" s="455"/>
      <c r="AW440" s="455"/>
      <c r="AX440" s="455"/>
      <c r="AY440" s="455"/>
      <c r="AZ440" s="455"/>
      <c r="BA440" s="455"/>
      <c r="BB440" s="455"/>
      <c r="BC440" s="455"/>
      <c r="BD440" s="455"/>
      <c r="BE440" s="455"/>
      <c r="BF440" s="455"/>
      <c r="BG440" s="455"/>
      <c r="BH440" s="455"/>
      <c r="BI440" s="455"/>
      <c r="BJ440" s="455"/>
      <c r="BK440" s="455"/>
      <c r="BL440" s="455"/>
      <c r="BM440" s="455"/>
      <c r="BN440" s="455"/>
      <c r="BO440" s="455"/>
      <c r="BP440" s="455"/>
      <c r="BQ440" s="455"/>
      <c r="BR440" s="455"/>
      <c r="BS440" s="455"/>
      <c r="BT440" s="455"/>
      <c r="BU440" s="455"/>
      <c r="BV440" s="455"/>
      <c r="BW440" s="455"/>
      <c r="BX440" s="455"/>
      <c r="BY440" s="455"/>
      <c r="BZ440" s="455"/>
      <c r="CA440" s="455"/>
      <c r="CB440" s="455"/>
      <c r="CC440" s="455"/>
      <c r="CD440" s="455"/>
      <c r="CE440" s="455"/>
      <c r="CF440" s="455"/>
      <c r="CG440" s="455"/>
      <c r="CH440" s="455"/>
      <c r="CI440" s="455"/>
      <c r="CJ440" s="455"/>
      <c r="CK440" s="455"/>
      <c r="CL440" s="455"/>
      <c r="CM440" s="455"/>
      <c r="CN440" s="455"/>
      <c r="CO440" s="455"/>
      <c r="CP440" s="455"/>
      <c r="CQ440" s="455"/>
      <c r="CR440" s="455"/>
      <c r="CS440" s="455"/>
      <c r="CT440" s="455"/>
      <c r="CU440" s="455"/>
      <c r="CV440" s="455"/>
      <c r="CW440" s="455"/>
      <c r="CX440" s="455"/>
      <c r="CY440" s="455"/>
      <c r="CZ440" s="455"/>
      <c r="DA440" s="455"/>
      <c r="DB440" s="455"/>
      <c r="DC440" s="455"/>
      <c r="DD440" s="455"/>
      <c r="DE440" s="455"/>
      <c r="DF440" s="455"/>
      <c r="DG440" s="455"/>
      <c r="DH440" s="455"/>
      <c r="DI440" s="455"/>
      <c r="DJ440" s="455"/>
      <c r="DK440" s="455"/>
      <c r="DL440" s="455"/>
      <c r="DM440" s="455"/>
      <c r="DN440" s="455"/>
      <c r="DO440" s="455"/>
      <c r="DP440" s="455"/>
      <c r="DQ440" s="455"/>
      <c r="DR440" s="455"/>
      <c r="DS440" s="455"/>
      <c r="DT440" s="455"/>
      <c r="DU440" s="455"/>
      <c r="DV440" s="455"/>
      <c r="DW440" s="455"/>
      <c r="DX440" s="455"/>
      <c r="DY440" s="455"/>
      <c r="DZ440" s="455"/>
      <c r="EA440" s="455"/>
      <c r="EB440" s="455"/>
      <c r="EC440" s="455"/>
      <c r="ED440" s="455"/>
      <c r="EE440" s="455"/>
      <c r="EF440" s="455"/>
      <c r="EG440" s="455"/>
      <c r="EH440" s="455"/>
      <c r="EI440" s="455"/>
      <c r="EJ440" s="455"/>
      <c r="EK440" s="455"/>
      <c r="EL440" s="455"/>
      <c r="EM440" s="455"/>
      <c r="EN440" s="455"/>
      <c r="EO440" s="455"/>
      <c r="EP440" s="455"/>
      <c r="EQ440" s="455"/>
      <c r="ER440" s="455"/>
      <c r="ES440" s="455"/>
      <c r="ET440" s="455"/>
      <c r="EU440" s="455"/>
      <c r="EV440" s="455"/>
      <c r="EW440" s="455"/>
      <c r="EX440" s="455"/>
      <c r="EY440" s="455"/>
      <c r="EZ440" s="455"/>
      <c r="FA440" s="455"/>
      <c r="FB440" s="455"/>
      <c r="FC440" s="455"/>
      <c r="FD440" s="455"/>
      <c r="FE440" s="455"/>
      <c r="FF440" s="455"/>
      <c r="FG440" s="455"/>
      <c r="FH440" s="455"/>
      <c r="FI440" s="455"/>
      <c r="FJ440" s="455"/>
      <c r="FK440" s="455"/>
      <c r="FL440" s="455"/>
      <c r="FM440" s="455"/>
      <c r="FN440" s="455"/>
      <c r="FO440" s="455"/>
      <c r="FP440" s="455"/>
      <c r="FQ440" s="455"/>
      <c r="FR440" s="455"/>
      <c r="FS440" s="455"/>
      <c r="FT440" s="455"/>
      <c r="FU440" s="455"/>
      <c r="FV440" s="455"/>
      <c r="FW440" s="455"/>
      <c r="FX440" s="455"/>
      <c r="FY440" s="455"/>
      <c r="FZ440" s="455"/>
      <c r="GA440" s="455"/>
      <c r="GB440" s="455"/>
      <c r="GC440" s="455"/>
      <c r="GD440" s="455"/>
      <c r="GE440" s="455"/>
      <c r="GF440" s="455"/>
      <c r="GG440" s="455"/>
      <c r="GH440" s="455"/>
      <c r="GI440" s="455"/>
      <c r="GJ440" s="455"/>
      <c r="GK440" s="455"/>
      <c r="GL440" s="455"/>
      <c r="GM440" s="455"/>
      <c r="GN440" s="455"/>
      <c r="GO440" s="455"/>
      <c r="GP440" s="455"/>
      <c r="GQ440" s="455"/>
      <c r="GR440" s="455"/>
      <c r="GS440" s="455"/>
      <c r="GT440" s="455"/>
      <c r="GU440" s="455"/>
      <c r="GV440" s="455"/>
      <c r="GW440" s="455"/>
      <c r="GX440" s="455"/>
      <c r="GY440" s="455"/>
      <c r="GZ440" s="455"/>
      <c r="HA440" s="455"/>
      <c r="HB440" s="455"/>
      <c r="HC440" s="455"/>
      <c r="HD440" s="455"/>
      <c r="HE440" s="455"/>
      <c r="HF440" s="455"/>
      <c r="HG440" s="455"/>
      <c r="HH440" s="455"/>
      <c r="HI440" s="455"/>
      <c r="HJ440" s="455"/>
      <c r="HK440" s="455"/>
      <c r="HL440" s="455"/>
      <c r="HM440" s="455"/>
      <c r="HN440" s="455"/>
      <c r="HO440" s="455"/>
      <c r="HP440" s="455"/>
      <c r="HQ440" s="455"/>
      <c r="HR440" s="455"/>
      <c r="HS440" s="455"/>
      <c r="HT440" s="455"/>
      <c r="HU440" s="455"/>
      <c r="HV440" s="455"/>
      <c r="HW440" s="455"/>
      <c r="HX440" s="455"/>
      <c r="HY440" s="455"/>
      <c r="HZ440" s="455"/>
      <c r="IA440" s="455"/>
      <c r="IB440" s="455"/>
      <c r="IC440" s="455"/>
      <c r="ID440" s="455"/>
      <c r="IE440" s="455"/>
      <c r="IF440" s="455"/>
      <c r="IG440" s="455"/>
      <c r="IH440" s="455"/>
      <c r="II440" s="455"/>
      <c r="IJ440" s="455"/>
      <c r="IK440" s="455"/>
      <c r="IL440" s="455"/>
      <c r="IM440" s="455"/>
      <c r="IN440" s="455"/>
      <c r="IO440" s="455"/>
      <c r="IP440" s="455"/>
      <c r="IQ440" s="455"/>
      <c r="IR440" s="455"/>
      <c r="IS440" s="455"/>
    </row>
    <row r="441" spans="1:253" s="458" customFormat="1" ht="67.5" x14ac:dyDescent="0.2">
      <c r="A441" s="444">
        <v>8677</v>
      </c>
      <c r="B441" s="445" t="s">
        <v>84</v>
      </c>
      <c r="C441" s="445" t="s">
        <v>85</v>
      </c>
      <c r="D441" s="445"/>
      <c r="E441" s="445"/>
      <c r="F441" s="479"/>
      <c r="G441" s="446">
        <v>232</v>
      </c>
      <c r="H441" s="445" t="s">
        <v>612</v>
      </c>
      <c r="I441" s="445"/>
      <c r="J441" s="445"/>
      <c r="K441" s="447"/>
      <c r="L441" s="445" t="s">
        <v>613</v>
      </c>
      <c r="M441" s="445">
        <v>3</v>
      </c>
      <c r="N441" s="445" t="s">
        <v>220</v>
      </c>
      <c r="O441" s="449" t="s">
        <v>1487</v>
      </c>
      <c r="P441" s="450">
        <v>18.058</v>
      </c>
      <c r="Q441" s="451">
        <f t="shared" si="12"/>
        <v>18.058</v>
      </c>
      <c r="R441" s="451">
        <f>SUMIF('Wege im Detail'!$A:$A,"8677",'Wege im Detail'!$P:$P)</f>
        <v>18.058</v>
      </c>
      <c r="S441" s="452" t="s">
        <v>614</v>
      </c>
      <c r="T441" s="453">
        <v>43922</v>
      </c>
      <c r="U441" s="448"/>
      <c r="W441" s="448"/>
      <c r="X441" s="455"/>
      <c r="Y441" s="455"/>
      <c r="Z441" s="455"/>
      <c r="AA441" s="455"/>
      <c r="AB441" s="455"/>
      <c r="AC441" s="455"/>
      <c r="AD441" s="455"/>
      <c r="AE441" s="455"/>
      <c r="AF441" s="455"/>
      <c r="AG441" s="455"/>
      <c r="AH441" s="455"/>
      <c r="AI441" s="455"/>
      <c r="AJ441" s="455"/>
      <c r="AK441" s="455"/>
      <c r="AL441" s="455"/>
      <c r="AM441" s="455"/>
      <c r="AN441" s="455"/>
      <c r="AO441" s="455"/>
      <c r="AP441" s="455"/>
      <c r="AQ441" s="455"/>
      <c r="AR441" s="455"/>
      <c r="AS441" s="455"/>
      <c r="AT441" s="455"/>
      <c r="AU441" s="455"/>
      <c r="AV441" s="455"/>
      <c r="AW441" s="455"/>
      <c r="AX441" s="455"/>
      <c r="AY441" s="455"/>
      <c r="AZ441" s="455"/>
      <c r="BA441" s="455"/>
      <c r="BB441" s="455"/>
      <c r="BC441" s="455"/>
      <c r="BD441" s="455"/>
      <c r="BE441" s="455"/>
      <c r="BF441" s="455"/>
      <c r="BG441" s="455"/>
      <c r="BH441" s="455"/>
      <c r="BI441" s="455"/>
      <c r="BJ441" s="455"/>
      <c r="BK441" s="455"/>
      <c r="BL441" s="455"/>
      <c r="BM441" s="455"/>
      <c r="BN441" s="455"/>
      <c r="BO441" s="455"/>
      <c r="BP441" s="455"/>
      <c r="BQ441" s="455"/>
      <c r="BR441" s="455"/>
      <c r="BS441" s="455"/>
      <c r="BT441" s="455"/>
      <c r="BU441" s="455"/>
      <c r="BV441" s="455"/>
      <c r="BW441" s="455"/>
      <c r="BX441" s="455"/>
      <c r="BY441" s="455"/>
      <c r="BZ441" s="455"/>
      <c r="CA441" s="455"/>
      <c r="CB441" s="455"/>
      <c r="CC441" s="455"/>
      <c r="CD441" s="455"/>
      <c r="CE441" s="455"/>
      <c r="CF441" s="455"/>
      <c r="CG441" s="455"/>
      <c r="CH441" s="455"/>
      <c r="CI441" s="455"/>
      <c r="CJ441" s="455"/>
      <c r="CK441" s="455"/>
      <c r="CL441" s="455"/>
      <c r="CM441" s="455"/>
      <c r="CN441" s="455"/>
      <c r="CO441" s="455"/>
      <c r="CP441" s="455"/>
      <c r="CQ441" s="455"/>
      <c r="CR441" s="455"/>
      <c r="CS441" s="455"/>
      <c r="CT441" s="455"/>
      <c r="CU441" s="455"/>
      <c r="CV441" s="455"/>
      <c r="CW441" s="455"/>
      <c r="CX441" s="455"/>
      <c r="CY441" s="455"/>
      <c r="CZ441" s="455"/>
      <c r="DA441" s="455"/>
      <c r="DB441" s="455"/>
      <c r="DC441" s="455"/>
      <c r="DD441" s="455"/>
      <c r="DE441" s="455"/>
      <c r="DF441" s="455"/>
      <c r="DG441" s="455"/>
      <c r="DH441" s="455"/>
      <c r="DI441" s="455"/>
      <c r="DJ441" s="455"/>
      <c r="DK441" s="455"/>
      <c r="DL441" s="455"/>
      <c r="DM441" s="455"/>
      <c r="DN441" s="455"/>
      <c r="DO441" s="455"/>
      <c r="DP441" s="455"/>
      <c r="DQ441" s="455"/>
      <c r="DR441" s="455"/>
      <c r="DS441" s="455"/>
      <c r="DT441" s="455"/>
      <c r="DU441" s="455"/>
      <c r="DV441" s="455"/>
      <c r="DW441" s="455"/>
      <c r="DX441" s="455"/>
      <c r="DY441" s="455"/>
      <c r="DZ441" s="455"/>
      <c r="EA441" s="455"/>
      <c r="EB441" s="455"/>
      <c r="EC441" s="455"/>
      <c r="ED441" s="455"/>
      <c r="EE441" s="455"/>
      <c r="EF441" s="455"/>
      <c r="EG441" s="455"/>
      <c r="EH441" s="455"/>
      <c r="EI441" s="455"/>
      <c r="EJ441" s="455"/>
      <c r="EK441" s="455"/>
      <c r="EL441" s="455"/>
      <c r="EM441" s="455"/>
      <c r="EN441" s="455"/>
      <c r="EO441" s="455"/>
      <c r="EP441" s="455"/>
      <c r="EQ441" s="455"/>
      <c r="ER441" s="455"/>
      <c r="ES441" s="455"/>
      <c r="ET441" s="455"/>
      <c r="EU441" s="455"/>
      <c r="EV441" s="455"/>
      <c r="EW441" s="455"/>
      <c r="EX441" s="455"/>
      <c r="EY441" s="455"/>
      <c r="EZ441" s="455"/>
      <c r="FA441" s="455"/>
      <c r="FB441" s="455"/>
      <c r="FC441" s="455"/>
      <c r="FD441" s="455"/>
      <c r="FE441" s="455"/>
      <c r="FF441" s="455"/>
      <c r="FG441" s="455"/>
      <c r="FH441" s="455"/>
      <c r="FI441" s="455"/>
      <c r="FJ441" s="455"/>
      <c r="FK441" s="455"/>
      <c r="FL441" s="455"/>
      <c r="FM441" s="455"/>
      <c r="FN441" s="455"/>
      <c r="FO441" s="455"/>
      <c r="FP441" s="455"/>
      <c r="FQ441" s="455"/>
      <c r="FR441" s="455"/>
      <c r="FS441" s="455"/>
      <c r="FT441" s="455"/>
      <c r="FU441" s="455"/>
      <c r="FV441" s="455"/>
      <c r="FW441" s="455"/>
      <c r="FX441" s="455"/>
      <c r="FY441" s="455"/>
      <c r="FZ441" s="455"/>
      <c r="GA441" s="455"/>
      <c r="GB441" s="455"/>
      <c r="GC441" s="455"/>
      <c r="GD441" s="455"/>
      <c r="GE441" s="455"/>
      <c r="GF441" s="455"/>
      <c r="GG441" s="455"/>
      <c r="GH441" s="455"/>
      <c r="GI441" s="455"/>
      <c r="GJ441" s="455"/>
      <c r="GK441" s="455"/>
      <c r="GL441" s="455"/>
      <c r="GM441" s="455"/>
      <c r="GN441" s="455"/>
      <c r="GO441" s="455"/>
      <c r="GP441" s="455"/>
      <c r="GQ441" s="455"/>
      <c r="GR441" s="455"/>
      <c r="GS441" s="455"/>
      <c r="GT441" s="455"/>
      <c r="GU441" s="455"/>
      <c r="GV441" s="455"/>
      <c r="GW441" s="455"/>
      <c r="GX441" s="455"/>
      <c r="GY441" s="455"/>
      <c r="GZ441" s="455"/>
      <c r="HA441" s="455"/>
      <c r="HB441" s="455"/>
      <c r="HC441" s="455"/>
      <c r="HD441" s="455"/>
      <c r="HE441" s="455"/>
      <c r="HF441" s="455"/>
      <c r="HG441" s="455"/>
      <c r="HH441" s="455"/>
      <c r="HI441" s="455"/>
      <c r="HJ441" s="455"/>
      <c r="HK441" s="455"/>
      <c r="HL441" s="455"/>
      <c r="HM441" s="455"/>
      <c r="HN441" s="455"/>
      <c r="HO441" s="455"/>
      <c r="HP441" s="455"/>
      <c r="HQ441" s="455"/>
      <c r="HR441" s="455"/>
      <c r="HS441" s="455"/>
      <c r="HT441" s="455"/>
      <c r="HU441" s="455"/>
      <c r="HV441" s="455"/>
      <c r="HW441" s="455"/>
      <c r="HX441" s="455"/>
      <c r="HY441" s="455"/>
      <c r="HZ441" s="455"/>
      <c r="IA441" s="455"/>
      <c r="IB441" s="455"/>
      <c r="IC441" s="455"/>
      <c r="ID441" s="455"/>
      <c r="IE441" s="455"/>
      <c r="IF441" s="455"/>
      <c r="IG441" s="455"/>
      <c r="IH441" s="455"/>
      <c r="II441" s="455"/>
      <c r="IJ441" s="455"/>
      <c r="IK441" s="455"/>
      <c r="IL441" s="455"/>
      <c r="IM441" s="455"/>
      <c r="IN441" s="455"/>
      <c r="IO441" s="455"/>
      <c r="IP441" s="455"/>
      <c r="IQ441" s="455"/>
      <c r="IR441" s="455"/>
      <c r="IS441" s="455"/>
    </row>
    <row r="442" spans="1:253" s="458" customFormat="1" ht="56.25" x14ac:dyDescent="0.2">
      <c r="A442" s="444">
        <v>8678</v>
      </c>
      <c r="B442" s="445" t="s">
        <v>84</v>
      </c>
      <c r="C442" s="445" t="s">
        <v>85</v>
      </c>
      <c r="D442" s="445"/>
      <c r="E442" s="445"/>
      <c r="F442" s="445"/>
      <c r="G442" s="446">
        <v>294</v>
      </c>
      <c r="H442" s="445" t="s">
        <v>615</v>
      </c>
      <c r="I442" s="445"/>
      <c r="J442" s="445"/>
      <c r="K442" s="447"/>
      <c r="L442" s="445" t="s">
        <v>616</v>
      </c>
      <c r="M442" s="445">
        <v>3</v>
      </c>
      <c r="N442" s="445" t="s">
        <v>466</v>
      </c>
      <c r="O442" s="449" t="s">
        <v>1488</v>
      </c>
      <c r="P442" s="450">
        <v>4.4950000000000001</v>
      </c>
      <c r="Q442" s="451">
        <f t="shared" si="12"/>
        <v>4.4950000000000001</v>
      </c>
      <c r="R442" s="451">
        <f>SUMIF('Wege im Detail'!$A:$A,"8678",'Wege im Detail'!$P:$P)</f>
        <v>4.4950000000000001</v>
      </c>
      <c r="S442" s="452" t="s">
        <v>617</v>
      </c>
      <c r="T442" s="453">
        <v>43922</v>
      </c>
      <c r="U442" s="448"/>
      <c r="V442" s="476"/>
      <c r="W442" s="448"/>
    </row>
    <row r="443" spans="1:253" s="458" customFormat="1" ht="33.75" x14ac:dyDescent="0.2">
      <c r="A443" s="444">
        <v>8679</v>
      </c>
      <c r="B443" s="445" t="s">
        <v>51</v>
      </c>
      <c r="C443" s="445" t="s">
        <v>91</v>
      </c>
      <c r="D443" s="445" t="s">
        <v>91</v>
      </c>
      <c r="E443" s="445"/>
      <c r="F443" s="445"/>
      <c r="G443" s="446">
        <v>54</v>
      </c>
      <c r="H443" s="445">
        <v>130</v>
      </c>
      <c r="I443" s="445"/>
      <c r="J443" s="445">
        <v>1</v>
      </c>
      <c r="K443" s="447">
        <v>2</v>
      </c>
      <c r="L443" s="445"/>
      <c r="M443" s="445">
        <v>2</v>
      </c>
      <c r="N443" s="445" t="s">
        <v>461</v>
      </c>
      <c r="O443" s="449" t="s">
        <v>1489</v>
      </c>
      <c r="P443" s="450">
        <v>1.819</v>
      </c>
      <c r="Q443" s="451">
        <f t="shared" si="12"/>
        <v>1.819</v>
      </c>
      <c r="R443" s="451">
        <f>SUMIF('Wege im Detail'!$A:$A,"8679",'Wege im Detail'!$P:$P)</f>
        <v>2.194</v>
      </c>
      <c r="S443" s="452" t="s">
        <v>1490</v>
      </c>
      <c r="T443" s="453">
        <v>43922</v>
      </c>
      <c r="U443" s="448"/>
      <c r="V443" s="457" t="s">
        <v>58</v>
      </c>
      <c r="W443" s="448"/>
    </row>
    <row r="444" spans="1:253" s="458" customFormat="1" ht="33.75" x14ac:dyDescent="0.2">
      <c r="A444" s="444">
        <v>8679</v>
      </c>
      <c r="B444" s="445" t="s">
        <v>51</v>
      </c>
      <c r="C444" s="445" t="s">
        <v>91</v>
      </c>
      <c r="D444" s="445" t="s">
        <v>91</v>
      </c>
      <c r="E444" s="445"/>
      <c r="F444" s="445"/>
      <c r="G444" s="446">
        <v>54</v>
      </c>
      <c r="H444" s="445">
        <v>130</v>
      </c>
      <c r="I444" s="445"/>
      <c r="J444" s="445">
        <v>2</v>
      </c>
      <c r="K444" s="447">
        <v>2</v>
      </c>
      <c r="L444" s="445"/>
      <c r="M444" s="445">
        <v>2</v>
      </c>
      <c r="N444" s="445" t="s">
        <v>446</v>
      </c>
      <c r="O444" s="449" t="s">
        <v>1491</v>
      </c>
      <c r="P444" s="450">
        <v>0.375</v>
      </c>
      <c r="Q444" s="451">
        <f t="shared" si="12"/>
        <v>0.375</v>
      </c>
      <c r="R444" s="451">
        <f>SUMIF('Wege im Detail'!$A:$A,"8679",'Wege im Detail'!$P:$P)</f>
        <v>2.194</v>
      </c>
      <c r="S444" s="452" t="s">
        <v>1490</v>
      </c>
      <c r="T444" s="453">
        <v>43922</v>
      </c>
      <c r="U444" s="448"/>
      <c r="V444" s="457" t="s">
        <v>58</v>
      </c>
      <c r="W444" s="448"/>
      <c r="X444" s="455"/>
      <c r="Y444" s="455"/>
      <c r="Z444" s="455"/>
      <c r="AA444" s="455"/>
      <c r="AB444" s="455"/>
      <c r="AC444" s="455"/>
      <c r="AD444" s="455"/>
      <c r="AE444" s="455"/>
      <c r="AF444" s="455"/>
      <c r="AG444" s="455"/>
      <c r="AH444" s="455"/>
      <c r="AI444" s="455"/>
      <c r="AJ444" s="455"/>
      <c r="AK444" s="455"/>
      <c r="AL444" s="455"/>
      <c r="AM444" s="455"/>
      <c r="AN444" s="455"/>
      <c r="AO444" s="455"/>
      <c r="AP444" s="455"/>
      <c r="AQ444" s="455"/>
      <c r="AR444" s="455"/>
      <c r="AS444" s="455"/>
      <c r="AT444" s="455"/>
      <c r="AU444" s="455"/>
      <c r="AV444" s="455"/>
      <c r="AW444" s="455"/>
      <c r="AX444" s="455"/>
      <c r="AY444" s="455"/>
      <c r="AZ444" s="455"/>
      <c r="BA444" s="455"/>
      <c r="BB444" s="455"/>
      <c r="BC444" s="455"/>
      <c r="BD444" s="455"/>
      <c r="BE444" s="455"/>
      <c r="BF444" s="455"/>
      <c r="BG444" s="455"/>
      <c r="BH444" s="455"/>
      <c r="BI444" s="455"/>
      <c r="BJ444" s="455"/>
      <c r="BK444" s="455"/>
      <c r="BL444" s="455"/>
      <c r="BM444" s="455"/>
      <c r="BN444" s="455"/>
      <c r="BO444" s="455"/>
      <c r="BP444" s="455"/>
      <c r="BQ444" s="455"/>
      <c r="BR444" s="455"/>
      <c r="BS444" s="455"/>
      <c r="BT444" s="455"/>
      <c r="BU444" s="455"/>
      <c r="BV444" s="455"/>
      <c r="BW444" s="455"/>
      <c r="BX444" s="455"/>
      <c r="BY444" s="455"/>
      <c r="BZ444" s="455"/>
      <c r="CA444" s="455"/>
      <c r="CB444" s="455"/>
      <c r="CC444" s="455"/>
      <c r="CD444" s="455"/>
      <c r="CE444" s="455"/>
      <c r="CF444" s="455"/>
      <c r="CG444" s="455"/>
      <c r="CH444" s="455"/>
      <c r="CI444" s="455"/>
      <c r="CJ444" s="455"/>
      <c r="CK444" s="455"/>
      <c r="CL444" s="455"/>
      <c r="CM444" s="455"/>
      <c r="CN444" s="455"/>
      <c r="CO444" s="455"/>
      <c r="CP444" s="455"/>
      <c r="CQ444" s="455"/>
      <c r="CR444" s="455"/>
      <c r="CS444" s="455"/>
      <c r="CT444" s="455"/>
      <c r="CU444" s="455"/>
      <c r="CV444" s="455"/>
      <c r="CW444" s="455"/>
      <c r="CX444" s="455"/>
      <c r="CY444" s="455"/>
      <c r="CZ444" s="455"/>
      <c r="DA444" s="455"/>
      <c r="DB444" s="455"/>
      <c r="DC444" s="455"/>
      <c r="DD444" s="455"/>
      <c r="DE444" s="455"/>
      <c r="DF444" s="455"/>
      <c r="DG444" s="455"/>
      <c r="DH444" s="455"/>
      <c r="DI444" s="455"/>
      <c r="DJ444" s="455"/>
      <c r="DK444" s="455"/>
      <c r="DL444" s="455"/>
      <c r="DM444" s="455"/>
      <c r="DN444" s="455"/>
      <c r="DO444" s="455"/>
      <c r="DP444" s="455"/>
      <c r="DQ444" s="455"/>
      <c r="DR444" s="455"/>
      <c r="DS444" s="455"/>
      <c r="DT444" s="455"/>
      <c r="DU444" s="455"/>
      <c r="DV444" s="455"/>
      <c r="DW444" s="455"/>
      <c r="DX444" s="455"/>
      <c r="DY444" s="455"/>
      <c r="DZ444" s="455"/>
      <c r="EA444" s="455"/>
      <c r="EB444" s="455"/>
      <c r="EC444" s="455"/>
      <c r="ED444" s="455"/>
      <c r="EE444" s="455"/>
      <c r="EF444" s="455"/>
      <c r="EG444" s="455"/>
      <c r="EH444" s="455"/>
      <c r="EI444" s="455"/>
      <c r="EJ444" s="455"/>
      <c r="EK444" s="455"/>
      <c r="EL444" s="455"/>
      <c r="EM444" s="455"/>
      <c r="EN444" s="455"/>
      <c r="EO444" s="455"/>
      <c r="EP444" s="455"/>
      <c r="EQ444" s="455"/>
      <c r="ER444" s="455"/>
      <c r="ES444" s="455"/>
      <c r="ET444" s="455"/>
      <c r="EU444" s="455"/>
      <c r="EV444" s="455"/>
      <c r="EW444" s="455"/>
      <c r="EX444" s="455"/>
      <c r="EY444" s="455"/>
      <c r="EZ444" s="455"/>
      <c r="FA444" s="455"/>
      <c r="FB444" s="455"/>
      <c r="FC444" s="455"/>
      <c r="FD444" s="455"/>
      <c r="FE444" s="455"/>
      <c r="FF444" s="455"/>
      <c r="FG444" s="455"/>
      <c r="FH444" s="455"/>
      <c r="FI444" s="455"/>
      <c r="FJ444" s="455"/>
      <c r="FK444" s="455"/>
      <c r="FL444" s="455"/>
      <c r="FM444" s="455"/>
      <c r="FN444" s="455"/>
      <c r="FO444" s="455"/>
      <c r="FP444" s="455"/>
      <c r="FQ444" s="455"/>
      <c r="FR444" s="455"/>
      <c r="FS444" s="455"/>
      <c r="FT444" s="455"/>
      <c r="FU444" s="455"/>
      <c r="FV444" s="455"/>
      <c r="FW444" s="455"/>
      <c r="FX444" s="455"/>
      <c r="FY444" s="455"/>
      <c r="FZ444" s="455"/>
      <c r="GA444" s="455"/>
      <c r="GB444" s="455"/>
      <c r="GC444" s="455"/>
      <c r="GD444" s="455"/>
      <c r="GE444" s="455"/>
      <c r="GF444" s="455"/>
      <c r="GG444" s="455"/>
      <c r="GH444" s="455"/>
      <c r="GI444" s="455"/>
      <c r="GJ444" s="455"/>
      <c r="GK444" s="455"/>
      <c r="GL444" s="455"/>
      <c r="GM444" s="455"/>
      <c r="GN444" s="455"/>
      <c r="GO444" s="455"/>
      <c r="GP444" s="455"/>
      <c r="GQ444" s="455"/>
      <c r="GR444" s="455"/>
      <c r="GS444" s="455"/>
      <c r="GT444" s="455"/>
      <c r="GU444" s="455"/>
      <c r="GV444" s="455"/>
      <c r="GW444" s="455"/>
      <c r="GX444" s="455"/>
      <c r="GY444" s="455"/>
      <c r="GZ444" s="455"/>
      <c r="HA444" s="455"/>
      <c r="HB444" s="455"/>
      <c r="HC444" s="455"/>
      <c r="HD444" s="455"/>
      <c r="HE444" s="455"/>
      <c r="HF444" s="455"/>
      <c r="HG444" s="455"/>
      <c r="HH444" s="455"/>
      <c r="HI444" s="455"/>
      <c r="HJ444" s="455"/>
      <c r="HK444" s="455"/>
      <c r="HL444" s="455"/>
      <c r="HM444" s="455"/>
      <c r="HN444" s="455"/>
      <c r="HO444" s="455"/>
      <c r="HP444" s="455"/>
      <c r="HQ444" s="455"/>
      <c r="HR444" s="455"/>
      <c r="HS444" s="455"/>
      <c r="HT444" s="455"/>
      <c r="HU444" s="455"/>
      <c r="HV444" s="455"/>
      <c r="HW444" s="455"/>
      <c r="HX444" s="455"/>
      <c r="HY444" s="455"/>
      <c r="HZ444" s="455"/>
      <c r="IA444" s="455"/>
      <c r="IB444" s="455"/>
      <c r="IC444" s="455"/>
      <c r="ID444" s="455"/>
      <c r="IE444" s="455"/>
      <c r="IF444" s="455"/>
      <c r="IG444" s="455"/>
      <c r="IH444" s="455"/>
      <c r="II444" s="455"/>
      <c r="IJ444" s="455"/>
      <c r="IK444" s="455"/>
      <c r="IL444" s="455"/>
      <c r="IM444" s="455"/>
      <c r="IN444" s="455"/>
      <c r="IO444" s="455"/>
      <c r="IP444" s="455"/>
      <c r="IQ444" s="455"/>
      <c r="IR444" s="455"/>
      <c r="IS444" s="455"/>
    </row>
    <row r="445" spans="1:253" s="458" customFormat="1" ht="45" x14ac:dyDescent="0.2">
      <c r="A445" s="444">
        <v>8682</v>
      </c>
      <c r="B445" s="445" t="s">
        <v>84</v>
      </c>
      <c r="C445" s="445" t="s">
        <v>85</v>
      </c>
      <c r="D445" s="445"/>
      <c r="E445" s="445"/>
      <c r="F445" s="479"/>
      <c r="G445" s="446">
        <v>293</v>
      </c>
      <c r="H445" s="445" t="s">
        <v>619</v>
      </c>
      <c r="I445" s="445"/>
      <c r="J445" s="445"/>
      <c r="K445" s="447"/>
      <c r="L445" s="445" t="s">
        <v>133</v>
      </c>
      <c r="M445" s="445">
        <v>4</v>
      </c>
      <c r="N445" s="445" t="s">
        <v>102</v>
      </c>
      <c r="O445" s="464" t="s">
        <v>1492</v>
      </c>
      <c r="P445" s="450">
        <v>2.661</v>
      </c>
      <c r="Q445" s="451">
        <f t="shared" si="12"/>
        <v>2.661</v>
      </c>
      <c r="R445" s="451">
        <f>SUMIF('Wege im Detail'!$A:$A,"8682",'Wege im Detail'!$P:$P)</f>
        <v>2.661</v>
      </c>
      <c r="S445" s="452" t="s">
        <v>620</v>
      </c>
      <c r="T445" s="453">
        <v>43922</v>
      </c>
      <c r="U445" s="448"/>
      <c r="W445" s="448"/>
    </row>
    <row r="446" spans="1:253" s="458" customFormat="1" ht="56.25" x14ac:dyDescent="0.2">
      <c r="A446" s="444">
        <v>8683</v>
      </c>
      <c r="B446" s="445" t="s">
        <v>84</v>
      </c>
      <c r="C446" s="445" t="s">
        <v>85</v>
      </c>
      <c r="D446" s="445"/>
      <c r="E446" s="445"/>
      <c r="F446" s="479"/>
      <c r="G446" s="446">
        <v>291</v>
      </c>
      <c r="H446" s="445" t="s">
        <v>621</v>
      </c>
      <c r="I446" s="445"/>
      <c r="J446" s="445"/>
      <c r="K446" s="447"/>
      <c r="L446" s="445" t="s">
        <v>142</v>
      </c>
      <c r="M446" s="445">
        <v>4</v>
      </c>
      <c r="N446" s="445" t="s">
        <v>102</v>
      </c>
      <c r="O446" s="464" t="s">
        <v>1493</v>
      </c>
      <c r="P446" s="450">
        <v>6.5359999999999996</v>
      </c>
      <c r="Q446" s="451">
        <f t="shared" si="12"/>
        <v>6.5359999999999996</v>
      </c>
      <c r="R446" s="451">
        <f>SUMIF('Wege im Detail'!$A:$A,"8683",'Wege im Detail'!$P:$P)</f>
        <v>6.5359999999999996</v>
      </c>
      <c r="S446" s="452" t="s">
        <v>622</v>
      </c>
      <c r="T446" s="453">
        <v>43922</v>
      </c>
      <c r="U446" s="448"/>
      <c r="W446" s="448"/>
    </row>
    <row r="447" spans="1:253" s="458" customFormat="1" ht="56.25" x14ac:dyDescent="0.2">
      <c r="A447" s="444">
        <v>8684</v>
      </c>
      <c r="B447" s="445" t="s">
        <v>84</v>
      </c>
      <c r="C447" s="445" t="s">
        <v>85</v>
      </c>
      <c r="D447" s="445"/>
      <c r="E447" s="445"/>
      <c r="F447" s="479"/>
      <c r="G447" s="446">
        <v>292</v>
      </c>
      <c r="H447" s="445" t="s">
        <v>623</v>
      </c>
      <c r="I447" s="445"/>
      <c r="J447" s="445"/>
      <c r="K447" s="447"/>
      <c r="L447" s="445" t="s">
        <v>147</v>
      </c>
      <c r="M447" s="445">
        <v>4</v>
      </c>
      <c r="N447" s="445" t="s">
        <v>102</v>
      </c>
      <c r="O447" s="464" t="s">
        <v>1494</v>
      </c>
      <c r="P447" s="450">
        <v>5.2350000000000003</v>
      </c>
      <c r="Q447" s="451">
        <f t="shared" si="12"/>
        <v>5.2350000000000003</v>
      </c>
      <c r="R447" s="451">
        <f>SUMIF('Wege im Detail'!$A:$A,"8684",'Wege im Detail'!$P:$P)</f>
        <v>5.2350000000000003</v>
      </c>
      <c r="S447" s="452" t="s">
        <v>624</v>
      </c>
      <c r="T447" s="453">
        <v>43922</v>
      </c>
      <c r="U447" s="448"/>
      <c r="W447" s="448"/>
      <c r="X447" s="455"/>
      <c r="Y447" s="455"/>
      <c r="Z447" s="455"/>
      <c r="AA447" s="455"/>
      <c r="AB447" s="455"/>
      <c r="AC447" s="455"/>
      <c r="AD447" s="455"/>
      <c r="AE447" s="455"/>
      <c r="AF447" s="455"/>
      <c r="AG447" s="455"/>
      <c r="AH447" s="455"/>
      <c r="AI447" s="455"/>
      <c r="AJ447" s="455"/>
      <c r="AK447" s="455"/>
      <c r="AL447" s="455"/>
      <c r="AM447" s="455"/>
      <c r="AN447" s="455"/>
      <c r="AO447" s="455"/>
      <c r="AP447" s="455"/>
      <c r="AQ447" s="455"/>
      <c r="AR447" s="455"/>
      <c r="AS447" s="455"/>
      <c r="AT447" s="455"/>
      <c r="AU447" s="455"/>
      <c r="AV447" s="455"/>
      <c r="AW447" s="455"/>
      <c r="AX447" s="455"/>
      <c r="AY447" s="455"/>
      <c r="AZ447" s="455"/>
      <c r="BA447" s="455"/>
      <c r="BB447" s="455"/>
      <c r="BC447" s="455"/>
      <c r="BD447" s="455"/>
      <c r="BE447" s="455"/>
      <c r="BF447" s="455"/>
      <c r="BG447" s="455"/>
      <c r="BH447" s="455"/>
      <c r="BI447" s="455"/>
      <c r="BJ447" s="455"/>
      <c r="BK447" s="455"/>
      <c r="BL447" s="455"/>
      <c r="BM447" s="455"/>
      <c r="BN447" s="455"/>
      <c r="BO447" s="455"/>
      <c r="BP447" s="455"/>
      <c r="BQ447" s="455"/>
      <c r="BR447" s="455"/>
      <c r="BS447" s="455"/>
      <c r="BT447" s="455"/>
      <c r="BU447" s="455"/>
      <c r="BV447" s="455"/>
      <c r="BW447" s="455"/>
      <c r="BX447" s="455"/>
      <c r="BY447" s="455"/>
      <c r="BZ447" s="455"/>
      <c r="CA447" s="455"/>
      <c r="CB447" s="455"/>
      <c r="CC447" s="455"/>
      <c r="CD447" s="455"/>
      <c r="CE447" s="455"/>
      <c r="CF447" s="455"/>
      <c r="CG447" s="455"/>
      <c r="CH447" s="455"/>
      <c r="CI447" s="455"/>
      <c r="CJ447" s="455"/>
      <c r="CK447" s="455"/>
      <c r="CL447" s="455"/>
      <c r="CM447" s="455"/>
      <c r="CN447" s="455"/>
      <c r="CO447" s="455"/>
      <c r="CP447" s="455"/>
      <c r="CQ447" s="455"/>
      <c r="CR447" s="455"/>
      <c r="CS447" s="455"/>
      <c r="CT447" s="455"/>
      <c r="CU447" s="455"/>
      <c r="CV447" s="455"/>
      <c r="CW447" s="455"/>
      <c r="CX447" s="455"/>
      <c r="CY447" s="455"/>
      <c r="CZ447" s="455"/>
      <c r="DA447" s="455"/>
      <c r="DB447" s="455"/>
      <c r="DC447" s="455"/>
      <c r="DD447" s="455"/>
      <c r="DE447" s="455"/>
      <c r="DF447" s="455"/>
      <c r="DG447" s="455"/>
      <c r="DH447" s="455"/>
      <c r="DI447" s="455"/>
      <c r="DJ447" s="455"/>
      <c r="DK447" s="455"/>
      <c r="DL447" s="455"/>
      <c r="DM447" s="455"/>
      <c r="DN447" s="455"/>
      <c r="DO447" s="455"/>
      <c r="DP447" s="455"/>
      <c r="DQ447" s="455"/>
      <c r="DR447" s="455"/>
      <c r="DS447" s="455"/>
      <c r="DT447" s="455"/>
      <c r="DU447" s="455"/>
      <c r="DV447" s="455"/>
      <c r="DW447" s="455"/>
      <c r="DX447" s="455"/>
      <c r="DY447" s="455"/>
      <c r="DZ447" s="455"/>
      <c r="EA447" s="455"/>
      <c r="EB447" s="455"/>
      <c r="EC447" s="455"/>
      <c r="ED447" s="455"/>
      <c r="EE447" s="455"/>
      <c r="EF447" s="455"/>
      <c r="EG447" s="455"/>
      <c r="EH447" s="455"/>
      <c r="EI447" s="455"/>
      <c r="EJ447" s="455"/>
      <c r="EK447" s="455"/>
      <c r="EL447" s="455"/>
      <c r="EM447" s="455"/>
      <c r="EN447" s="455"/>
      <c r="EO447" s="455"/>
      <c r="EP447" s="455"/>
      <c r="EQ447" s="455"/>
      <c r="ER447" s="455"/>
      <c r="ES447" s="455"/>
      <c r="ET447" s="455"/>
      <c r="EU447" s="455"/>
      <c r="EV447" s="455"/>
      <c r="EW447" s="455"/>
      <c r="EX447" s="455"/>
      <c r="EY447" s="455"/>
      <c r="EZ447" s="455"/>
      <c r="FA447" s="455"/>
      <c r="FB447" s="455"/>
      <c r="FC447" s="455"/>
      <c r="FD447" s="455"/>
      <c r="FE447" s="455"/>
      <c r="FF447" s="455"/>
      <c r="FG447" s="455"/>
      <c r="FH447" s="455"/>
      <c r="FI447" s="455"/>
      <c r="FJ447" s="455"/>
      <c r="FK447" s="455"/>
      <c r="FL447" s="455"/>
      <c r="FM447" s="455"/>
      <c r="FN447" s="455"/>
      <c r="FO447" s="455"/>
      <c r="FP447" s="455"/>
      <c r="FQ447" s="455"/>
      <c r="FR447" s="455"/>
      <c r="FS447" s="455"/>
      <c r="FT447" s="455"/>
      <c r="FU447" s="455"/>
      <c r="FV447" s="455"/>
      <c r="FW447" s="455"/>
      <c r="FX447" s="455"/>
      <c r="FY447" s="455"/>
      <c r="FZ447" s="455"/>
      <c r="GA447" s="455"/>
      <c r="GB447" s="455"/>
      <c r="GC447" s="455"/>
      <c r="GD447" s="455"/>
      <c r="GE447" s="455"/>
      <c r="GF447" s="455"/>
      <c r="GG447" s="455"/>
      <c r="GH447" s="455"/>
      <c r="GI447" s="455"/>
      <c r="GJ447" s="455"/>
      <c r="GK447" s="455"/>
      <c r="GL447" s="455"/>
      <c r="GM447" s="455"/>
      <c r="GN447" s="455"/>
      <c r="GO447" s="455"/>
      <c r="GP447" s="455"/>
      <c r="GQ447" s="455"/>
      <c r="GR447" s="455"/>
      <c r="GS447" s="455"/>
      <c r="GT447" s="455"/>
      <c r="GU447" s="455"/>
      <c r="GV447" s="455"/>
      <c r="GW447" s="455"/>
      <c r="GX447" s="455"/>
      <c r="GY447" s="455"/>
      <c r="GZ447" s="455"/>
      <c r="HA447" s="455"/>
      <c r="HB447" s="455"/>
      <c r="HC447" s="455"/>
      <c r="HD447" s="455"/>
      <c r="HE447" s="455"/>
      <c r="HF447" s="455"/>
      <c r="HG447" s="455"/>
      <c r="HH447" s="455"/>
      <c r="HI447" s="455"/>
      <c r="HJ447" s="455"/>
      <c r="HK447" s="455"/>
      <c r="HL447" s="455"/>
      <c r="HM447" s="455"/>
      <c r="HN447" s="455"/>
      <c r="HO447" s="455"/>
      <c r="HP447" s="455"/>
      <c r="HQ447" s="455"/>
      <c r="HR447" s="455"/>
      <c r="HS447" s="455"/>
      <c r="HT447" s="455"/>
      <c r="HU447" s="455"/>
      <c r="HV447" s="455"/>
      <c r="HW447" s="455"/>
      <c r="HX447" s="455"/>
      <c r="HY447" s="455"/>
      <c r="HZ447" s="455"/>
      <c r="IA447" s="455"/>
      <c r="IB447" s="455"/>
      <c r="IC447" s="455"/>
      <c r="ID447" s="455"/>
      <c r="IE447" s="455"/>
      <c r="IF447" s="455"/>
      <c r="IG447" s="455"/>
      <c r="IH447" s="455"/>
      <c r="II447" s="455"/>
      <c r="IJ447" s="455"/>
      <c r="IK447" s="455"/>
      <c r="IL447" s="455"/>
      <c r="IM447" s="455"/>
      <c r="IN447" s="455"/>
      <c r="IO447" s="455"/>
      <c r="IP447" s="455"/>
      <c r="IQ447" s="455"/>
      <c r="IR447" s="455"/>
      <c r="IS447" s="455"/>
    </row>
    <row r="448" spans="1:253" s="458" customFormat="1" ht="45" x14ac:dyDescent="0.2">
      <c r="A448" s="444">
        <v>8685</v>
      </c>
      <c r="B448" s="445" t="s">
        <v>84</v>
      </c>
      <c r="C448" s="445" t="s">
        <v>85</v>
      </c>
      <c r="D448" s="445"/>
      <c r="E448" s="445"/>
      <c r="F448" s="445"/>
      <c r="G448" s="446">
        <v>294</v>
      </c>
      <c r="H448" s="445" t="s">
        <v>625</v>
      </c>
      <c r="I448" s="445"/>
      <c r="J448" s="445"/>
      <c r="K448" s="447"/>
      <c r="L448" s="445" t="s">
        <v>138</v>
      </c>
      <c r="M448" s="445">
        <v>4</v>
      </c>
      <c r="N448" s="445" t="s">
        <v>124</v>
      </c>
      <c r="O448" s="449" t="s">
        <v>1495</v>
      </c>
      <c r="P448" s="450">
        <v>9.4649999999999999</v>
      </c>
      <c r="Q448" s="451">
        <f t="shared" si="12"/>
        <v>9.4649999999999999</v>
      </c>
      <c r="R448" s="451">
        <f>SUMIF('Wege im Detail'!$A:$A,"8685",'Wege im Detail'!$P:$P)</f>
        <v>9.4649999999999999</v>
      </c>
      <c r="S448" s="452" t="s">
        <v>626</v>
      </c>
      <c r="T448" s="453">
        <v>44075</v>
      </c>
      <c r="U448" s="448"/>
      <c r="V448" s="466"/>
      <c r="W448" s="448"/>
      <c r="X448" s="455"/>
      <c r="Y448" s="455"/>
      <c r="Z448" s="455"/>
      <c r="AA448" s="455"/>
      <c r="AB448" s="455"/>
      <c r="AC448" s="455"/>
      <c r="AD448" s="455"/>
      <c r="AE448" s="455"/>
      <c r="AF448" s="455"/>
      <c r="AG448" s="455"/>
      <c r="AH448" s="455"/>
      <c r="AI448" s="455"/>
      <c r="AJ448" s="455"/>
      <c r="AK448" s="455"/>
      <c r="AL448" s="455"/>
      <c r="AM448" s="455"/>
      <c r="AN448" s="455"/>
      <c r="AO448" s="455"/>
      <c r="AP448" s="455"/>
      <c r="AQ448" s="455"/>
      <c r="AR448" s="455"/>
      <c r="AS448" s="455"/>
      <c r="AT448" s="455"/>
      <c r="AU448" s="455"/>
      <c r="AV448" s="455"/>
      <c r="AW448" s="455"/>
      <c r="AX448" s="455"/>
      <c r="AY448" s="455"/>
      <c r="AZ448" s="455"/>
      <c r="BA448" s="455"/>
      <c r="BB448" s="455"/>
      <c r="BC448" s="455"/>
      <c r="BD448" s="455"/>
      <c r="BE448" s="455"/>
      <c r="BF448" s="455"/>
      <c r="BG448" s="455"/>
      <c r="BH448" s="455"/>
      <c r="BI448" s="455"/>
      <c r="BJ448" s="455"/>
      <c r="BK448" s="455"/>
      <c r="BL448" s="455"/>
      <c r="BM448" s="455"/>
      <c r="BN448" s="455"/>
      <c r="BO448" s="455"/>
      <c r="BP448" s="455"/>
      <c r="BQ448" s="455"/>
      <c r="BR448" s="455"/>
      <c r="BS448" s="455"/>
      <c r="BT448" s="455"/>
      <c r="BU448" s="455"/>
      <c r="BV448" s="455"/>
      <c r="BW448" s="455"/>
      <c r="BX448" s="455"/>
      <c r="BY448" s="455"/>
      <c r="BZ448" s="455"/>
      <c r="CA448" s="455"/>
      <c r="CB448" s="455"/>
      <c r="CC448" s="455"/>
      <c r="CD448" s="455"/>
      <c r="CE448" s="455"/>
      <c r="CF448" s="455"/>
      <c r="CG448" s="455"/>
      <c r="CH448" s="455"/>
      <c r="CI448" s="455"/>
      <c r="CJ448" s="455"/>
      <c r="CK448" s="455"/>
      <c r="CL448" s="455"/>
      <c r="CM448" s="455"/>
      <c r="CN448" s="455"/>
      <c r="CO448" s="455"/>
      <c r="CP448" s="455"/>
      <c r="CQ448" s="455"/>
      <c r="CR448" s="455"/>
      <c r="CS448" s="455"/>
      <c r="CT448" s="455"/>
      <c r="CU448" s="455"/>
      <c r="CV448" s="455"/>
      <c r="CW448" s="455"/>
      <c r="CX448" s="455"/>
      <c r="CY448" s="455"/>
      <c r="CZ448" s="455"/>
      <c r="DA448" s="455"/>
      <c r="DB448" s="455"/>
      <c r="DC448" s="455"/>
      <c r="DD448" s="455"/>
      <c r="DE448" s="455"/>
      <c r="DF448" s="455"/>
      <c r="DG448" s="455"/>
      <c r="DH448" s="455"/>
      <c r="DI448" s="455"/>
      <c r="DJ448" s="455"/>
      <c r="DK448" s="455"/>
      <c r="DL448" s="455"/>
      <c r="DM448" s="455"/>
      <c r="DN448" s="455"/>
      <c r="DO448" s="455"/>
      <c r="DP448" s="455"/>
      <c r="DQ448" s="455"/>
      <c r="DR448" s="455"/>
      <c r="DS448" s="455"/>
      <c r="DT448" s="455"/>
      <c r="DU448" s="455"/>
      <c r="DV448" s="455"/>
      <c r="DW448" s="455"/>
      <c r="DX448" s="455"/>
      <c r="DY448" s="455"/>
      <c r="DZ448" s="455"/>
      <c r="EA448" s="455"/>
      <c r="EB448" s="455"/>
      <c r="EC448" s="455"/>
      <c r="ED448" s="455"/>
      <c r="EE448" s="455"/>
      <c r="EF448" s="455"/>
      <c r="EG448" s="455"/>
      <c r="EH448" s="455"/>
      <c r="EI448" s="455"/>
      <c r="EJ448" s="455"/>
      <c r="EK448" s="455"/>
      <c r="EL448" s="455"/>
      <c r="EM448" s="455"/>
      <c r="EN448" s="455"/>
      <c r="EO448" s="455"/>
      <c r="EP448" s="455"/>
      <c r="EQ448" s="455"/>
      <c r="ER448" s="455"/>
      <c r="ES448" s="455"/>
      <c r="ET448" s="455"/>
      <c r="EU448" s="455"/>
      <c r="EV448" s="455"/>
      <c r="EW448" s="455"/>
      <c r="EX448" s="455"/>
      <c r="EY448" s="455"/>
      <c r="EZ448" s="455"/>
      <c r="FA448" s="455"/>
      <c r="FB448" s="455"/>
      <c r="FC448" s="455"/>
      <c r="FD448" s="455"/>
      <c r="FE448" s="455"/>
      <c r="FF448" s="455"/>
      <c r="FG448" s="455"/>
      <c r="FH448" s="455"/>
      <c r="FI448" s="455"/>
      <c r="FJ448" s="455"/>
      <c r="FK448" s="455"/>
      <c r="FL448" s="455"/>
      <c r="FM448" s="455"/>
      <c r="FN448" s="455"/>
      <c r="FO448" s="455"/>
      <c r="FP448" s="455"/>
      <c r="FQ448" s="455"/>
      <c r="FR448" s="455"/>
      <c r="FS448" s="455"/>
      <c r="FT448" s="455"/>
      <c r="FU448" s="455"/>
      <c r="FV448" s="455"/>
      <c r="FW448" s="455"/>
      <c r="FX448" s="455"/>
      <c r="FY448" s="455"/>
      <c r="FZ448" s="455"/>
      <c r="GA448" s="455"/>
      <c r="GB448" s="455"/>
      <c r="GC448" s="455"/>
      <c r="GD448" s="455"/>
      <c r="GE448" s="455"/>
      <c r="GF448" s="455"/>
      <c r="GG448" s="455"/>
      <c r="GH448" s="455"/>
      <c r="GI448" s="455"/>
      <c r="GJ448" s="455"/>
      <c r="GK448" s="455"/>
      <c r="GL448" s="455"/>
      <c r="GM448" s="455"/>
      <c r="GN448" s="455"/>
      <c r="GO448" s="455"/>
      <c r="GP448" s="455"/>
      <c r="GQ448" s="455"/>
      <c r="GR448" s="455"/>
      <c r="GS448" s="455"/>
      <c r="GT448" s="455"/>
      <c r="GU448" s="455"/>
      <c r="GV448" s="455"/>
      <c r="GW448" s="455"/>
      <c r="GX448" s="455"/>
      <c r="GY448" s="455"/>
      <c r="GZ448" s="455"/>
      <c r="HA448" s="455"/>
      <c r="HB448" s="455"/>
      <c r="HC448" s="455"/>
      <c r="HD448" s="455"/>
      <c r="HE448" s="455"/>
      <c r="HF448" s="455"/>
      <c r="HG448" s="455"/>
      <c r="HH448" s="455"/>
      <c r="HI448" s="455"/>
      <c r="HJ448" s="455"/>
      <c r="HK448" s="455"/>
      <c r="HL448" s="455"/>
      <c r="HM448" s="455"/>
      <c r="HN448" s="455"/>
      <c r="HO448" s="455"/>
      <c r="HP448" s="455"/>
      <c r="HQ448" s="455"/>
      <c r="HR448" s="455"/>
      <c r="HS448" s="455"/>
      <c r="HT448" s="455"/>
      <c r="HU448" s="455"/>
      <c r="HV448" s="455"/>
      <c r="HW448" s="455"/>
      <c r="HX448" s="455"/>
      <c r="HY448" s="455"/>
      <c r="HZ448" s="455"/>
      <c r="IA448" s="455"/>
      <c r="IB448" s="455"/>
      <c r="IC448" s="455"/>
      <c r="ID448" s="455"/>
      <c r="IE448" s="455"/>
      <c r="IF448" s="455"/>
      <c r="IG448" s="455"/>
      <c r="IH448" s="455"/>
      <c r="II448" s="455"/>
      <c r="IJ448" s="455"/>
      <c r="IK448" s="455"/>
      <c r="IL448" s="455"/>
      <c r="IM448" s="455"/>
      <c r="IN448" s="455"/>
      <c r="IO448" s="455"/>
      <c r="IP448" s="455"/>
      <c r="IQ448" s="455"/>
      <c r="IR448" s="455"/>
      <c r="IS448" s="455"/>
    </row>
    <row r="449" spans="1:253" s="458" customFormat="1" ht="56.25" x14ac:dyDescent="0.2">
      <c r="A449" s="444">
        <v>8686</v>
      </c>
      <c r="B449" s="445" t="s">
        <v>84</v>
      </c>
      <c r="C449" s="445" t="s">
        <v>85</v>
      </c>
      <c r="D449" s="445"/>
      <c r="E449" s="445"/>
      <c r="F449" s="445"/>
      <c r="G449" s="446">
        <v>212</v>
      </c>
      <c r="H449" s="445" t="s">
        <v>627</v>
      </c>
      <c r="I449" s="445"/>
      <c r="J449" s="445"/>
      <c r="K449" s="447"/>
      <c r="L449" s="445" t="s">
        <v>147</v>
      </c>
      <c r="M449" s="445">
        <v>1</v>
      </c>
      <c r="N449" s="445" t="s">
        <v>384</v>
      </c>
      <c r="O449" s="449" t="s">
        <v>1496</v>
      </c>
      <c r="P449" s="450">
        <v>8.7750000000000004</v>
      </c>
      <c r="Q449" s="451">
        <f t="shared" si="12"/>
        <v>8.7750000000000004</v>
      </c>
      <c r="R449" s="451">
        <f>SUMIF('Wege im Detail'!$A:$A,"8686",'Wege im Detail'!$P:$P)</f>
        <v>8.7750000000000004</v>
      </c>
      <c r="S449" s="452" t="s">
        <v>628</v>
      </c>
      <c r="T449" s="453">
        <v>43922</v>
      </c>
      <c r="U449" s="448"/>
      <c r="V449" s="476"/>
      <c r="W449" s="448"/>
    </row>
    <row r="450" spans="1:253" s="458" customFormat="1" ht="56.25" x14ac:dyDescent="0.2">
      <c r="A450" s="444">
        <v>8687</v>
      </c>
      <c r="B450" s="445" t="s">
        <v>84</v>
      </c>
      <c r="C450" s="445" t="s">
        <v>85</v>
      </c>
      <c r="D450" s="445"/>
      <c r="E450" s="445"/>
      <c r="F450" s="445"/>
      <c r="G450" s="446">
        <v>213</v>
      </c>
      <c r="H450" s="445" t="s">
        <v>629</v>
      </c>
      <c r="I450" s="445"/>
      <c r="J450" s="445"/>
      <c r="K450" s="447"/>
      <c r="L450" s="445" t="s">
        <v>133</v>
      </c>
      <c r="M450" s="445">
        <v>1</v>
      </c>
      <c r="N450" s="445" t="s">
        <v>384</v>
      </c>
      <c r="O450" s="449" t="s">
        <v>1497</v>
      </c>
      <c r="P450" s="450">
        <v>8.14</v>
      </c>
      <c r="Q450" s="451">
        <f t="shared" si="12"/>
        <v>8.14</v>
      </c>
      <c r="R450" s="451">
        <f>SUMIF('Wege im Detail'!$A:$A,"8687",'Wege im Detail'!$P:$P)</f>
        <v>8.14</v>
      </c>
      <c r="S450" s="452" t="s">
        <v>630</v>
      </c>
      <c r="T450" s="453">
        <v>43922</v>
      </c>
      <c r="U450" s="448"/>
      <c r="V450" s="476"/>
      <c r="W450" s="448"/>
    </row>
    <row r="451" spans="1:253" s="458" customFormat="1" ht="56.25" x14ac:dyDescent="0.2">
      <c r="A451" s="444">
        <v>8689</v>
      </c>
      <c r="B451" s="445" t="s">
        <v>84</v>
      </c>
      <c r="C451" s="445" t="s">
        <v>85</v>
      </c>
      <c r="D451" s="445"/>
      <c r="E451" s="445"/>
      <c r="F451" s="479"/>
      <c r="G451" s="446">
        <v>262</v>
      </c>
      <c r="H451" s="445" t="s">
        <v>632</v>
      </c>
      <c r="I451" s="445"/>
      <c r="J451" s="445"/>
      <c r="K451" s="447"/>
      <c r="L451" s="445" t="s">
        <v>147</v>
      </c>
      <c r="M451" s="445">
        <v>5</v>
      </c>
      <c r="N451" s="445" t="s">
        <v>164</v>
      </c>
      <c r="O451" s="464" t="s">
        <v>1498</v>
      </c>
      <c r="P451" s="450">
        <v>3.3450000000000002</v>
      </c>
      <c r="Q451" s="451">
        <f t="shared" si="12"/>
        <v>3.3450000000000002</v>
      </c>
      <c r="R451" s="451">
        <f>SUMIF('Wege im Detail'!$A:$A,"8689",'Wege im Detail'!$P:$P)</f>
        <v>3.3450000000000002</v>
      </c>
      <c r="S451" s="452" t="s">
        <v>633</v>
      </c>
      <c r="T451" s="453">
        <v>43831</v>
      </c>
      <c r="U451" s="448"/>
      <c r="W451" s="448"/>
    </row>
    <row r="452" spans="1:253" s="458" customFormat="1" ht="56.25" x14ac:dyDescent="0.2">
      <c r="A452" s="444">
        <v>8690</v>
      </c>
      <c r="B452" s="445" t="s">
        <v>84</v>
      </c>
      <c r="C452" s="445" t="s">
        <v>85</v>
      </c>
      <c r="D452" s="445"/>
      <c r="E452" s="445"/>
      <c r="F452" s="479"/>
      <c r="G452" s="446">
        <v>263</v>
      </c>
      <c r="H452" s="445" t="s">
        <v>635</v>
      </c>
      <c r="I452" s="445"/>
      <c r="J452" s="445"/>
      <c r="K452" s="447"/>
      <c r="L452" s="445" t="s">
        <v>133</v>
      </c>
      <c r="M452" s="445">
        <v>5</v>
      </c>
      <c r="N452" s="445" t="s">
        <v>164</v>
      </c>
      <c r="O452" s="449" t="s">
        <v>1499</v>
      </c>
      <c r="P452" s="450">
        <v>8.0879999999999992</v>
      </c>
      <c r="Q452" s="451">
        <f t="shared" si="12"/>
        <v>8.0879999999999992</v>
      </c>
      <c r="R452" s="451">
        <f>SUMIF('Wege im Detail'!$A:$A,"8690",'Wege im Detail'!$P:$P)</f>
        <v>8.0879999999999992</v>
      </c>
      <c r="S452" s="452" t="s">
        <v>636</v>
      </c>
      <c r="T452" s="453">
        <v>43831</v>
      </c>
      <c r="U452" s="448"/>
      <c r="W452" s="448"/>
    </row>
    <row r="453" spans="1:253" s="458" customFormat="1" ht="56.25" x14ac:dyDescent="0.2">
      <c r="A453" s="444">
        <v>8691</v>
      </c>
      <c r="B453" s="445" t="s">
        <v>84</v>
      </c>
      <c r="C453" s="445" t="s">
        <v>85</v>
      </c>
      <c r="D453" s="445"/>
      <c r="E453" s="445"/>
      <c r="F453" s="479"/>
      <c r="G453" s="446">
        <v>264</v>
      </c>
      <c r="H453" s="445" t="s">
        <v>638</v>
      </c>
      <c r="I453" s="445"/>
      <c r="J453" s="445"/>
      <c r="K453" s="447"/>
      <c r="L453" s="445" t="s">
        <v>138</v>
      </c>
      <c r="M453" s="445">
        <v>5</v>
      </c>
      <c r="N453" s="445" t="s">
        <v>164</v>
      </c>
      <c r="O453" s="449" t="s">
        <v>1500</v>
      </c>
      <c r="P453" s="450">
        <v>7.9790000000000001</v>
      </c>
      <c r="Q453" s="451">
        <f t="shared" si="12"/>
        <v>7.9790000000000001</v>
      </c>
      <c r="R453" s="451">
        <f>SUMIF('Wege im Detail'!$A:$A,"8691",'Wege im Detail'!$P:$P)</f>
        <v>7.9790000000000001</v>
      </c>
      <c r="S453" s="452" t="s">
        <v>639</v>
      </c>
      <c r="T453" s="453">
        <v>43831</v>
      </c>
      <c r="U453" s="448"/>
      <c r="W453" s="448"/>
    </row>
    <row r="454" spans="1:253" s="458" customFormat="1" ht="56.25" x14ac:dyDescent="0.2">
      <c r="A454" s="444">
        <v>8692</v>
      </c>
      <c r="B454" s="445" t="s">
        <v>84</v>
      </c>
      <c r="C454" s="445" t="s">
        <v>85</v>
      </c>
      <c r="D454" s="445"/>
      <c r="E454" s="445"/>
      <c r="F454" s="479"/>
      <c r="G454" s="446">
        <v>265</v>
      </c>
      <c r="H454" s="445" t="s">
        <v>640</v>
      </c>
      <c r="I454" s="445"/>
      <c r="J454" s="445"/>
      <c r="K454" s="447"/>
      <c r="L454" s="445" t="s">
        <v>88</v>
      </c>
      <c r="M454" s="445">
        <v>5</v>
      </c>
      <c r="N454" s="445" t="s">
        <v>164</v>
      </c>
      <c r="O454" s="449" t="s">
        <v>1501</v>
      </c>
      <c r="P454" s="450">
        <v>4.8689999999999998</v>
      </c>
      <c r="Q454" s="451">
        <f t="shared" si="12"/>
        <v>4.8689999999999998</v>
      </c>
      <c r="R454" s="451">
        <f>SUMIF('Wege im Detail'!$A:$A,"8692",'Wege im Detail'!$P:$P)</f>
        <v>4.8689999999999998</v>
      </c>
      <c r="S454" s="452" t="s">
        <v>641</v>
      </c>
      <c r="T454" s="453">
        <v>43831</v>
      </c>
      <c r="U454" s="448"/>
      <c r="W454" s="448"/>
      <c r="X454" s="455"/>
      <c r="Y454" s="455"/>
      <c r="Z454" s="455"/>
      <c r="AA454" s="455"/>
      <c r="AB454" s="455"/>
      <c r="AC454" s="455"/>
      <c r="AD454" s="455"/>
      <c r="AE454" s="455"/>
      <c r="AF454" s="455"/>
      <c r="AG454" s="455"/>
      <c r="AH454" s="455"/>
      <c r="AI454" s="455"/>
      <c r="AJ454" s="455"/>
      <c r="AK454" s="455"/>
      <c r="AL454" s="455"/>
      <c r="AM454" s="455"/>
      <c r="AN454" s="455"/>
      <c r="AO454" s="455"/>
      <c r="AP454" s="455"/>
      <c r="AQ454" s="455"/>
      <c r="AR454" s="455"/>
      <c r="AS454" s="455"/>
      <c r="AT454" s="455"/>
      <c r="AU454" s="455"/>
      <c r="AV454" s="455"/>
      <c r="AW454" s="455"/>
      <c r="AX454" s="455"/>
      <c r="AY454" s="455"/>
      <c r="AZ454" s="455"/>
      <c r="BA454" s="455"/>
      <c r="BB454" s="455"/>
      <c r="BC454" s="455"/>
      <c r="BD454" s="455"/>
      <c r="BE454" s="455"/>
      <c r="BF454" s="455"/>
      <c r="BG454" s="455"/>
      <c r="BH454" s="455"/>
      <c r="BI454" s="455"/>
      <c r="BJ454" s="455"/>
      <c r="BK454" s="455"/>
      <c r="BL454" s="455"/>
      <c r="BM454" s="455"/>
      <c r="BN454" s="455"/>
      <c r="BO454" s="455"/>
      <c r="BP454" s="455"/>
      <c r="BQ454" s="455"/>
      <c r="BR454" s="455"/>
      <c r="BS454" s="455"/>
      <c r="BT454" s="455"/>
      <c r="BU454" s="455"/>
      <c r="BV454" s="455"/>
      <c r="BW454" s="455"/>
      <c r="BX454" s="455"/>
      <c r="BY454" s="455"/>
      <c r="BZ454" s="455"/>
      <c r="CA454" s="455"/>
      <c r="CB454" s="455"/>
      <c r="CC454" s="455"/>
      <c r="CD454" s="455"/>
      <c r="CE454" s="455"/>
      <c r="CF454" s="455"/>
      <c r="CG454" s="455"/>
      <c r="CH454" s="455"/>
      <c r="CI454" s="455"/>
      <c r="CJ454" s="455"/>
      <c r="CK454" s="455"/>
      <c r="CL454" s="455"/>
      <c r="CM454" s="455"/>
      <c r="CN454" s="455"/>
      <c r="CO454" s="455"/>
      <c r="CP454" s="455"/>
      <c r="CQ454" s="455"/>
      <c r="CR454" s="455"/>
      <c r="CS454" s="455"/>
      <c r="CT454" s="455"/>
      <c r="CU454" s="455"/>
      <c r="CV454" s="455"/>
      <c r="CW454" s="455"/>
      <c r="CX454" s="455"/>
      <c r="CY454" s="455"/>
      <c r="CZ454" s="455"/>
      <c r="DA454" s="455"/>
      <c r="DB454" s="455"/>
      <c r="DC454" s="455"/>
      <c r="DD454" s="455"/>
      <c r="DE454" s="455"/>
      <c r="DF454" s="455"/>
      <c r="DG454" s="455"/>
      <c r="DH454" s="455"/>
      <c r="DI454" s="455"/>
      <c r="DJ454" s="455"/>
      <c r="DK454" s="455"/>
      <c r="DL454" s="455"/>
      <c r="DM454" s="455"/>
      <c r="DN454" s="455"/>
      <c r="DO454" s="455"/>
      <c r="DP454" s="455"/>
      <c r="DQ454" s="455"/>
      <c r="DR454" s="455"/>
      <c r="DS454" s="455"/>
      <c r="DT454" s="455"/>
      <c r="DU454" s="455"/>
      <c r="DV454" s="455"/>
      <c r="DW454" s="455"/>
      <c r="DX454" s="455"/>
      <c r="DY454" s="455"/>
      <c r="DZ454" s="455"/>
      <c r="EA454" s="455"/>
      <c r="EB454" s="455"/>
      <c r="EC454" s="455"/>
      <c r="ED454" s="455"/>
      <c r="EE454" s="455"/>
      <c r="EF454" s="455"/>
      <c r="EG454" s="455"/>
      <c r="EH454" s="455"/>
      <c r="EI454" s="455"/>
      <c r="EJ454" s="455"/>
      <c r="EK454" s="455"/>
      <c r="EL454" s="455"/>
      <c r="EM454" s="455"/>
      <c r="EN454" s="455"/>
      <c r="EO454" s="455"/>
      <c r="EP454" s="455"/>
      <c r="EQ454" s="455"/>
      <c r="ER454" s="455"/>
      <c r="ES454" s="455"/>
      <c r="ET454" s="455"/>
      <c r="EU454" s="455"/>
      <c r="EV454" s="455"/>
      <c r="EW454" s="455"/>
      <c r="EX454" s="455"/>
      <c r="EY454" s="455"/>
      <c r="EZ454" s="455"/>
      <c r="FA454" s="455"/>
      <c r="FB454" s="455"/>
      <c r="FC454" s="455"/>
      <c r="FD454" s="455"/>
      <c r="FE454" s="455"/>
      <c r="FF454" s="455"/>
      <c r="FG454" s="455"/>
      <c r="FH454" s="455"/>
      <c r="FI454" s="455"/>
      <c r="FJ454" s="455"/>
      <c r="FK454" s="455"/>
      <c r="FL454" s="455"/>
      <c r="FM454" s="455"/>
      <c r="FN454" s="455"/>
      <c r="FO454" s="455"/>
      <c r="FP454" s="455"/>
      <c r="FQ454" s="455"/>
      <c r="FR454" s="455"/>
      <c r="FS454" s="455"/>
      <c r="FT454" s="455"/>
      <c r="FU454" s="455"/>
      <c r="FV454" s="455"/>
      <c r="FW454" s="455"/>
      <c r="FX454" s="455"/>
      <c r="FY454" s="455"/>
      <c r="FZ454" s="455"/>
      <c r="GA454" s="455"/>
      <c r="GB454" s="455"/>
      <c r="GC454" s="455"/>
      <c r="GD454" s="455"/>
      <c r="GE454" s="455"/>
      <c r="GF454" s="455"/>
      <c r="GG454" s="455"/>
      <c r="GH454" s="455"/>
      <c r="GI454" s="455"/>
      <c r="GJ454" s="455"/>
      <c r="GK454" s="455"/>
      <c r="GL454" s="455"/>
      <c r="GM454" s="455"/>
      <c r="GN454" s="455"/>
      <c r="GO454" s="455"/>
      <c r="GP454" s="455"/>
      <c r="GQ454" s="455"/>
      <c r="GR454" s="455"/>
      <c r="GS454" s="455"/>
      <c r="GT454" s="455"/>
      <c r="GU454" s="455"/>
      <c r="GV454" s="455"/>
      <c r="GW454" s="455"/>
      <c r="GX454" s="455"/>
      <c r="GY454" s="455"/>
      <c r="GZ454" s="455"/>
      <c r="HA454" s="455"/>
      <c r="HB454" s="455"/>
      <c r="HC454" s="455"/>
      <c r="HD454" s="455"/>
      <c r="HE454" s="455"/>
      <c r="HF454" s="455"/>
      <c r="HG454" s="455"/>
      <c r="HH454" s="455"/>
      <c r="HI454" s="455"/>
      <c r="HJ454" s="455"/>
      <c r="HK454" s="455"/>
      <c r="HL454" s="455"/>
      <c r="HM454" s="455"/>
      <c r="HN454" s="455"/>
      <c r="HO454" s="455"/>
      <c r="HP454" s="455"/>
      <c r="HQ454" s="455"/>
      <c r="HR454" s="455"/>
      <c r="HS454" s="455"/>
      <c r="HT454" s="455"/>
      <c r="HU454" s="455"/>
      <c r="HV454" s="455"/>
      <c r="HW454" s="455"/>
      <c r="HX454" s="455"/>
      <c r="HY454" s="455"/>
      <c r="HZ454" s="455"/>
      <c r="IA454" s="455"/>
      <c r="IB454" s="455"/>
      <c r="IC454" s="455"/>
      <c r="ID454" s="455"/>
      <c r="IE454" s="455"/>
      <c r="IF454" s="455"/>
      <c r="IG454" s="455"/>
      <c r="IH454" s="455"/>
      <c r="II454" s="455"/>
      <c r="IJ454" s="455"/>
      <c r="IK454" s="455"/>
      <c r="IL454" s="455"/>
      <c r="IM454" s="455"/>
      <c r="IN454" s="455"/>
      <c r="IO454" s="455"/>
      <c r="IP454" s="455"/>
      <c r="IQ454" s="455"/>
      <c r="IR454" s="455"/>
      <c r="IS454" s="455"/>
    </row>
    <row r="455" spans="1:253" s="458" customFormat="1" ht="67.5" x14ac:dyDescent="0.2">
      <c r="A455" s="444">
        <v>8693</v>
      </c>
      <c r="B455" s="445" t="s">
        <v>84</v>
      </c>
      <c r="C455" s="445" t="s">
        <v>85</v>
      </c>
      <c r="D455" s="445"/>
      <c r="E455" s="445"/>
      <c r="F455" s="445"/>
      <c r="G455" s="446">
        <v>263</v>
      </c>
      <c r="H455" s="445" t="s">
        <v>642</v>
      </c>
      <c r="I455" s="445"/>
      <c r="J455" s="445"/>
      <c r="K455" s="447"/>
      <c r="L455" s="445" t="s">
        <v>133</v>
      </c>
      <c r="M455" s="445">
        <v>1</v>
      </c>
      <c r="N455" s="445" t="s">
        <v>126</v>
      </c>
      <c r="O455" s="449" t="s">
        <v>1502</v>
      </c>
      <c r="P455" s="450">
        <v>6.782</v>
      </c>
      <c r="Q455" s="451">
        <f t="shared" si="12"/>
        <v>6.782</v>
      </c>
      <c r="R455" s="451">
        <f>SUMIF('Wege im Detail'!$A:$A,"8693",'Wege im Detail'!$P:$P)</f>
        <v>6.782</v>
      </c>
      <c r="S455" s="452" t="s">
        <v>643</v>
      </c>
      <c r="T455" s="453">
        <v>43922</v>
      </c>
      <c r="U455" s="448"/>
      <c r="V455" s="476"/>
      <c r="W455" s="448"/>
      <c r="X455" s="455"/>
      <c r="Y455" s="455"/>
      <c r="Z455" s="455"/>
      <c r="AA455" s="455"/>
      <c r="AB455" s="455"/>
      <c r="AC455" s="455"/>
      <c r="AD455" s="455"/>
      <c r="AE455" s="455"/>
      <c r="AF455" s="455"/>
      <c r="AG455" s="455"/>
      <c r="AH455" s="455"/>
      <c r="AI455" s="455"/>
      <c r="AJ455" s="455"/>
      <c r="AK455" s="455"/>
      <c r="AL455" s="455"/>
      <c r="AM455" s="455"/>
      <c r="AN455" s="455"/>
      <c r="AO455" s="455"/>
      <c r="AP455" s="455"/>
      <c r="AQ455" s="455"/>
      <c r="AR455" s="455"/>
      <c r="AS455" s="455"/>
      <c r="AT455" s="455"/>
      <c r="AU455" s="455"/>
      <c r="AV455" s="455"/>
      <c r="AW455" s="455"/>
      <c r="AX455" s="455"/>
      <c r="AY455" s="455"/>
      <c r="AZ455" s="455"/>
      <c r="BA455" s="455"/>
      <c r="BB455" s="455"/>
      <c r="BC455" s="455"/>
      <c r="BD455" s="455"/>
      <c r="BE455" s="455"/>
      <c r="BF455" s="455"/>
      <c r="BG455" s="455"/>
      <c r="BH455" s="455"/>
      <c r="BI455" s="455"/>
      <c r="BJ455" s="455"/>
      <c r="BK455" s="455"/>
      <c r="BL455" s="455"/>
      <c r="BM455" s="455"/>
      <c r="BN455" s="455"/>
      <c r="BO455" s="455"/>
      <c r="BP455" s="455"/>
      <c r="BQ455" s="455"/>
      <c r="BR455" s="455"/>
      <c r="BS455" s="455"/>
      <c r="BT455" s="455"/>
      <c r="BU455" s="455"/>
      <c r="BV455" s="455"/>
      <c r="BW455" s="455"/>
      <c r="BX455" s="455"/>
      <c r="BY455" s="455"/>
      <c r="BZ455" s="455"/>
      <c r="CA455" s="455"/>
      <c r="CB455" s="455"/>
      <c r="CC455" s="455"/>
      <c r="CD455" s="455"/>
      <c r="CE455" s="455"/>
      <c r="CF455" s="455"/>
      <c r="CG455" s="455"/>
      <c r="CH455" s="455"/>
      <c r="CI455" s="455"/>
      <c r="CJ455" s="455"/>
      <c r="CK455" s="455"/>
      <c r="CL455" s="455"/>
      <c r="CM455" s="455"/>
      <c r="CN455" s="455"/>
      <c r="CO455" s="455"/>
      <c r="CP455" s="455"/>
      <c r="CQ455" s="455"/>
      <c r="CR455" s="455"/>
      <c r="CS455" s="455"/>
      <c r="CT455" s="455"/>
      <c r="CU455" s="455"/>
      <c r="CV455" s="455"/>
      <c r="CW455" s="455"/>
      <c r="CX455" s="455"/>
      <c r="CY455" s="455"/>
      <c r="CZ455" s="455"/>
      <c r="DA455" s="455"/>
      <c r="DB455" s="455"/>
      <c r="DC455" s="455"/>
      <c r="DD455" s="455"/>
      <c r="DE455" s="455"/>
      <c r="DF455" s="455"/>
      <c r="DG455" s="455"/>
      <c r="DH455" s="455"/>
      <c r="DI455" s="455"/>
      <c r="DJ455" s="455"/>
      <c r="DK455" s="455"/>
      <c r="DL455" s="455"/>
      <c r="DM455" s="455"/>
      <c r="DN455" s="455"/>
      <c r="DO455" s="455"/>
      <c r="DP455" s="455"/>
      <c r="DQ455" s="455"/>
      <c r="DR455" s="455"/>
      <c r="DS455" s="455"/>
      <c r="DT455" s="455"/>
      <c r="DU455" s="455"/>
      <c r="DV455" s="455"/>
      <c r="DW455" s="455"/>
      <c r="DX455" s="455"/>
      <c r="DY455" s="455"/>
      <c r="DZ455" s="455"/>
      <c r="EA455" s="455"/>
      <c r="EB455" s="455"/>
      <c r="EC455" s="455"/>
      <c r="ED455" s="455"/>
      <c r="EE455" s="455"/>
      <c r="EF455" s="455"/>
      <c r="EG455" s="455"/>
      <c r="EH455" s="455"/>
      <c r="EI455" s="455"/>
      <c r="EJ455" s="455"/>
      <c r="EK455" s="455"/>
      <c r="EL455" s="455"/>
      <c r="EM455" s="455"/>
      <c r="EN455" s="455"/>
      <c r="EO455" s="455"/>
      <c r="EP455" s="455"/>
      <c r="EQ455" s="455"/>
      <c r="ER455" s="455"/>
      <c r="ES455" s="455"/>
      <c r="ET455" s="455"/>
      <c r="EU455" s="455"/>
      <c r="EV455" s="455"/>
      <c r="EW455" s="455"/>
      <c r="EX455" s="455"/>
      <c r="EY455" s="455"/>
      <c r="EZ455" s="455"/>
      <c r="FA455" s="455"/>
      <c r="FB455" s="455"/>
      <c r="FC455" s="455"/>
      <c r="FD455" s="455"/>
      <c r="FE455" s="455"/>
      <c r="FF455" s="455"/>
      <c r="FG455" s="455"/>
      <c r="FH455" s="455"/>
      <c r="FI455" s="455"/>
      <c r="FJ455" s="455"/>
      <c r="FK455" s="455"/>
      <c r="FL455" s="455"/>
      <c r="FM455" s="455"/>
      <c r="FN455" s="455"/>
      <c r="FO455" s="455"/>
      <c r="FP455" s="455"/>
      <c r="FQ455" s="455"/>
      <c r="FR455" s="455"/>
      <c r="FS455" s="455"/>
      <c r="FT455" s="455"/>
      <c r="FU455" s="455"/>
      <c r="FV455" s="455"/>
      <c r="FW455" s="455"/>
      <c r="FX455" s="455"/>
      <c r="FY455" s="455"/>
      <c r="FZ455" s="455"/>
      <c r="GA455" s="455"/>
      <c r="GB455" s="455"/>
      <c r="GC455" s="455"/>
      <c r="GD455" s="455"/>
      <c r="GE455" s="455"/>
      <c r="GF455" s="455"/>
      <c r="GG455" s="455"/>
      <c r="GH455" s="455"/>
      <c r="GI455" s="455"/>
      <c r="GJ455" s="455"/>
      <c r="GK455" s="455"/>
      <c r="GL455" s="455"/>
      <c r="GM455" s="455"/>
      <c r="GN455" s="455"/>
      <c r="GO455" s="455"/>
      <c r="GP455" s="455"/>
      <c r="GQ455" s="455"/>
      <c r="GR455" s="455"/>
      <c r="GS455" s="455"/>
      <c r="GT455" s="455"/>
      <c r="GU455" s="455"/>
      <c r="GV455" s="455"/>
      <c r="GW455" s="455"/>
      <c r="GX455" s="455"/>
      <c r="GY455" s="455"/>
      <c r="GZ455" s="455"/>
      <c r="HA455" s="455"/>
      <c r="HB455" s="455"/>
      <c r="HC455" s="455"/>
      <c r="HD455" s="455"/>
      <c r="HE455" s="455"/>
      <c r="HF455" s="455"/>
      <c r="HG455" s="455"/>
      <c r="HH455" s="455"/>
      <c r="HI455" s="455"/>
      <c r="HJ455" s="455"/>
      <c r="HK455" s="455"/>
      <c r="HL455" s="455"/>
      <c r="HM455" s="455"/>
      <c r="HN455" s="455"/>
      <c r="HO455" s="455"/>
      <c r="HP455" s="455"/>
      <c r="HQ455" s="455"/>
      <c r="HR455" s="455"/>
      <c r="HS455" s="455"/>
      <c r="HT455" s="455"/>
      <c r="HU455" s="455"/>
      <c r="HV455" s="455"/>
      <c r="HW455" s="455"/>
      <c r="HX455" s="455"/>
      <c r="HY455" s="455"/>
      <c r="HZ455" s="455"/>
      <c r="IA455" s="455"/>
      <c r="IB455" s="455"/>
      <c r="IC455" s="455"/>
      <c r="ID455" s="455"/>
      <c r="IE455" s="455"/>
      <c r="IF455" s="455"/>
      <c r="IG455" s="455"/>
      <c r="IH455" s="455"/>
      <c r="II455" s="455"/>
      <c r="IJ455" s="455"/>
      <c r="IK455" s="455"/>
      <c r="IL455" s="455"/>
      <c r="IM455" s="455"/>
      <c r="IN455" s="455"/>
      <c r="IO455" s="455"/>
      <c r="IP455" s="455"/>
      <c r="IQ455" s="455"/>
      <c r="IR455" s="455"/>
      <c r="IS455" s="455"/>
    </row>
    <row r="456" spans="1:253" s="458" customFormat="1" ht="56.25" x14ac:dyDescent="0.2">
      <c r="A456" s="444">
        <v>8709</v>
      </c>
      <c r="B456" s="445" t="s">
        <v>84</v>
      </c>
      <c r="C456" s="445" t="s">
        <v>85</v>
      </c>
      <c r="D456" s="445"/>
      <c r="E456" s="445"/>
      <c r="F456" s="445"/>
      <c r="G456" s="446">
        <v>211</v>
      </c>
      <c r="H456" s="445" t="s">
        <v>644</v>
      </c>
      <c r="I456" s="445"/>
      <c r="J456" s="445"/>
      <c r="K456" s="447"/>
      <c r="L456" s="445" t="s">
        <v>142</v>
      </c>
      <c r="M456" s="445">
        <v>1</v>
      </c>
      <c r="N456" s="445" t="s">
        <v>384</v>
      </c>
      <c r="O456" s="449" t="s">
        <v>1503</v>
      </c>
      <c r="P456" s="450">
        <v>4.4400000000000004</v>
      </c>
      <c r="Q456" s="451">
        <f t="shared" si="12"/>
        <v>4.4400000000000004</v>
      </c>
      <c r="R456" s="451">
        <f>SUMIF('Wege im Detail'!$A:$A,"8709",'Wege im Detail'!$P:$P)</f>
        <v>4.4400000000000004</v>
      </c>
      <c r="S456" s="452" t="s">
        <v>645</v>
      </c>
      <c r="T456" s="453">
        <v>43922</v>
      </c>
      <c r="U456" s="448"/>
      <c r="V456" s="476"/>
      <c r="W456" s="448"/>
    </row>
    <row r="457" spans="1:253" s="458" customFormat="1" ht="78.75" x14ac:dyDescent="0.2">
      <c r="A457" s="444">
        <v>8710</v>
      </c>
      <c r="B457" s="445" t="s">
        <v>84</v>
      </c>
      <c r="C457" s="445" t="s">
        <v>85</v>
      </c>
      <c r="D457" s="445"/>
      <c r="E457" s="445"/>
      <c r="F457" s="455"/>
      <c r="G457" s="446">
        <v>206</v>
      </c>
      <c r="H457" s="445" t="s">
        <v>646</v>
      </c>
      <c r="I457" s="445"/>
      <c r="J457" s="445"/>
      <c r="K457" s="447"/>
      <c r="L457" s="445" t="s">
        <v>172</v>
      </c>
      <c r="M457" s="445">
        <v>1</v>
      </c>
      <c r="N457" s="445" t="s">
        <v>79</v>
      </c>
      <c r="O457" s="449" t="s">
        <v>1504</v>
      </c>
      <c r="P457" s="450">
        <v>11.631</v>
      </c>
      <c r="Q457" s="451">
        <f t="shared" si="12"/>
        <v>11.631</v>
      </c>
      <c r="R457" s="451">
        <f>SUMIF('Wege im Detail'!$A:$A,"8710",'Wege im Detail'!$P:$P)</f>
        <v>11.631</v>
      </c>
      <c r="S457" s="452" t="s">
        <v>647</v>
      </c>
      <c r="T457" s="453">
        <v>43922</v>
      </c>
      <c r="U457" s="448"/>
      <c r="W457" s="448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/>
      <c r="AH457" s="455"/>
      <c r="AI457" s="455"/>
      <c r="AJ457" s="455"/>
      <c r="AK457" s="455"/>
      <c r="AL457" s="455"/>
      <c r="AM457" s="455"/>
      <c r="AN457" s="455"/>
      <c r="AO457" s="455"/>
      <c r="AP457" s="455"/>
      <c r="AQ457" s="455"/>
      <c r="AR457" s="455"/>
      <c r="AS457" s="455"/>
      <c r="AT457" s="455"/>
      <c r="AU457" s="455"/>
      <c r="AV457" s="455"/>
      <c r="AW457" s="455"/>
      <c r="AX457" s="455"/>
      <c r="AY457" s="455"/>
      <c r="AZ457" s="455"/>
      <c r="BA457" s="455"/>
      <c r="BB457" s="455"/>
      <c r="BC457" s="455"/>
      <c r="BD457" s="455"/>
      <c r="BE457" s="455"/>
      <c r="BF457" s="455"/>
      <c r="BG457" s="455"/>
      <c r="BH457" s="455"/>
      <c r="BI457" s="455"/>
      <c r="BJ457" s="455"/>
      <c r="BK457" s="455"/>
      <c r="BL457" s="455"/>
      <c r="BM457" s="455"/>
      <c r="BN457" s="455"/>
      <c r="BO457" s="455"/>
      <c r="BP457" s="455"/>
      <c r="BQ457" s="455"/>
      <c r="BR457" s="455"/>
      <c r="BS457" s="455"/>
      <c r="BT457" s="455"/>
      <c r="BU457" s="455"/>
      <c r="BV457" s="455"/>
      <c r="BW457" s="455"/>
      <c r="BX457" s="455"/>
      <c r="BY457" s="455"/>
      <c r="BZ457" s="455"/>
      <c r="CA457" s="455"/>
      <c r="CB457" s="455"/>
      <c r="CC457" s="455"/>
      <c r="CD457" s="455"/>
      <c r="CE457" s="455"/>
      <c r="CF457" s="455"/>
      <c r="CG457" s="455"/>
      <c r="CH457" s="455"/>
      <c r="CI457" s="455"/>
      <c r="CJ457" s="455"/>
      <c r="CK457" s="455"/>
      <c r="CL457" s="455"/>
      <c r="CM457" s="455"/>
      <c r="CN457" s="455"/>
      <c r="CO457" s="455"/>
      <c r="CP457" s="455"/>
      <c r="CQ457" s="455"/>
      <c r="CR457" s="455"/>
      <c r="CS457" s="455"/>
      <c r="CT457" s="455"/>
      <c r="CU457" s="455"/>
      <c r="CV457" s="455"/>
      <c r="CW457" s="455"/>
      <c r="CX457" s="455"/>
      <c r="CY457" s="455"/>
      <c r="CZ457" s="455"/>
      <c r="DA457" s="455"/>
      <c r="DB457" s="455"/>
      <c r="DC457" s="455"/>
      <c r="DD457" s="455"/>
      <c r="DE457" s="455"/>
      <c r="DF457" s="455"/>
      <c r="DG457" s="455"/>
      <c r="DH457" s="455"/>
      <c r="DI457" s="455"/>
      <c r="DJ457" s="455"/>
      <c r="DK457" s="455"/>
      <c r="DL457" s="455"/>
      <c r="DM457" s="455"/>
      <c r="DN457" s="455"/>
      <c r="DO457" s="455"/>
      <c r="DP457" s="455"/>
      <c r="DQ457" s="455"/>
      <c r="DR457" s="455"/>
      <c r="DS457" s="455"/>
      <c r="DT457" s="455"/>
      <c r="DU457" s="455"/>
      <c r="DV457" s="455"/>
      <c r="DW457" s="455"/>
      <c r="DX457" s="455"/>
      <c r="DY457" s="455"/>
      <c r="DZ457" s="455"/>
      <c r="EA457" s="455"/>
      <c r="EB457" s="455"/>
      <c r="EC457" s="455"/>
      <c r="ED457" s="455"/>
      <c r="EE457" s="455"/>
      <c r="EF457" s="455"/>
      <c r="EG457" s="455"/>
      <c r="EH457" s="455"/>
      <c r="EI457" s="455"/>
      <c r="EJ457" s="455"/>
      <c r="EK457" s="455"/>
      <c r="EL457" s="455"/>
      <c r="EM457" s="455"/>
      <c r="EN457" s="455"/>
      <c r="EO457" s="455"/>
      <c r="EP457" s="455"/>
      <c r="EQ457" s="455"/>
      <c r="ER457" s="455"/>
      <c r="ES457" s="455"/>
      <c r="ET457" s="455"/>
      <c r="EU457" s="455"/>
      <c r="EV457" s="455"/>
      <c r="EW457" s="455"/>
      <c r="EX457" s="455"/>
      <c r="EY457" s="455"/>
      <c r="EZ457" s="455"/>
      <c r="FA457" s="455"/>
      <c r="FB457" s="455"/>
      <c r="FC457" s="455"/>
      <c r="FD457" s="455"/>
      <c r="FE457" s="455"/>
      <c r="FF457" s="455"/>
      <c r="FG457" s="455"/>
      <c r="FH457" s="455"/>
      <c r="FI457" s="455"/>
      <c r="FJ457" s="455"/>
      <c r="FK457" s="455"/>
      <c r="FL457" s="455"/>
      <c r="FM457" s="455"/>
      <c r="FN457" s="455"/>
      <c r="FO457" s="455"/>
      <c r="FP457" s="455"/>
      <c r="FQ457" s="455"/>
      <c r="FR457" s="455"/>
      <c r="FS457" s="455"/>
      <c r="FT457" s="455"/>
      <c r="FU457" s="455"/>
      <c r="FV457" s="455"/>
      <c r="FW457" s="455"/>
      <c r="FX457" s="455"/>
      <c r="FY457" s="455"/>
      <c r="FZ457" s="455"/>
      <c r="GA457" s="455"/>
      <c r="GB457" s="455"/>
      <c r="GC457" s="455"/>
      <c r="GD457" s="455"/>
      <c r="GE457" s="455"/>
      <c r="GF457" s="455"/>
      <c r="GG457" s="455"/>
      <c r="GH457" s="455"/>
      <c r="GI457" s="455"/>
      <c r="GJ457" s="455"/>
      <c r="GK457" s="455"/>
      <c r="GL457" s="455"/>
      <c r="GM457" s="455"/>
      <c r="GN457" s="455"/>
      <c r="GO457" s="455"/>
      <c r="GP457" s="455"/>
      <c r="GQ457" s="455"/>
      <c r="GR457" s="455"/>
      <c r="GS457" s="455"/>
      <c r="GT457" s="455"/>
      <c r="GU457" s="455"/>
      <c r="GV457" s="455"/>
      <c r="GW457" s="455"/>
      <c r="GX457" s="455"/>
      <c r="GY457" s="455"/>
      <c r="GZ457" s="455"/>
      <c r="HA457" s="455"/>
      <c r="HB457" s="455"/>
      <c r="HC457" s="455"/>
      <c r="HD457" s="455"/>
      <c r="HE457" s="455"/>
      <c r="HF457" s="455"/>
      <c r="HG457" s="455"/>
      <c r="HH457" s="455"/>
      <c r="HI457" s="455"/>
      <c r="HJ457" s="455"/>
      <c r="HK457" s="455"/>
      <c r="HL457" s="455"/>
      <c r="HM457" s="455"/>
      <c r="HN457" s="455"/>
      <c r="HO457" s="455"/>
      <c r="HP457" s="455"/>
      <c r="HQ457" s="455"/>
      <c r="HR457" s="455"/>
      <c r="HS457" s="455"/>
      <c r="HT457" s="455"/>
      <c r="HU457" s="455"/>
      <c r="HV457" s="455"/>
      <c r="HW457" s="455"/>
      <c r="HX457" s="455"/>
      <c r="HY457" s="455"/>
      <c r="HZ457" s="455"/>
      <c r="IA457" s="455"/>
      <c r="IB457" s="455"/>
      <c r="IC457" s="455"/>
      <c r="ID457" s="455"/>
      <c r="IE457" s="455"/>
      <c r="IF457" s="455"/>
      <c r="IG457" s="455"/>
      <c r="IH457" s="455"/>
      <c r="II457" s="455"/>
      <c r="IJ457" s="455"/>
      <c r="IK457" s="455"/>
      <c r="IL457" s="455"/>
      <c r="IM457" s="455"/>
      <c r="IN457" s="455"/>
      <c r="IO457" s="455"/>
      <c r="IP457" s="455"/>
      <c r="IQ457" s="455"/>
      <c r="IR457" s="455"/>
      <c r="IS457" s="455"/>
    </row>
    <row r="458" spans="1:253" s="458" customFormat="1" ht="78.75" x14ac:dyDescent="0.2">
      <c r="A458" s="444">
        <v>8711</v>
      </c>
      <c r="B458" s="445" t="s">
        <v>84</v>
      </c>
      <c r="C458" s="445" t="s">
        <v>85</v>
      </c>
      <c r="D458" s="445"/>
      <c r="E458" s="445"/>
      <c r="F458" s="455"/>
      <c r="G458" s="446">
        <v>204</v>
      </c>
      <c r="H458" s="445" t="s">
        <v>648</v>
      </c>
      <c r="I458" s="445"/>
      <c r="J458" s="445"/>
      <c r="K458" s="447"/>
      <c r="L458" s="445" t="s">
        <v>138</v>
      </c>
      <c r="M458" s="445">
        <v>1</v>
      </c>
      <c r="N458" s="445" t="s">
        <v>79</v>
      </c>
      <c r="O458" s="449" t="s">
        <v>1505</v>
      </c>
      <c r="P458" s="450">
        <v>9.5920000000000005</v>
      </c>
      <c r="Q458" s="451">
        <f t="shared" si="12"/>
        <v>9.5920000000000005</v>
      </c>
      <c r="R458" s="451">
        <f>SUMIF('Wege im Detail'!$A:$A,"8711",'Wege im Detail'!$P:$P)</f>
        <v>9.5920000000000005</v>
      </c>
      <c r="S458" s="452" t="s">
        <v>649</v>
      </c>
      <c r="T458" s="453">
        <v>43922</v>
      </c>
      <c r="U458" s="448"/>
      <c r="V458" s="492"/>
      <c r="W458" s="448"/>
    </row>
    <row r="459" spans="1:253" s="458" customFormat="1" ht="56.25" x14ac:dyDescent="0.2">
      <c r="A459" s="444">
        <v>8714</v>
      </c>
      <c r="B459" s="445" t="s">
        <v>84</v>
      </c>
      <c r="C459" s="445" t="s">
        <v>85</v>
      </c>
      <c r="D459" s="445"/>
      <c r="E459" s="445"/>
      <c r="F459" s="445"/>
      <c r="G459" s="446">
        <v>261</v>
      </c>
      <c r="H459" s="445" t="s">
        <v>651</v>
      </c>
      <c r="I459" s="445"/>
      <c r="J459" s="445"/>
      <c r="K459" s="447"/>
      <c r="L459" s="445" t="s">
        <v>142</v>
      </c>
      <c r="M459" s="445">
        <v>1</v>
      </c>
      <c r="N459" s="445" t="s">
        <v>126</v>
      </c>
      <c r="O459" s="449" t="s">
        <v>1506</v>
      </c>
      <c r="P459" s="450">
        <v>7.9630000000000001</v>
      </c>
      <c r="Q459" s="451">
        <f t="shared" si="12"/>
        <v>7.9630000000000001</v>
      </c>
      <c r="R459" s="451">
        <f>SUMIF('Wege im Detail'!$A:$A,"8714",'Wege im Detail'!$P:$P)</f>
        <v>7.9630000000000001</v>
      </c>
      <c r="S459" s="452" t="s">
        <v>1507</v>
      </c>
      <c r="T459" s="453">
        <v>43922</v>
      </c>
      <c r="U459" s="448"/>
      <c r="V459" s="476"/>
      <c r="W459" s="448"/>
      <c r="X459" s="455"/>
      <c r="Y459" s="455"/>
      <c r="Z459" s="455"/>
      <c r="AA459" s="455"/>
      <c r="AB459" s="455"/>
      <c r="AC459" s="455"/>
      <c r="AD459" s="455"/>
      <c r="AE459" s="455"/>
      <c r="AF459" s="455"/>
      <c r="AG459" s="455"/>
      <c r="AH459" s="455"/>
      <c r="AI459" s="455"/>
      <c r="AJ459" s="455"/>
      <c r="AK459" s="455"/>
      <c r="AL459" s="455"/>
      <c r="AM459" s="455"/>
      <c r="AN459" s="455"/>
      <c r="AO459" s="455"/>
      <c r="AP459" s="455"/>
      <c r="AQ459" s="455"/>
      <c r="AR459" s="455"/>
      <c r="AS459" s="455"/>
      <c r="AT459" s="455"/>
      <c r="AU459" s="455"/>
      <c r="AV459" s="455"/>
      <c r="AW459" s="455"/>
      <c r="AX459" s="455"/>
      <c r="AY459" s="455"/>
      <c r="AZ459" s="455"/>
      <c r="BA459" s="455"/>
      <c r="BB459" s="455"/>
      <c r="BC459" s="455"/>
      <c r="BD459" s="455"/>
      <c r="BE459" s="455"/>
      <c r="BF459" s="455"/>
      <c r="BG459" s="455"/>
      <c r="BH459" s="455"/>
      <c r="BI459" s="455"/>
      <c r="BJ459" s="455"/>
      <c r="BK459" s="455"/>
      <c r="BL459" s="455"/>
      <c r="BM459" s="455"/>
      <c r="BN459" s="455"/>
      <c r="BO459" s="455"/>
      <c r="BP459" s="455"/>
      <c r="BQ459" s="455"/>
      <c r="BR459" s="455"/>
      <c r="BS459" s="455"/>
      <c r="BT459" s="455"/>
      <c r="BU459" s="455"/>
      <c r="BV459" s="455"/>
      <c r="BW459" s="455"/>
      <c r="BX459" s="455"/>
      <c r="BY459" s="455"/>
      <c r="BZ459" s="455"/>
      <c r="CA459" s="455"/>
      <c r="CB459" s="455"/>
      <c r="CC459" s="455"/>
      <c r="CD459" s="455"/>
      <c r="CE459" s="455"/>
      <c r="CF459" s="455"/>
      <c r="CG459" s="455"/>
      <c r="CH459" s="455"/>
      <c r="CI459" s="455"/>
      <c r="CJ459" s="455"/>
      <c r="CK459" s="455"/>
      <c r="CL459" s="455"/>
      <c r="CM459" s="455"/>
      <c r="CN459" s="455"/>
      <c r="CO459" s="455"/>
      <c r="CP459" s="455"/>
      <c r="CQ459" s="455"/>
      <c r="CR459" s="455"/>
      <c r="CS459" s="455"/>
      <c r="CT459" s="455"/>
      <c r="CU459" s="455"/>
      <c r="CV459" s="455"/>
      <c r="CW459" s="455"/>
      <c r="CX459" s="455"/>
      <c r="CY459" s="455"/>
      <c r="CZ459" s="455"/>
      <c r="DA459" s="455"/>
      <c r="DB459" s="455"/>
      <c r="DC459" s="455"/>
      <c r="DD459" s="455"/>
      <c r="DE459" s="455"/>
      <c r="DF459" s="455"/>
      <c r="DG459" s="455"/>
      <c r="DH459" s="455"/>
      <c r="DI459" s="455"/>
      <c r="DJ459" s="455"/>
      <c r="DK459" s="455"/>
      <c r="DL459" s="455"/>
      <c r="DM459" s="455"/>
      <c r="DN459" s="455"/>
      <c r="DO459" s="455"/>
      <c r="DP459" s="455"/>
      <c r="DQ459" s="455"/>
      <c r="DR459" s="455"/>
      <c r="DS459" s="455"/>
      <c r="DT459" s="455"/>
      <c r="DU459" s="455"/>
      <c r="DV459" s="455"/>
      <c r="DW459" s="455"/>
      <c r="DX459" s="455"/>
      <c r="DY459" s="455"/>
      <c r="DZ459" s="455"/>
      <c r="EA459" s="455"/>
      <c r="EB459" s="455"/>
      <c r="EC459" s="455"/>
      <c r="ED459" s="455"/>
      <c r="EE459" s="455"/>
      <c r="EF459" s="455"/>
      <c r="EG459" s="455"/>
      <c r="EH459" s="455"/>
      <c r="EI459" s="455"/>
      <c r="EJ459" s="455"/>
      <c r="EK459" s="455"/>
      <c r="EL459" s="455"/>
      <c r="EM459" s="455"/>
      <c r="EN459" s="455"/>
      <c r="EO459" s="455"/>
      <c r="EP459" s="455"/>
      <c r="EQ459" s="455"/>
      <c r="ER459" s="455"/>
      <c r="ES459" s="455"/>
      <c r="ET459" s="455"/>
      <c r="EU459" s="455"/>
      <c r="EV459" s="455"/>
      <c r="EW459" s="455"/>
      <c r="EX459" s="455"/>
      <c r="EY459" s="455"/>
      <c r="EZ459" s="455"/>
      <c r="FA459" s="455"/>
      <c r="FB459" s="455"/>
      <c r="FC459" s="455"/>
      <c r="FD459" s="455"/>
      <c r="FE459" s="455"/>
      <c r="FF459" s="455"/>
      <c r="FG459" s="455"/>
      <c r="FH459" s="455"/>
      <c r="FI459" s="455"/>
      <c r="FJ459" s="455"/>
      <c r="FK459" s="455"/>
      <c r="FL459" s="455"/>
      <c r="FM459" s="455"/>
      <c r="FN459" s="455"/>
      <c r="FO459" s="455"/>
      <c r="FP459" s="455"/>
      <c r="FQ459" s="455"/>
      <c r="FR459" s="455"/>
      <c r="FS459" s="455"/>
      <c r="FT459" s="455"/>
      <c r="FU459" s="455"/>
      <c r="FV459" s="455"/>
      <c r="FW459" s="455"/>
      <c r="FX459" s="455"/>
      <c r="FY459" s="455"/>
      <c r="FZ459" s="455"/>
      <c r="GA459" s="455"/>
      <c r="GB459" s="455"/>
      <c r="GC459" s="455"/>
      <c r="GD459" s="455"/>
      <c r="GE459" s="455"/>
      <c r="GF459" s="455"/>
      <c r="GG459" s="455"/>
      <c r="GH459" s="455"/>
      <c r="GI459" s="455"/>
      <c r="GJ459" s="455"/>
      <c r="GK459" s="455"/>
      <c r="GL459" s="455"/>
      <c r="GM459" s="455"/>
      <c r="GN459" s="455"/>
      <c r="GO459" s="455"/>
      <c r="GP459" s="455"/>
      <c r="GQ459" s="455"/>
      <c r="GR459" s="455"/>
      <c r="GS459" s="455"/>
      <c r="GT459" s="455"/>
      <c r="GU459" s="455"/>
      <c r="GV459" s="455"/>
      <c r="GW459" s="455"/>
      <c r="GX459" s="455"/>
      <c r="GY459" s="455"/>
      <c r="GZ459" s="455"/>
      <c r="HA459" s="455"/>
      <c r="HB459" s="455"/>
      <c r="HC459" s="455"/>
      <c r="HD459" s="455"/>
      <c r="HE459" s="455"/>
      <c r="HF459" s="455"/>
      <c r="HG459" s="455"/>
      <c r="HH459" s="455"/>
      <c r="HI459" s="455"/>
      <c r="HJ459" s="455"/>
      <c r="HK459" s="455"/>
      <c r="HL459" s="455"/>
      <c r="HM459" s="455"/>
      <c r="HN459" s="455"/>
      <c r="HO459" s="455"/>
      <c r="HP459" s="455"/>
      <c r="HQ459" s="455"/>
      <c r="HR459" s="455"/>
      <c r="HS459" s="455"/>
      <c r="HT459" s="455"/>
      <c r="HU459" s="455"/>
      <c r="HV459" s="455"/>
      <c r="HW459" s="455"/>
      <c r="HX459" s="455"/>
      <c r="HY459" s="455"/>
      <c r="HZ459" s="455"/>
      <c r="IA459" s="455"/>
      <c r="IB459" s="455"/>
      <c r="IC459" s="455"/>
      <c r="ID459" s="455"/>
      <c r="IE459" s="455"/>
      <c r="IF459" s="455"/>
      <c r="IG459" s="455"/>
      <c r="IH459" s="455"/>
      <c r="II459" s="455"/>
      <c r="IJ459" s="455"/>
      <c r="IK459" s="455"/>
      <c r="IL459" s="455"/>
      <c r="IM459" s="455"/>
      <c r="IN459" s="455"/>
      <c r="IO459" s="455"/>
      <c r="IP459" s="455"/>
      <c r="IQ459" s="455"/>
      <c r="IR459" s="455"/>
      <c r="IS459" s="455"/>
    </row>
    <row r="460" spans="1:253" s="458" customFormat="1" ht="45" x14ac:dyDescent="0.2">
      <c r="A460" s="444">
        <v>8715</v>
      </c>
      <c r="B460" s="445" t="s">
        <v>84</v>
      </c>
      <c r="C460" s="445" t="s">
        <v>85</v>
      </c>
      <c r="D460" s="445"/>
      <c r="E460" s="445"/>
      <c r="F460" s="479"/>
      <c r="G460" s="446">
        <v>262</v>
      </c>
      <c r="H460" s="445" t="s">
        <v>653</v>
      </c>
      <c r="I460" s="445"/>
      <c r="J460" s="445"/>
      <c r="K460" s="447"/>
      <c r="L460" s="445" t="s">
        <v>147</v>
      </c>
      <c r="M460" s="445">
        <v>1</v>
      </c>
      <c r="N460" s="445" t="s">
        <v>126</v>
      </c>
      <c r="O460" s="449" t="s">
        <v>1508</v>
      </c>
      <c r="P460" s="450">
        <v>6.9420000000000002</v>
      </c>
      <c r="Q460" s="451">
        <f t="shared" si="12"/>
        <v>6.9420000000000002</v>
      </c>
      <c r="R460" s="451">
        <f>SUMIF('Wege im Detail'!$A:$A,"8715",'Wege im Detail'!$P:$P)</f>
        <v>6.9420000000000002</v>
      </c>
      <c r="S460" s="452" t="s">
        <v>654</v>
      </c>
      <c r="T460" s="453">
        <v>43922</v>
      </c>
      <c r="U460" s="448"/>
      <c r="W460" s="448"/>
    </row>
    <row r="461" spans="1:253" s="458" customFormat="1" ht="56.25" x14ac:dyDescent="0.2">
      <c r="A461" s="444">
        <v>8716</v>
      </c>
      <c r="B461" s="445" t="s">
        <v>84</v>
      </c>
      <c r="C461" s="445" t="s">
        <v>85</v>
      </c>
      <c r="D461" s="445"/>
      <c r="E461" s="445"/>
      <c r="F461" s="479"/>
      <c r="G461" s="446">
        <v>234</v>
      </c>
      <c r="H461" s="445" t="s">
        <v>655</v>
      </c>
      <c r="I461" s="445"/>
      <c r="J461" s="445"/>
      <c r="K461" s="447"/>
      <c r="L461" s="445" t="s">
        <v>138</v>
      </c>
      <c r="M461" s="445">
        <v>1</v>
      </c>
      <c r="N461" s="445" t="s">
        <v>656</v>
      </c>
      <c r="O461" s="449" t="s">
        <v>1509</v>
      </c>
      <c r="P461" s="450">
        <v>8.7539999999999996</v>
      </c>
      <c r="Q461" s="451">
        <f t="shared" si="12"/>
        <v>8.7539999999999996</v>
      </c>
      <c r="R461" s="451">
        <f>SUMIF('Wege im Detail'!$A:$A,"8716",'Wege im Detail'!$P:$P)</f>
        <v>8.7539999999999996</v>
      </c>
      <c r="S461" s="452" t="s">
        <v>657</v>
      </c>
      <c r="T461" s="453">
        <v>43922</v>
      </c>
      <c r="U461" s="448"/>
      <c r="V461" s="455" t="s">
        <v>1510</v>
      </c>
      <c r="W461" s="448"/>
    </row>
    <row r="462" spans="1:253" s="455" customFormat="1" ht="45" x14ac:dyDescent="0.2">
      <c r="A462" s="444">
        <v>8717</v>
      </c>
      <c r="B462" s="445" t="s">
        <v>84</v>
      </c>
      <c r="C462" s="445" t="s">
        <v>85</v>
      </c>
      <c r="D462" s="445"/>
      <c r="E462" s="445"/>
      <c r="G462" s="446">
        <v>202</v>
      </c>
      <c r="H462" s="445" t="s">
        <v>658</v>
      </c>
      <c r="I462" s="445"/>
      <c r="J462" s="445"/>
      <c r="K462" s="447"/>
      <c r="L462" s="445" t="s">
        <v>147</v>
      </c>
      <c r="M462" s="445">
        <v>1</v>
      </c>
      <c r="N462" s="445" t="s">
        <v>79</v>
      </c>
      <c r="O462" s="449" t="s">
        <v>1511</v>
      </c>
      <c r="P462" s="450">
        <v>4.5129999999999999</v>
      </c>
      <c r="Q462" s="451">
        <f t="shared" si="12"/>
        <v>4.5129999999999999</v>
      </c>
      <c r="R462" s="451">
        <f>SUMIF('Wege im Detail'!$A:$A,"8717",'Wege im Detail'!$P:$P)</f>
        <v>4.5129999999999999</v>
      </c>
      <c r="S462" s="452" t="s">
        <v>659</v>
      </c>
      <c r="T462" s="453">
        <v>43922</v>
      </c>
      <c r="U462" s="448"/>
      <c r="V462" s="492"/>
      <c r="W462" s="448"/>
      <c r="X462" s="458"/>
      <c r="Y462" s="458"/>
      <c r="Z462" s="458"/>
      <c r="AA462" s="458"/>
      <c r="AB462" s="458"/>
      <c r="AC462" s="458"/>
      <c r="AD462" s="458"/>
      <c r="AE462" s="458"/>
      <c r="AF462" s="458"/>
      <c r="AG462" s="458"/>
      <c r="AH462" s="458"/>
      <c r="AI462" s="458"/>
      <c r="AJ462" s="458"/>
      <c r="AK462" s="458"/>
      <c r="AL462" s="458"/>
      <c r="AM462" s="458"/>
      <c r="AN462" s="458"/>
      <c r="AO462" s="458"/>
      <c r="AP462" s="458"/>
      <c r="AQ462" s="458"/>
      <c r="AR462" s="458"/>
      <c r="AS462" s="458"/>
      <c r="AT462" s="458"/>
      <c r="AU462" s="458"/>
      <c r="AV462" s="458"/>
      <c r="AW462" s="458"/>
      <c r="AX462" s="458"/>
      <c r="AY462" s="458"/>
      <c r="AZ462" s="458"/>
      <c r="BA462" s="458"/>
      <c r="BB462" s="458"/>
      <c r="BC462" s="458"/>
      <c r="BD462" s="458"/>
      <c r="BE462" s="458"/>
      <c r="BF462" s="458"/>
      <c r="BG462" s="458"/>
      <c r="BH462" s="458"/>
      <c r="BI462" s="458"/>
      <c r="BJ462" s="458"/>
      <c r="BK462" s="458"/>
      <c r="BL462" s="458"/>
      <c r="BM462" s="458"/>
      <c r="BN462" s="458"/>
      <c r="BO462" s="458"/>
      <c r="BP462" s="458"/>
      <c r="BQ462" s="458"/>
      <c r="BR462" s="458"/>
      <c r="BS462" s="458"/>
      <c r="BT462" s="458"/>
      <c r="BU462" s="458"/>
      <c r="BV462" s="458"/>
      <c r="BW462" s="458"/>
      <c r="BX462" s="458"/>
      <c r="BY462" s="458"/>
      <c r="BZ462" s="458"/>
      <c r="CA462" s="458"/>
      <c r="CB462" s="458"/>
      <c r="CC462" s="458"/>
      <c r="CD462" s="458"/>
      <c r="CE462" s="458"/>
      <c r="CF462" s="458"/>
      <c r="CG462" s="458"/>
      <c r="CH462" s="458"/>
      <c r="CI462" s="458"/>
      <c r="CJ462" s="458"/>
      <c r="CK462" s="458"/>
      <c r="CL462" s="458"/>
      <c r="CM462" s="458"/>
      <c r="CN462" s="458"/>
      <c r="CO462" s="458"/>
      <c r="CP462" s="458"/>
      <c r="CQ462" s="458"/>
      <c r="CR462" s="458"/>
      <c r="CS462" s="458"/>
      <c r="CT462" s="458"/>
      <c r="CU462" s="458"/>
      <c r="CV462" s="458"/>
      <c r="CW462" s="458"/>
      <c r="CX462" s="458"/>
      <c r="CY462" s="458"/>
      <c r="CZ462" s="458"/>
      <c r="DA462" s="458"/>
      <c r="DB462" s="458"/>
      <c r="DC462" s="458"/>
      <c r="DD462" s="458"/>
      <c r="DE462" s="458"/>
      <c r="DF462" s="458"/>
      <c r="DG462" s="458"/>
      <c r="DH462" s="458"/>
      <c r="DI462" s="458"/>
      <c r="DJ462" s="458"/>
      <c r="DK462" s="458"/>
      <c r="DL462" s="458"/>
      <c r="DM462" s="458"/>
      <c r="DN462" s="458"/>
      <c r="DO462" s="458"/>
      <c r="DP462" s="458"/>
      <c r="DQ462" s="458"/>
      <c r="DR462" s="458"/>
      <c r="DS462" s="458"/>
      <c r="DT462" s="458"/>
      <c r="DU462" s="458"/>
      <c r="DV462" s="458"/>
      <c r="DW462" s="458"/>
      <c r="DX462" s="458"/>
      <c r="DY462" s="458"/>
      <c r="DZ462" s="458"/>
      <c r="EA462" s="458"/>
      <c r="EB462" s="458"/>
      <c r="EC462" s="458"/>
      <c r="ED462" s="458"/>
      <c r="EE462" s="458"/>
      <c r="EF462" s="458"/>
      <c r="EG462" s="458"/>
      <c r="EH462" s="458"/>
      <c r="EI462" s="458"/>
      <c r="EJ462" s="458"/>
      <c r="EK462" s="458"/>
      <c r="EL462" s="458"/>
      <c r="EM462" s="458"/>
      <c r="EN462" s="458"/>
      <c r="EO462" s="458"/>
      <c r="EP462" s="458"/>
      <c r="EQ462" s="458"/>
      <c r="ER462" s="458"/>
      <c r="ES462" s="458"/>
      <c r="ET462" s="458"/>
      <c r="EU462" s="458"/>
      <c r="EV462" s="458"/>
      <c r="EW462" s="458"/>
      <c r="EX462" s="458"/>
      <c r="EY462" s="458"/>
      <c r="EZ462" s="458"/>
      <c r="FA462" s="458"/>
      <c r="FB462" s="458"/>
      <c r="FC462" s="458"/>
      <c r="FD462" s="458"/>
      <c r="FE462" s="458"/>
      <c r="FF462" s="458"/>
      <c r="FG462" s="458"/>
      <c r="FH462" s="458"/>
      <c r="FI462" s="458"/>
      <c r="FJ462" s="458"/>
      <c r="FK462" s="458"/>
      <c r="FL462" s="458"/>
      <c r="FM462" s="458"/>
      <c r="FN462" s="458"/>
      <c r="FO462" s="458"/>
      <c r="FP462" s="458"/>
      <c r="FQ462" s="458"/>
      <c r="FR462" s="458"/>
      <c r="FS462" s="458"/>
      <c r="FT462" s="458"/>
      <c r="FU462" s="458"/>
      <c r="FV462" s="458"/>
      <c r="FW462" s="458"/>
      <c r="FX462" s="458"/>
      <c r="FY462" s="458"/>
      <c r="FZ462" s="458"/>
      <c r="GA462" s="458"/>
      <c r="GB462" s="458"/>
      <c r="GC462" s="458"/>
      <c r="GD462" s="458"/>
      <c r="GE462" s="458"/>
      <c r="GF462" s="458"/>
      <c r="GG462" s="458"/>
      <c r="GH462" s="458"/>
      <c r="GI462" s="458"/>
      <c r="GJ462" s="458"/>
      <c r="GK462" s="458"/>
      <c r="GL462" s="458"/>
      <c r="GM462" s="458"/>
      <c r="GN462" s="458"/>
      <c r="GO462" s="458"/>
      <c r="GP462" s="458"/>
      <c r="GQ462" s="458"/>
      <c r="GR462" s="458"/>
      <c r="GS462" s="458"/>
      <c r="GT462" s="458"/>
      <c r="GU462" s="458"/>
      <c r="GV462" s="458"/>
      <c r="GW462" s="458"/>
      <c r="GX462" s="458"/>
      <c r="GY462" s="458"/>
      <c r="GZ462" s="458"/>
      <c r="HA462" s="458"/>
      <c r="HB462" s="458"/>
      <c r="HC462" s="458"/>
      <c r="HD462" s="458"/>
      <c r="HE462" s="458"/>
      <c r="HF462" s="458"/>
      <c r="HG462" s="458"/>
      <c r="HH462" s="458"/>
      <c r="HI462" s="458"/>
      <c r="HJ462" s="458"/>
      <c r="HK462" s="458"/>
      <c r="HL462" s="458"/>
      <c r="HM462" s="458"/>
      <c r="HN462" s="458"/>
      <c r="HO462" s="458"/>
      <c r="HP462" s="458"/>
      <c r="HQ462" s="458"/>
      <c r="HR462" s="458"/>
      <c r="HS462" s="458"/>
      <c r="HT462" s="458"/>
      <c r="HU462" s="458"/>
      <c r="HV462" s="458"/>
      <c r="HW462" s="458"/>
      <c r="HX462" s="458"/>
      <c r="HY462" s="458"/>
      <c r="HZ462" s="458"/>
      <c r="IA462" s="458"/>
      <c r="IB462" s="458"/>
      <c r="IC462" s="458"/>
      <c r="ID462" s="458"/>
      <c r="IE462" s="458"/>
      <c r="IF462" s="458"/>
      <c r="IG462" s="458"/>
      <c r="IH462" s="458"/>
      <c r="II462" s="458"/>
      <c r="IJ462" s="458"/>
      <c r="IK462" s="458"/>
      <c r="IL462" s="458"/>
      <c r="IM462" s="458"/>
      <c r="IN462" s="458"/>
      <c r="IO462" s="458"/>
      <c r="IP462" s="458"/>
      <c r="IQ462" s="458"/>
      <c r="IR462" s="458"/>
      <c r="IS462" s="458"/>
    </row>
    <row r="463" spans="1:253" s="458" customFormat="1" ht="56.25" x14ac:dyDescent="0.2">
      <c r="A463" s="444">
        <v>8718</v>
      </c>
      <c r="B463" s="445" t="s">
        <v>84</v>
      </c>
      <c r="C463" s="445" t="s">
        <v>85</v>
      </c>
      <c r="D463" s="445"/>
      <c r="E463" s="445"/>
      <c r="F463" s="455"/>
      <c r="G463" s="446">
        <v>203</v>
      </c>
      <c r="H463" s="445" t="s">
        <v>660</v>
      </c>
      <c r="I463" s="445"/>
      <c r="J463" s="445"/>
      <c r="K463" s="447"/>
      <c r="L463" s="445" t="s">
        <v>133</v>
      </c>
      <c r="M463" s="445">
        <v>1</v>
      </c>
      <c r="N463" s="445" t="s">
        <v>79</v>
      </c>
      <c r="O463" s="449" t="s">
        <v>1512</v>
      </c>
      <c r="P463" s="450">
        <v>6.5709999999999997</v>
      </c>
      <c r="Q463" s="451">
        <f t="shared" ref="Q463:Q494" si="13">P463</f>
        <v>6.5709999999999997</v>
      </c>
      <c r="R463" s="451">
        <f>SUMIF('Wege im Detail'!$A:$A,"8718",'Wege im Detail'!$P:$P)</f>
        <v>6.5709999999999997</v>
      </c>
      <c r="S463" s="452" t="s">
        <v>661</v>
      </c>
      <c r="T463" s="453">
        <v>43922</v>
      </c>
      <c r="U463" s="448"/>
      <c r="V463" s="492"/>
      <c r="W463" s="448"/>
    </row>
    <row r="464" spans="1:253" s="458" customFormat="1" ht="45" x14ac:dyDescent="0.2">
      <c r="A464" s="444">
        <v>8719</v>
      </c>
      <c r="B464" s="445" t="s">
        <v>84</v>
      </c>
      <c r="C464" s="445" t="s">
        <v>85</v>
      </c>
      <c r="D464" s="445"/>
      <c r="E464" s="445"/>
      <c r="F464" s="479"/>
      <c r="G464" s="446">
        <v>265</v>
      </c>
      <c r="H464" s="445" t="s">
        <v>662</v>
      </c>
      <c r="I464" s="445"/>
      <c r="J464" s="445"/>
      <c r="K464" s="447"/>
      <c r="L464" s="448" t="s">
        <v>88</v>
      </c>
      <c r="M464" s="445">
        <v>1</v>
      </c>
      <c r="N464" s="445" t="s">
        <v>436</v>
      </c>
      <c r="O464" s="449" t="s">
        <v>1513</v>
      </c>
      <c r="P464" s="450">
        <v>6.6539999999999999</v>
      </c>
      <c r="Q464" s="451">
        <f t="shared" si="13"/>
        <v>6.6539999999999999</v>
      </c>
      <c r="R464" s="451">
        <f>SUMIF('Wege im Detail'!$A:$A,"8719",'Wege im Detail'!$P:$P)</f>
        <v>6.6539999999999999</v>
      </c>
      <c r="S464" s="452" t="s">
        <v>663</v>
      </c>
      <c r="T464" s="453">
        <v>43922</v>
      </c>
      <c r="U464" s="448"/>
      <c r="W464" s="448"/>
    </row>
    <row r="465" spans="1:253" s="458" customFormat="1" ht="45" x14ac:dyDescent="0.2">
      <c r="A465" s="444">
        <v>8720</v>
      </c>
      <c r="B465" s="445" t="s">
        <v>84</v>
      </c>
      <c r="C465" s="445" t="s">
        <v>85</v>
      </c>
      <c r="D465" s="445"/>
      <c r="E465" s="445"/>
      <c r="F465" s="479"/>
      <c r="G465" s="446">
        <v>267</v>
      </c>
      <c r="H465" s="445" t="s">
        <v>664</v>
      </c>
      <c r="I465" s="445"/>
      <c r="J465" s="445"/>
      <c r="K465" s="447"/>
      <c r="L465" s="448" t="s">
        <v>163</v>
      </c>
      <c r="M465" s="445">
        <v>1</v>
      </c>
      <c r="N465" s="445" t="s">
        <v>436</v>
      </c>
      <c r="O465" s="449" t="s">
        <v>1514</v>
      </c>
      <c r="P465" s="450">
        <v>7.4489999999999998</v>
      </c>
      <c r="Q465" s="451">
        <f t="shared" si="13"/>
        <v>7.4489999999999998</v>
      </c>
      <c r="R465" s="451">
        <f>SUMIF('Wege im Detail'!$A:$A,"8720",'Wege im Detail'!$P:$P)</f>
        <v>7.4489999999999998</v>
      </c>
      <c r="S465" s="452" t="s">
        <v>665</v>
      </c>
      <c r="T465" s="453">
        <v>43922</v>
      </c>
      <c r="U465" s="448"/>
      <c r="W465" s="448"/>
      <c r="X465" s="455"/>
      <c r="Y465" s="455"/>
      <c r="Z465" s="455"/>
      <c r="AA465" s="455"/>
      <c r="AB465" s="455"/>
      <c r="AC465" s="455"/>
      <c r="AD465" s="455"/>
      <c r="AE465" s="455"/>
      <c r="AF465" s="455"/>
      <c r="AG465" s="455"/>
      <c r="AH465" s="455"/>
      <c r="AI465" s="455"/>
      <c r="AJ465" s="455"/>
      <c r="AK465" s="455"/>
      <c r="AL465" s="455"/>
      <c r="AM465" s="455"/>
      <c r="AN465" s="455"/>
      <c r="AO465" s="455"/>
      <c r="AP465" s="455"/>
      <c r="AQ465" s="455"/>
      <c r="AR465" s="455"/>
      <c r="AS465" s="455"/>
      <c r="AT465" s="455"/>
      <c r="AU465" s="455"/>
      <c r="AV465" s="455"/>
      <c r="AW465" s="455"/>
      <c r="AX465" s="455"/>
      <c r="AY465" s="455"/>
      <c r="AZ465" s="455"/>
      <c r="BA465" s="455"/>
      <c r="BB465" s="455"/>
      <c r="BC465" s="455"/>
      <c r="BD465" s="455"/>
      <c r="BE465" s="455"/>
      <c r="BF465" s="455"/>
      <c r="BG465" s="455"/>
      <c r="BH465" s="455"/>
      <c r="BI465" s="455"/>
      <c r="BJ465" s="455"/>
      <c r="BK465" s="455"/>
      <c r="BL465" s="455"/>
      <c r="BM465" s="455"/>
      <c r="BN465" s="455"/>
      <c r="BO465" s="455"/>
      <c r="BP465" s="455"/>
      <c r="BQ465" s="455"/>
      <c r="BR465" s="455"/>
      <c r="BS465" s="455"/>
      <c r="BT465" s="455"/>
      <c r="BU465" s="455"/>
      <c r="BV465" s="455"/>
      <c r="BW465" s="455"/>
      <c r="BX465" s="455"/>
      <c r="BY465" s="455"/>
      <c r="BZ465" s="455"/>
      <c r="CA465" s="455"/>
      <c r="CB465" s="455"/>
      <c r="CC465" s="455"/>
      <c r="CD465" s="455"/>
      <c r="CE465" s="455"/>
      <c r="CF465" s="455"/>
      <c r="CG465" s="455"/>
      <c r="CH465" s="455"/>
      <c r="CI465" s="455"/>
      <c r="CJ465" s="455"/>
      <c r="CK465" s="455"/>
      <c r="CL465" s="455"/>
      <c r="CM465" s="455"/>
      <c r="CN465" s="455"/>
      <c r="CO465" s="455"/>
      <c r="CP465" s="455"/>
      <c r="CQ465" s="455"/>
      <c r="CR465" s="455"/>
      <c r="CS465" s="455"/>
      <c r="CT465" s="455"/>
      <c r="CU465" s="455"/>
      <c r="CV465" s="455"/>
      <c r="CW465" s="455"/>
      <c r="CX465" s="455"/>
      <c r="CY465" s="455"/>
      <c r="CZ465" s="455"/>
      <c r="DA465" s="455"/>
      <c r="DB465" s="455"/>
      <c r="DC465" s="455"/>
      <c r="DD465" s="455"/>
      <c r="DE465" s="455"/>
      <c r="DF465" s="455"/>
      <c r="DG465" s="455"/>
      <c r="DH465" s="455"/>
      <c r="DI465" s="455"/>
      <c r="DJ465" s="455"/>
      <c r="DK465" s="455"/>
      <c r="DL465" s="455"/>
      <c r="DM465" s="455"/>
      <c r="DN465" s="455"/>
      <c r="DO465" s="455"/>
      <c r="DP465" s="455"/>
      <c r="DQ465" s="455"/>
      <c r="DR465" s="455"/>
      <c r="DS465" s="455"/>
      <c r="DT465" s="455"/>
      <c r="DU465" s="455"/>
      <c r="DV465" s="455"/>
      <c r="DW465" s="455"/>
      <c r="DX465" s="455"/>
      <c r="DY465" s="455"/>
      <c r="DZ465" s="455"/>
      <c r="EA465" s="455"/>
      <c r="EB465" s="455"/>
      <c r="EC465" s="455"/>
      <c r="ED465" s="455"/>
      <c r="EE465" s="455"/>
      <c r="EF465" s="455"/>
      <c r="EG465" s="455"/>
      <c r="EH465" s="455"/>
      <c r="EI465" s="455"/>
      <c r="EJ465" s="455"/>
      <c r="EK465" s="455"/>
      <c r="EL465" s="455"/>
      <c r="EM465" s="455"/>
      <c r="EN465" s="455"/>
      <c r="EO465" s="455"/>
      <c r="EP465" s="455"/>
      <c r="EQ465" s="455"/>
      <c r="ER465" s="455"/>
      <c r="ES465" s="455"/>
      <c r="ET465" s="455"/>
      <c r="EU465" s="455"/>
      <c r="EV465" s="455"/>
      <c r="EW465" s="455"/>
      <c r="EX465" s="455"/>
      <c r="EY465" s="455"/>
      <c r="EZ465" s="455"/>
      <c r="FA465" s="455"/>
      <c r="FB465" s="455"/>
      <c r="FC465" s="455"/>
      <c r="FD465" s="455"/>
      <c r="FE465" s="455"/>
      <c r="FF465" s="455"/>
      <c r="FG465" s="455"/>
      <c r="FH465" s="455"/>
      <c r="FI465" s="455"/>
      <c r="FJ465" s="455"/>
      <c r="FK465" s="455"/>
      <c r="FL465" s="455"/>
      <c r="FM465" s="455"/>
      <c r="FN465" s="455"/>
      <c r="FO465" s="455"/>
      <c r="FP465" s="455"/>
      <c r="FQ465" s="455"/>
      <c r="FR465" s="455"/>
      <c r="FS465" s="455"/>
      <c r="FT465" s="455"/>
      <c r="FU465" s="455"/>
      <c r="FV465" s="455"/>
      <c r="FW465" s="455"/>
      <c r="FX465" s="455"/>
      <c r="FY465" s="455"/>
      <c r="FZ465" s="455"/>
      <c r="GA465" s="455"/>
      <c r="GB465" s="455"/>
      <c r="GC465" s="455"/>
      <c r="GD465" s="455"/>
      <c r="GE465" s="455"/>
      <c r="GF465" s="455"/>
      <c r="GG465" s="455"/>
      <c r="GH465" s="455"/>
      <c r="GI465" s="455"/>
      <c r="GJ465" s="455"/>
      <c r="GK465" s="455"/>
      <c r="GL465" s="455"/>
      <c r="GM465" s="455"/>
      <c r="GN465" s="455"/>
      <c r="GO465" s="455"/>
      <c r="GP465" s="455"/>
      <c r="GQ465" s="455"/>
      <c r="GR465" s="455"/>
      <c r="GS465" s="455"/>
      <c r="GT465" s="455"/>
      <c r="GU465" s="455"/>
      <c r="GV465" s="455"/>
      <c r="GW465" s="455"/>
      <c r="GX465" s="455"/>
      <c r="GY465" s="455"/>
      <c r="GZ465" s="455"/>
      <c r="HA465" s="455"/>
      <c r="HB465" s="455"/>
      <c r="HC465" s="455"/>
      <c r="HD465" s="455"/>
      <c r="HE465" s="455"/>
      <c r="HF465" s="455"/>
      <c r="HG465" s="455"/>
      <c r="HH465" s="455"/>
      <c r="HI465" s="455"/>
      <c r="HJ465" s="455"/>
      <c r="HK465" s="455"/>
      <c r="HL465" s="455"/>
      <c r="HM465" s="455"/>
      <c r="HN465" s="455"/>
      <c r="HO465" s="455"/>
      <c r="HP465" s="455"/>
      <c r="HQ465" s="455"/>
      <c r="HR465" s="455"/>
      <c r="HS465" s="455"/>
      <c r="HT465" s="455"/>
      <c r="HU465" s="455"/>
      <c r="HV465" s="455"/>
      <c r="HW465" s="455"/>
      <c r="HX465" s="455"/>
      <c r="HY465" s="455"/>
      <c r="HZ465" s="455"/>
      <c r="IA465" s="455"/>
      <c r="IB465" s="455"/>
      <c r="IC465" s="455"/>
      <c r="ID465" s="455"/>
      <c r="IE465" s="455"/>
      <c r="IF465" s="455"/>
      <c r="IG465" s="455"/>
      <c r="IH465" s="455"/>
      <c r="II465" s="455"/>
      <c r="IJ465" s="455"/>
      <c r="IK465" s="455"/>
      <c r="IL465" s="455"/>
      <c r="IM465" s="455"/>
      <c r="IN465" s="455"/>
      <c r="IO465" s="455"/>
      <c r="IP465" s="455"/>
      <c r="IQ465" s="455"/>
      <c r="IR465" s="455"/>
      <c r="IS465" s="455"/>
    </row>
    <row r="466" spans="1:253" s="458" customFormat="1" ht="45" x14ac:dyDescent="0.2">
      <c r="A466" s="444">
        <v>8721</v>
      </c>
      <c r="B466" s="445" t="s">
        <v>84</v>
      </c>
      <c r="C466" s="445" t="s">
        <v>85</v>
      </c>
      <c r="D466" s="445"/>
      <c r="E466" s="445"/>
      <c r="F466" s="455"/>
      <c r="G466" s="446">
        <v>208</v>
      </c>
      <c r="H466" s="445" t="s">
        <v>667</v>
      </c>
      <c r="I466" s="445"/>
      <c r="J466" s="445"/>
      <c r="K466" s="447"/>
      <c r="L466" s="445" t="s">
        <v>168</v>
      </c>
      <c r="M466" s="445">
        <v>1</v>
      </c>
      <c r="N466" s="445" t="s">
        <v>79</v>
      </c>
      <c r="O466" s="449" t="s">
        <v>1515</v>
      </c>
      <c r="P466" s="450">
        <v>1.599</v>
      </c>
      <c r="Q466" s="451">
        <f t="shared" si="13"/>
        <v>1.599</v>
      </c>
      <c r="R466" s="451">
        <f>SUMIF('Wege im Detail'!$A:$A,"8721",'Wege im Detail'!$P:$P)</f>
        <v>1.599</v>
      </c>
      <c r="S466" s="452" t="s">
        <v>668</v>
      </c>
      <c r="T466" s="453">
        <v>43922</v>
      </c>
      <c r="U466" s="448"/>
      <c r="V466" s="492"/>
      <c r="W466" s="448"/>
    </row>
    <row r="467" spans="1:253" s="458" customFormat="1" ht="45" x14ac:dyDescent="0.2">
      <c r="A467" s="444">
        <v>8722</v>
      </c>
      <c r="B467" s="445" t="s">
        <v>84</v>
      </c>
      <c r="C467" s="445" t="s">
        <v>85</v>
      </c>
      <c r="D467" s="445"/>
      <c r="E467" s="445"/>
      <c r="F467" s="479"/>
      <c r="G467" s="446">
        <v>263</v>
      </c>
      <c r="H467" s="445" t="s">
        <v>669</v>
      </c>
      <c r="I467" s="445"/>
      <c r="J467" s="445"/>
      <c r="K467" s="447"/>
      <c r="L467" s="448" t="s">
        <v>133</v>
      </c>
      <c r="M467" s="445">
        <v>1</v>
      </c>
      <c r="N467" s="445" t="s">
        <v>436</v>
      </c>
      <c r="O467" s="449" t="s">
        <v>1516</v>
      </c>
      <c r="P467" s="450">
        <v>9.9819999999999993</v>
      </c>
      <c r="Q467" s="451">
        <f t="shared" si="13"/>
        <v>9.9819999999999993</v>
      </c>
      <c r="R467" s="451">
        <f>SUMIF('Wege im Detail'!$A:$A,"8722",'Wege im Detail'!$P:$P)</f>
        <v>9.9819999999999993</v>
      </c>
      <c r="S467" s="452" t="s">
        <v>670</v>
      </c>
      <c r="T467" s="453">
        <v>43922</v>
      </c>
      <c r="U467" s="448"/>
      <c r="W467" s="448"/>
    </row>
    <row r="468" spans="1:253" s="458" customFormat="1" ht="56.25" x14ac:dyDescent="0.2">
      <c r="A468" s="444">
        <v>8723</v>
      </c>
      <c r="B468" s="445" t="s">
        <v>84</v>
      </c>
      <c r="C468" s="445" t="s">
        <v>85</v>
      </c>
      <c r="D468" s="445"/>
      <c r="E468" s="445"/>
      <c r="F468" s="445"/>
      <c r="G468" s="446">
        <v>291</v>
      </c>
      <c r="H468" s="445" t="s">
        <v>671</v>
      </c>
      <c r="I468" s="445"/>
      <c r="J468" s="445"/>
      <c r="K468" s="447"/>
      <c r="L468" s="445" t="s">
        <v>142</v>
      </c>
      <c r="M468" s="445">
        <v>4</v>
      </c>
      <c r="N468" s="445" t="s">
        <v>124</v>
      </c>
      <c r="O468" s="449" t="s">
        <v>1517</v>
      </c>
      <c r="P468" s="450">
        <v>7.68</v>
      </c>
      <c r="Q468" s="451">
        <f t="shared" si="13"/>
        <v>7.68</v>
      </c>
      <c r="R468" s="451">
        <f>SUMIF('Wege im Detail'!$A:$A,"8723",'Wege im Detail'!$P:$P)</f>
        <v>7.68</v>
      </c>
      <c r="S468" s="452" t="s">
        <v>672</v>
      </c>
      <c r="T468" s="453">
        <v>44075</v>
      </c>
      <c r="U468" s="448"/>
      <c r="V468" s="466"/>
      <c r="W468" s="448"/>
    </row>
    <row r="469" spans="1:253" s="458" customFormat="1" ht="56.25" x14ac:dyDescent="0.2">
      <c r="A469" s="444">
        <v>8724</v>
      </c>
      <c r="B469" s="445" t="s">
        <v>84</v>
      </c>
      <c r="C469" s="445" t="s">
        <v>85</v>
      </c>
      <c r="D469" s="445"/>
      <c r="E469" s="445"/>
      <c r="F469" s="445"/>
      <c r="G469" s="446">
        <v>292</v>
      </c>
      <c r="H469" s="445" t="s">
        <v>673</v>
      </c>
      <c r="I469" s="445"/>
      <c r="J469" s="445"/>
      <c r="K469" s="447"/>
      <c r="L469" s="445" t="s">
        <v>147</v>
      </c>
      <c r="M469" s="445">
        <v>4</v>
      </c>
      <c r="N469" s="445" t="s">
        <v>124</v>
      </c>
      <c r="O469" s="449" t="s">
        <v>1518</v>
      </c>
      <c r="P469" s="450">
        <v>9.8079999999999998</v>
      </c>
      <c r="Q469" s="451">
        <f t="shared" si="13"/>
        <v>9.8079999999999998</v>
      </c>
      <c r="R469" s="451">
        <f>SUMIF('Wege im Detail'!$A:$A,"8724",'Wege im Detail'!$P:$P)</f>
        <v>9.8079999999999998</v>
      </c>
      <c r="S469" s="452" t="s">
        <v>674</v>
      </c>
      <c r="T469" s="453">
        <v>43922</v>
      </c>
      <c r="U469" s="448"/>
      <c r="V469" s="455"/>
      <c r="W469" s="448"/>
      <c r="X469" s="455"/>
      <c r="Y469" s="455"/>
      <c r="Z469" s="455"/>
      <c r="AA469" s="455"/>
      <c r="AB469" s="455"/>
      <c r="AC469" s="455"/>
      <c r="AD469" s="455"/>
      <c r="AE469" s="455"/>
      <c r="AF469" s="455"/>
      <c r="AG469" s="455"/>
      <c r="AH469" s="455"/>
      <c r="AI469" s="455"/>
      <c r="AJ469" s="455"/>
      <c r="AK469" s="455"/>
      <c r="AL469" s="455"/>
      <c r="AM469" s="455"/>
      <c r="AN469" s="455"/>
      <c r="AO469" s="455"/>
      <c r="AP469" s="455"/>
      <c r="AQ469" s="455"/>
      <c r="AR469" s="455"/>
      <c r="AS469" s="455"/>
      <c r="AT469" s="455"/>
      <c r="AU469" s="455"/>
      <c r="AV469" s="455"/>
      <c r="AW469" s="455"/>
      <c r="AX469" s="455"/>
      <c r="AY469" s="455"/>
      <c r="AZ469" s="455"/>
      <c r="BA469" s="455"/>
      <c r="BB469" s="455"/>
      <c r="BC469" s="455"/>
      <c r="BD469" s="455"/>
      <c r="BE469" s="455"/>
      <c r="BF469" s="455"/>
      <c r="BG469" s="455"/>
      <c r="BH469" s="455"/>
      <c r="BI469" s="455"/>
      <c r="BJ469" s="455"/>
      <c r="BK469" s="455"/>
      <c r="BL469" s="455"/>
      <c r="BM469" s="455"/>
      <c r="BN469" s="455"/>
      <c r="BO469" s="455"/>
      <c r="BP469" s="455"/>
      <c r="BQ469" s="455"/>
      <c r="BR469" s="455"/>
      <c r="BS469" s="455"/>
      <c r="BT469" s="455"/>
      <c r="BU469" s="455"/>
      <c r="BV469" s="455"/>
      <c r="BW469" s="455"/>
      <c r="BX469" s="455"/>
      <c r="BY469" s="455"/>
      <c r="BZ469" s="455"/>
      <c r="CA469" s="455"/>
      <c r="CB469" s="455"/>
      <c r="CC469" s="455"/>
      <c r="CD469" s="455"/>
      <c r="CE469" s="455"/>
      <c r="CF469" s="455"/>
      <c r="CG469" s="455"/>
      <c r="CH469" s="455"/>
      <c r="CI469" s="455"/>
      <c r="CJ469" s="455"/>
      <c r="CK469" s="455"/>
      <c r="CL469" s="455"/>
      <c r="CM469" s="455"/>
      <c r="CN469" s="455"/>
      <c r="CO469" s="455"/>
      <c r="CP469" s="455"/>
      <c r="CQ469" s="455"/>
      <c r="CR469" s="455"/>
      <c r="CS469" s="455"/>
      <c r="CT469" s="455"/>
      <c r="CU469" s="455"/>
      <c r="CV469" s="455"/>
      <c r="CW469" s="455"/>
      <c r="CX469" s="455"/>
      <c r="CY469" s="455"/>
      <c r="CZ469" s="455"/>
      <c r="DA469" s="455"/>
      <c r="DB469" s="455"/>
      <c r="DC469" s="455"/>
      <c r="DD469" s="455"/>
      <c r="DE469" s="455"/>
      <c r="DF469" s="455"/>
      <c r="DG469" s="455"/>
      <c r="DH469" s="455"/>
      <c r="DI469" s="455"/>
      <c r="DJ469" s="455"/>
      <c r="DK469" s="455"/>
      <c r="DL469" s="455"/>
      <c r="DM469" s="455"/>
      <c r="DN469" s="455"/>
      <c r="DO469" s="455"/>
      <c r="DP469" s="455"/>
      <c r="DQ469" s="455"/>
      <c r="DR469" s="455"/>
      <c r="DS469" s="455"/>
      <c r="DT469" s="455"/>
      <c r="DU469" s="455"/>
      <c r="DV469" s="455"/>
      <c r="DW469" s="455"/>
      <c r="DX469" s="455"/>
      <c r="DY469" s="455"/>
      <c r="DZ469" s="455"/>
      <c r="EA469" s="455"/>
      <c r="EB469" s="455"/>
      <c r="EC469" s="455"/>
      <c r="ED469" s="455"/>
      <c r="EE469" s="455"/>
      <c r="EF469" s="455"/>
      <c r="EG469" s="455"/>
      <c r="EH469" s="455"/>
      <c r="EI469" s="455"/>
      <c r="EJ469" s="455"/>
      <c r="EK469" s="455"/>
      <c r="EL469" s="455"/>
      <c r="EM469" s="455"/>
      <c r="EN469" s="455"/>
      <c r="EO469" s="455"/>
      <c r="EP469" s="455"/>
      <c r="EQ469" s="455"/>
      <c r="ER469" s="455"/>
      <c r="ES469" s="455"/>
      <c r="ET469" s="455"/>
      <c r="EU469" s="455"/>
      <c r="EV469" s="455"/>
      <c r="EW469" s="455"/>
      <c r="EX469" s="455"/>
      <c r="EY469" s="455"/>
      <c r="EZ469" s="455"/>
      <c r="FA469" s="455"/>
      <c r="FB469" s="455"/>
      <c r="FC469" s="455"/>
      <c r="FD469" s="455"/>
      <c r="FE469" s="455"/>
      <c r="FF469" s="455"/>
      <c r="FG469" s="455"/>
      <c r="FH469" s="455"/>
      <c r="FI469" s="455"/>
      <c r="FJ469" s="455"/>
      <c r="FK469" s="455"/>
      <c r="FL469" s="455"/>
      <c r="FM469" s="455"/>
      <c r="FN469" s="455"/>
      <c r="FO469" s="455"/>
      <c r="FP469" s="455"/>
      <c r="FQ469" s="455"/>
      <c r="FR469" s="455"/>
      <c r="FS469" s="455"/>
      <c r="FT469" s="455"/>
      <c r="FU469" s="455"/>
      <c r="FV469" s="455"/>
      <c r="FW469" s="455"/>
      <c r="FX469" s="455"/>
      <c r="FY469" s="455"/>
      <c r="FZ469" s="455"/>
      <c r="GA469" s="455"/>
      <c r="GB469" s="455"/>
      <c r="GC469" s="455"/>
      <c r="GD469" s="455"/>
      <c r="GE469" s="455"/>
      <c r="GF469" s="455"/>
      <c r="GG469" s="455"/>
      <c r="GH469" s="455"/>
      <c r="GI469" s="455"/>
      <c r="GJ469" s="455"/>
      <c r="GK469" s="455"/>
      <c r="GL469" s="455"/>
      <c r="GM469" s="455"/>
      <c r="GN469" s="455"/>
      <c r="GO469" s="455"/>
      <c r="GP469" s="455"/>
      <c r="GQ469" s="455"/>
      <c r="GR469" s="455"/>
      <c r="GS469" s="455"/>
      <c r="GT469" s="455"/>
      <c r="GU469" s="455"/>
      <c r="GV469" s="455"/>
      <c r="GW469" s="455"/>
      <c r="GX469" s="455"/>
      <c r="GY469" s="455"/>
      <c r="GZ469" s="455"/>
      <c r="HA469" s="455"/>
      <c r="HB469" s="455"/>
      <c r="HC469" s="455"/>
      <c r="HD469" s="455"/>
      <c r="HE469" s="455"/>
      <c r="HF469" s="455"/>
      <c r="HG469" s="455"/>
      <c r="HH469" s="455"/>
      <c r="HI469" s="455"/>
      <c r="HJ469" s="455"/>
      <c r="HK469" s="455"/>
      <c r="HL469" s="455"/>
      <c r="HM469" s="455"/>
      <c r="HN469" s="455"/>
      <c r="HO469" s="455"/>
      <c r="HP469" s="455"/>
      <c r="HQ469" s="455"/>
      <c r="HR469" s="455"/>
      <c r="HS469" s="455"/>
      <c r="HT469" s="455"/>
      <c r="HU469" s="455"/>
      <c r="HV469" s="455"/>
      <c r="HW469" s="455"/>
      <c r="HX469" s="455"/>
      <c r="HY469" s="455"/>
      <c r="HZ469" s="455"/>
      <c r="IA469" s="455"/>
      <c r="IB469" s="455"/>
      <c r="IC469" s="455"/>
      <c r="ID469" s="455"/>
      <c r="IE469" s="455"/>
      <c r="IF469" s="455"/>
      <c r="IG469" s="455"/>
      <c r="IH469" s="455"/>
      <c r="II469" s="455"/>
      <c r="IJ469" s="455"/>
      <c r="IK469" s="455"/>
      <c r="IL469" s="455"/>
      <c r="IM469" s="455"/>
      <c r="IN469" s="455"/>
      <c r="IO469" s="455"/>
      <c r="IP469" s="455"/>
      <c r="IQ469" s="455"/>
      <c r="IR469" s="455"/>
      <c r="IS469" s="455"/>
    </row>
    <row r="470" spans="1:253" s="458" customFormat="1" ht="56.25" x14ac:dyDescent="0.2">
      <c r="A470" s="444">
        <v>8725</v>
      </c>
      <c r="B470" s="445" t="s">
        <v>84</v>
      </c>
      <c r="C470" s="445" t="s">
        <v>85</v>
      </c>
      <c r="D470" s="445"/>
      <c r="E470" s="445"/>
      <c r="F470" s="445"/>
      <c r="G470" s="446">
        <v>293</v>
      </c>
      <c r="H470" s="445" t="s">
        <v>675</v>
      </c>
      <c r="I470" s="445"/>
      <c r="J470" s="445"/>
      <c r="K470" s="447"/>
      <c r="L470" s="445" t="s">
        <v>133</v>
      </c>
      <c r="M470" s="445">
        <v>4</v>
      </c>
      <c r="N470" s="445" t="s">
        <v>124</v>
      </c>
      <c r="O470" s="449" t="s">
        <v>1519</v>
      </c>
      <c r="P470" s="450">
        <v>10.605</v>
      </c>
      <c r="Q470" s="451">
        <f t="shared" si="13"/>
        <v>10.605</v>
      </c>
      <c r="R470" s="451">
        <f>SUMIF('Wege im Detail'!$A:$A,"8725",'Wege im Detail'!$P:$P)</f>
        <v>10.605</v>
      </c>
      <c r="S470" s="452" t="s">
        <v>676</v>
      </c>
      <c r="T470" s="453">
        <v>43952</v>
      </c>
      <c r="U470" s="448"/>
      <c r="V470" s="455"/>
      <c r="W470" s="448"/>
    </row>
    <row r="471" spans="1:253" s="458" customFormat="1" ht="56.25" x14ac:dyDescent="0.2">
      <c r="A471" s="444">
        <v>8726</v>
      </c>
      <c r="B471" s="445" t="s">
        <v>84</v>
      </c>
      <c r="C471" s="445" t="s">
        <v>85</v>
      </c>
      <c r="D471" s="445"/>
      <c r="E471" s="445"/>
      <c r="F471" s="479"/>
      <c r="G471" s="446">
        <v>233</v>
      </c>
      <c r="H471" s="445" t="s">
        <v>677</v>
      </c>
      <c r="I471" s="445"/>
      <c r="J471" s="445"/>
      <c r="K471" s="447"/>
      <c r="L471" s="445" t="s">
        <v>133</v>
      </c>
      <c r="M471" s="445">
        <v>1</v>
      </c>
      <c r="N471" s="445" t="s">
        <v>656</v>
      </c>
      <c r="O471" s="449" t="s">
        <v>1520</v>
      </c>
      <c r="P471" s="450">
        <v>8.5640000000000001</v>
      </c>
      <c r="Q471" s="451">
        <f t="shared" si="13"/>
        <v>8.5640000000000001</v>
      </c>
      <c r="R471" s="451">
        <f>SUMIF('Wege im Detail'!$A:$A,"8726",'Wege im Detail'!$P:$P)</f>
        <v>8.5640000000000001</v>
      </c>
      <c r="S471" s="452" t="s">
        <v>678</v>
      </c>
      <c r="T471" s="453">
        <v>43922</v>
      </c>
      <c r="U471" s="448"/>
      <c r="W471" s="448"/>
    </row>
    <row r="472" spans="1:253" s="458" customFormat="1" ht="45" customHeight="1" x14ac:dyDescent="0.2">
      <c r="A472" s="444">
        <v>8727</v>
      </c>
      <c r="B472" s="445" t="s">
        <v>84</v>
      </c>
      <c r="C472" s="445" t="s">
        <v>85</v>
      </c>
      <c r="D472" s="445"/>
      <c r="E472" s="445"/>
      <c r="F472" s="479"/>
      <c r="G472" s="446">
        <v>232</v>
      </c>
      <c r="H472" s="445" t="s">
        <v>679</v>
      </c>
      <c r="I472" s="445"/>
      <c r="J472" s="445"/>
      <c r="K472" s="447"/>
      <c r="L472" s="445" t="s">
        <v>147</v>
      </c>
      <c r="M472" s="445">
        <v>1</v>
      </c>
      <c r="N472" s="445" t="s">
        <v>656</v>
      </c>
      <c r="O472" s="449" t="s">
        <v>1521</v>
      </c>
      <c r="P472" s="450">
        <v>9.0220000000000002</v>
      </c>
      <c r="Q472" s="451">
        <f t="shared" si="13"/>
        <v>9.0220000000000002</v>
      </c>
      <c r="R472" s="451">
        <f>SUMIF('Wege im Detail'!$A:$A,"8727",'Wege im Detail'!$P:$P)</f>
        <v>9.0220000000000002</v>
      </c>
      <c r="S472" s="452" t="s">
        <v>680</v>
      </c>
      <c r="T472" s="453">
        <v>43922</v>
      </c>
      <c r="U472" s="448"/>
      <c r="W472" s="448"/>
      <c r="X472" s="455"/>
      <c r="Y472" s="455"/>
      <c r="Z472" s="455"/>
      <c r="AA472" s="455"/>
      <c r="AB472" s="455"/>
      <c r="AC472" s="455"/>
      <c r="AD472" s="455"/>
      <c r="AE472" s="455"/>
      <c r="AF472" s="455"/>
      <c r="AG472" s="455"/>
      <c r="AH472" s="455"/>
      <c r="AI472" s="455"/>
      <c r="AJ472" s="455"/>
      <c r="AK472" s="455"/>
      <c r="AL472" s="455"/>
      <c r="AM472" s="455"/>
      <c r="AN472" s="455"/>
      <c r="AO472" s="455"/>
      <c r="AP472" s="455"/>
      <c r="AQ472" s="455"/>
      <c r="AR472" s="455"/>
      <c r="AS472" s="455"/>
      <c r="AT472" s="455"/>
      <c r="AU472" s="455"/>
      <c r="AV472" s="455"/>
      <c r="AW472" s="455"/>
      <c r="AX472" s="455"/>
      <c r="AY472" s="455"/>
      <c r="AZ472" s="455"/>
      <c r="BA472" s="455"/>
      <c r="BB472" s="455"/>
      <c r="BC472" s="455"/>
      <c r="BD472" s="455"/>
      <c r="BE472" s="455"/>
      <c r="BF472" s="455"/>
      <c r="BG472" s="455"/>
      <c r="BH472" s="455"/>
      <c r="BI472" s="455"/>
      <c r="BJ472" s="455"/>
      <c r="BK472" s="455"/>
      <c r="BL472" s="455"/>
      <c r="BM472" s="455"/>
      <c r="BN472" s="455"/>
      <c r="BO472" s="455"/>
      <c r="BP472" s="455"/>
      <c r="BQ472" s="455"/>
      <c r="BR472" s="455"/>
      <c r="BS472" s="455"/>
      <c r="BT472" s="455"/>
      <c r="BU472" s="455"/>
      <c r="BV472" s="455"/>
      <c r="BW472" s="455"/>
      <c r="BX472" s="455"/>
      <c r="BY472" s="455"/>
      <c r="BZ472" s="455"/>
      <c r="CA472" s="455"/>
      <c r="CB472" s="455"/>
      <c r="CC472" s="455"/>
      <c r="CD472" s="455"/>
      <c r="CE472" s="455"/>
      <c r="CF472" s="455"/>
      <c r="CG472" s="455"/>
      <c r="CH472" s="455"/>
      <c r="CI472" s="455"/>
      <c r="CJ472" s="455"/>
      <c r="CK472" s="455"/>
      <c r="CL472" s="455"/>
      <c r="CM472" s="455"/>
      <c r="CN472" s="455"/>
      <c r="CO472" s="455"/>
      <c r="CP472" s="455"/>
      <c r="CQ472" s="455"/>
      <c r="CR472" s="455"/>
      <c r="CS472" s="455"/>
      <c r="CT472" s="455"/>
      <c r="CU472" s="455"/>
      <c r="CV472" s="455"/>
      <c r="CW472" s="455"/>
      <c r="CX472" s="455"/>
      <c r="CY472" s="455"/>
      <c r="CZ472" s="455"/>
      <c r="DA472" s="455"/>
      <c r="DB472" s="455"/>
      <c r="DC472" s="455"/>
      <c r="DD472" s="455"/>
      <c r="DE472" s="455"/>
      <c r="DF472" s="455"/>
      <c r="DG472" s="455"/>
      <c r="DH472" s="455"/>
      <c r="DI472" s="455"/>
      <c r="DJ472" s="455"/>
      <c r="DK472" s="455"/>
      <c r="DL472" s="455"/>
      <c r="DM472" s="455"/>
      <c r="DN472" s="455"/>
      <c r="DO472" s="455"/>
      <c r="DP472" s="455"/>
      <c r="DQ472" s="455"/>
      <c r="DR472" s="455"/>
      <c r="DS472" s="455"/>
      <c r="DT472" s="455"/>
      <c r="DU472" s="455"/>
      <c r="DV472" s="455"/>
      <c r="DW472" s="455"/>
      <c r="DX472" s="455"/>
      <c r="DY472" s="455"/>
      <c r="DZ472" s="455"/>
      <c r="EA472" s="455"/>
      <c r="EB472" s="455"/>
      <c r="EC472" s="455"/>
      <c r="ED472" s="455"/>
      <c r="EE472" s="455"/>
      <c r="EF472" s="455"/>
      <c r="EG472" s="455"/>
      <c r="EH472" s="455"/>
      <c r="EI472" s="455"/>
      <c r="EJ472" s="455"/>
      <c r="EK472" s="455"/>
      <c r="EL472" s="455"/>
      <c r="EM472" s="455"/>
      <c r="EN472" s="455"/>
      <c r="EO472" s="455"/>
      <c r="EP472" s="455"/>
      <c r="EQ472" s="455"/>
      <c r="ER472" s="455"/>
      <c r="ES472" s="455"/>
      <c r="ET472" s="455"/>
      <c r="EU472" s="455"/>
      <c r="EV472" s="455"/>
      <c r="EW472" s="455"/>
      <c r="EX472" s="455"/>
      <c r="EY472" s="455"/>
      <c r="EZ472" s="455"/>
      <c r="FA472" s="455"/>
      <c r="FB472" s="455"/>
      <c r="FC472" s="455"/>
      <c r="FD472" s="455"/>
      <c r="FE472" s="455"/>
      <c r="FF472" s="455"/>
      <c r="FG472" s="455"/>
      <c r="FH472" s="455"/>
      <c r="FI472" s="455"/>
      <c r="FJ472" s="455"/>
      <c r="FK472" s="455"/>
      <c r="FL472" s="455"/>
      <c r="FM472" s="455"/>
      <c r="FN472" s="455"/>
      <c r="FO472" s="455"/>
      <c r="FP472" s="455"/>
      <c r="FQ472" s="455"/>
      <c r="FR472" s="455"/>
      <c r="FS472" s="455"/>
      <c r="FT472" s="455"/>
      <c r="FU472" s="455"/>
      <c r="FV472" s="455"/>
      <c r="FW472" s="455"/>
      <c r="FX472" s="455"/>
      <c r="FY472" s="455"/>
      <c r="FZ472" s="455"/>
      <c r="GA472" s="455"/>
      <c r="GB472" s="455"/>
      <c r="GC472" s="455"/>
      <c r="GD472" s="455"/>
      <c r="GE472" s="455"/>
      <c r="GF472" s="455"/>
      <c r="GG472" s="455"/>
      <c r="GH472" s="455"/>
      <c r="GI472" s="455"/>
      <c r="GJ472" s="455"/>
      <c r="GK472" s="455"/>
      <c r="GL472" s="455"/>
      <c r="GM472" s="455"/>
      <c r="GN472" s="455"/>
      <c r="GO472" s="455"/>
      <c r="GP472" s="455"/>
      <c r="GQ472" s="455"/>
      <c r="GR472" s="455"/>
      <c r="GS472" s="455"/>
      <c r="GT472" s="455"/>
      <c r="GU472" s="455"/>
      <c r="GV472" s="455"/>
      <c r="GW472" s="455"/>
      <c r="GX472" s="455"/>
      <c r="GY472" s="455"/>
      <c r="GZ472" s="455"/>
      <c r="HA472" s="455"/>
      <c r="HB472" s="455"/>
      <c r="HC472" s="455"/>
      <c r="HD472" s="455"/>
      <c r="HE472" s="455"/>
      <c r="HF472" s="455"/>
      <c r="HG472" s="455"/>
      <c r="HH472" s="455"/>
      <c r="HI472" s="455"/>
      <c r="HJ472" s="455"/>
      <c r="HK472" s="455"/>
      <c r="HL472" s="455"/>
      <c r="HM472" s="455"/>
      <c r="HN472" s="455"/>
      <c r="HO472" s="455"/>
      <c r="HP472" s="455"/>
      <c r="HQ472" s="455"/>
      <c r="HR472" s="455"/>
      <c r="HS472" s="455"/>
      <c r="HT472" s="455"/>
      <c r="HU472" s="455"/>
      <c r="HV472" s="455"/>
      <c r="HW472" s="455"/>
      <c r="HX472" s="455"/>
      <c r="HY472" s="455"/>
      <c r="HZ472" s="455"/>
      <c r="IA472" s="455"/>
      <c r="IB472" s="455"/>
      <c r="IC472" s="455"/>
      <c r="ID472" s="455"/>
      <c r="IE472" s="455"/>
      <c r="IF472" s="455"/>
      <c r="IG472" s="455"/>
      <c r="IH472" s="455"/>
      <c r="II472" s="455"/>
      <c r="IJ472" s="455"/>
      <c r="IK472" s="455"/>
      <c r="IL472" s="455"/>
      <c r="IM472" s="455"/>
      <c r="IN472" s="455"/>
      <c r="IO472" s="455"/>
      <c r="IP472" s="455"/>
      <c r="IQ472" s="455"/>
      <c r="IR472" s="455"/>
      <c r="IS472" s="455"/>
    </row>
    <row r="473" spans="1:253" s="458" customFormat="1" ht="45" customHeight="1" x14ac:dyDescent="0.25">
      <c r="A473" s="444">
        <v>8728</v>
      </c>
      <c r="B473" s="445" t="s">
        <v>84</v>
      </c>
      <c r="C473" s="445" t="s">
        <v>85</v>
      </c>
      <c r="D473" s="445"/>
      <c r="E473" s="445"/>
      <c r="F473" s="479"/>
      <c r="G473" s="446">
        <v>231</v>
      </c>
      <c r="H473" s="445" t="s">
        <v>681</v>
      </c>
      <c r="I473" s="445"/>
      <c r="J473" s="445"/>
      <c r="K473" s="447"/>
      <c r="L473" s="445" t="s">
        <v>142</v>
      </c>
      <c r="M473" s="445">
        <v>1</v>
      </c>
      <c r="N473" s="445" t="s">
        <v>656</v>
      </c>
      <c r="O473" s="449" t="s">
        <v>1522</v>
      </c>
      <c r="P473" s="450">
        <v>5.94</v>
      </c>
      <c r="Q473" s="451">
        <f t="shared" si="13"/>
        <v>5.94</v>
      </c>
      <c r="R473" s="451">
        <f>SUMIF('Wege im Detail'!$A:$A,"8728",'Wege im Detail'!$P:$P)</f>
        <v>5.94</v>
      </c>
      <c r="S473" s="452" t="s">
        <v>682</v>
      </c>
      <c r="T473" s="453">
        <v>43922</v>
      </c>
      <c r="U473" s="448"/>
      <c r="V473" s="490"/>
      <c r="W473" s="448"/>
      <c r="X473" s="455"/>
      <c r="Y473" s="455"/>
      <c r="Z473" s="455"/>
      <c r="AA473" s="455"/>
      <c r="AB473" s="455"/>
      <c r="AC473" s="455"/>
      <c r="AD473" s="455"/>
      <c r="AE473" s="455"/>
      <c r="AF473" s="455"/>
      <c r="AG473" s="455"/>
      <c r="AH473" s="455"/>
      <c r="AI473" s="455"/>
      <c r="AJ473" s="455"/>
      <c r="AK473" s="455"/>
      <c r="AL473" s="455"/>
      <c r="AM473" s="455"/>
      <c r="AN473" s="455"/>
      <c r="AO473" s="455"/>
      <c r="AP473" s="455"/>
      <c r="AQ473" s="455"/>
      <c r="AR473" s="455"/>
      <c r="AS473" s="455"/>
      <c r="AT473" s="455"/>
      <c r="AU473" s="455"/>
      <c r="AV473" s="455"/>
      <c r="AW473" s="455"/>
      <c r="AX473" s="455"/>
      <c r="AY473" s="455"/>
      <c r="AZ473" s="455"/>
      <c r="BA473" s="455"/>
      <c r="BB473" s="455"/>
      <c r="BC473" s="455"/>
      <c r="BD473" s="455"/>
      <c r="BE473" s="455"/>
      <c r="BF473" s="455"/>
      <c r="BG473" s="455"/>
      <c r="BH473" s="455"/>
      <c r="BI473" s="455"/>
      <c r="BJ473" s="455"/>
      <c r="BK473" s="455"/>
      <c r="BL473" s="455"/>
      <c r="BM473" s="455"/>
      <c r="BN473" s="455"/>
      <c r="BO473" s="455"/>
      <c r="BP473" s="455"/>
      <c r="BQ473" s="455"/>
      <c r="BR473" s="455"/>
      <c r="BS473" s="455"/>
      <c r="BT473" s="455"/>
      <c r="BU473" s="455"/>
      <c r="BV473" s="455"/>
      <c r="BW473" s="455"/>
      <c r="BX473" s="455"/>
      <c r="BY473" s="455"/>
      <c r="BZ473" s="455"/>
      <c r="CA473" s="455"/>
      <c r="CB473" s="455"/>
      <c r="CC473" s="455"/>
      <c r="CD473" s="455"/>
      <c r="CE473" s="455"/>
      <c r="CF473" s="455"/>
      <c r="CG473" s="455"/>
      <c r="CH473" s="455"/>
      <c r="CI473" s="455"/>
      <c r="CJ473" s="455"/>
      <c r="CK473" s="455"/>
      <c r="CL473" s="455"/>
      <c r="CM473" s="455"/>
      <c r="CN473" s="455"/>
      <c r="CO473" s="455"/>
      <c r="CP473" s="455"/>
      <c r="CQ473" s="455"/>
      <c r="CR473" s="455"/>
      <c r="CS473" s="455"/>
      <c r="CT473" s="455"/>
      <c r="CU473" s="455"/>
      <c r="CV473" s="455"/>
      <c r="CW473" s="455"/>
      <c r="CX473" s="455"/>
      <c r="CY473" s="455"/>
      <c r="CZ473" s="455"/>
      <c r="DA473" s="455"/>
      <c r="DB473" s="455"/>
      <c r="DC473" s="455"/>
      <c r="DD473" s="455"/>
      <c r="DE473" s="455"/>
      <c r="DF473" s="455"/>
      <c r="DG473" s="455"/>
      <c r="DH473" s="455"/>
      <c r="DI473" s="455"/>
      <c r="DJ473" s="455"/>
      <c r="DK473" s="455"/>
      <c r="DL473" s="455"/>
      <c r="DM473" s="455"/>
      <c r="DN473" s="455"/>
      <c r="DO473" s="455"/>
      <c r="DP473" s="455"/>
      <c r="DQ473" s="455"/>
      <c r="DR473" s="455"/>
      <c r="DS473" s="455"/>
      <c r="DT473" s="455"/>
      <c r="DU473" s="455"/>
      <c r="DV473" s="455"/>
      <c r="DW473" s="455"/>
      <c r="DX473" s="455"/>
      <c r="DY473" s="455"/>
      <c r="DZ473" s="455"/>
      <c r="EA473" s="455"/>
      <c r="EB473" s="455"/>
      <c r="EC473" s="455"/>
      <c r="ED473" s="455"/>
      <c r="EE473" s="455"/>
      <c r="EF473" s="455"/>
      <c r="EG473" s="455"/>
      <c r="EH473" s="455"/>
      <c r="EI473" s="455"/>
      <c r="EJ473" s="455"/>
      <c r="EK473" s="455"/>
      <c r="EL473" s="455"/>
      <c r="EM473" s="455"/>
      <c r="EN473" s="455"/>
      <c r="EO473" s="455"/>
      <c r="EP473" s="455"/>
      <c r="EQ473" s="455"/>
      <c r="ER473" s="455"/>
      <c r="ES473" s="455"/>
      <c r="ET473" s="455"/>
      <c r="EU473" s="455"/>
      <c r="EV473" s="455"/>
      <c r="EW473" s="455"/>
      <c r="EX473" s="455"/>
      <c r="EY473" s="455"/>
      <c r="EZ473" s="455"/>
      <c r="FA473" s="455"/>
      <c r="FB473" s="455"/>
      <c r="FC473" s="455"/>
      <c r="FD473" s="455"/>
      <c r="FE473" s="455"/>
      <c r="FF473" s="455"/>
      <c r="FG473" s="455"/>
      <c r="FH473" s="455"/>
      <c r="FI473" s="455"/>
      <c r="FJ473" s="455"/>
      <c r="FK473" s="455"/>
      <c r="FL473" s="455"/>
      <c r="FM473" s="455"/>
      <c r="FN473" s="455"/>
      <c r="FO473" s="455"/>
      <c r="FP473" s="455"/>
      <c r="FQ473" s="455"/>
      <c r="FR473" s="455"/>
      <c r="FS473" s="455"/>
      <c r="FT473" s="455"/>
      <c r="FU473" s="455"/>
      <c r="FV473" s="455"/>
      <c r="FW473" s="455"/>
      <c r="FX473" s="455"/>
      <c r="FY473" s="455"/>
      <c r="FZ473" s="455"/>
      <c r="GA473" s="455"/>
      <c r="GB473" s="455"/>
      <c r="GC473" s="455"/>
      <c r="GD473" s="455"/>
      <c r="GE473" s="455"/>
      <c r="GF473" s="455"/>
      <c r="GG473" s="455"/>
      <c r="GH473" s="455"/>
      <c r="GI473" s="455"/>
      <c r="GJ473" s="455"/>
      <c r="GK473" s="455"/>
      <c r="GL473" s="455"/>
      <c r="GM473" s="455"/>
      <c r="GN473" s="455"/>
      <c r="GO473" s="455"/>
      <c r="GP473" s="455"/>
      <c r="GQ473" s="455"/>
      <c r="GR473" s="455"/>
      <c r="GS473" s="455"/>
      <c r="GT473" s="455"/>
      <c r="GU473" s="455"/>
      <c r="GV473" s="455"/>
      <c r="GW473" s="455"/>
      <c r="GX473" s="455"/>
      <c r="GY473" s="455"/>
      <c r="GZ473" s="455"/>
      <c r="HA473" s="455"/>
      <c r="HB473" s="455"/>
      <c r="HC473" s="455"/>
      <c r="HD473" s="455"/>
      <c r="HE473" s="455"/>
      <c r="HF473" s="455"/>
      <c r="HG473" s="455"/>
      <c r="HH473" s="455"/>
      <c r="HI473" s="455"/>
      <c r="HJ473" s="455"/>
      <c r="HK473" s="455"/>
      <c r="HL473" s="455"/>
      <c r="HM473" s="455"/>
      <c r="HN473" s="455"/>
      <c r="HO473" s="455"/>
      <c r="HP473" s="455"/>
      <c r="HQ473" s="455"/>
      <c r="HR473" s="455"/>
      <c r="HS473" s="455"/>
      <c r="HT473" s="455"/>
      <c r="HU473" s="455"/>
      <c r="HV473" s="455"/>
      <c r="HW473" s="455"/>
      <c r="HX473" s="455"/>
      <c r="HY473" s="455"/>
      <c r="HZ473" s="455"/>
      <c r="IA473" s="455"/>
      <c r="IB473" s="455"/>
      <c r="IC473" s="455"/>
      <c r="ID473" s="455"/>
      <c r="IE473" s="455"/>
      <c r="IF473" s="455"/>
      <c r="IG473" s="455"/>
      <c r="IH473" s="455"/>
      <c r="II473" s="455"/>
      <c r="IJ473" s="455"/>
      <c r="IK473" s="455"/>
      <c r="IL473" s="455"/>
      <c r="IM473" s="455"/>
      <c r="IN473" s="455"/>
      <c r="IO473" s="455"/>
      <c r="IP473" s="455"/>
      <c r="IQ473" s="455"/>
      <c r="IR473" s="455"/>
      <c r="IS473" s="455"/>
    </row>
    <row r="474" spans="1:253" s="458" customFormat="1" ht="45" x14ac:dyDescent="0.2">
      <c r="A474" s="444">
        <v>8729</v>
      </c>
      <c r="B474" s="445" t="s">
        <v>84</v>
      </c>
      <c r="C474" s="445" t="s">
        <v>85</v>
      </c>
      <c r="D474" s="445"/>
      <c r="E474" s="445"/>
      <c r="F474" s="479"/>
      <c r="G474" s="446">
        <v>265</v>
      </c>
      <c r="H474" s="445" t="s">
        <v>684</v>
      </c>
      <c r="I474" s="445"/>
      <c r="J474" s="445"/>
      <c r="K474" s="447"/>
      <c r="L474" s="448"/>
      <c r="M474" s="445">
        <v>1</v>
      </c>
      <c r="N474" s="445" t="s">
        <v>425</v>
      </c>
      <c r="O474" s="464" t="s">
        <v>1523</v>
      </c>
      <c r="P474" s="450">
        <v>9.6199999999999992</v>
      </c>
      <c r="Q474" s="451">
        <f t="shared" si="13"/>
        <v>9.6199999999999992</v>
      </c>
      <c r="R474" s="451">
        <f>SUMIF('Wege im Detail'!$A:$A,"8729",'Wege im Detail'!$P:$P)</f>
        <v>9.6199999999999992</v>
      </c>
      <c r="S474" s="452" t="s">
        <v>685</v>
      </c>
      <c r="T474" s="453">
        <v>43922</v>
      </c>
      <c r="U474" s="448"/>
      <c r="W474" s="448"/>
    </row>
    <row r="475" spans="1:253" s="458" customFormat="1" ht="56.25" x14ac:dyDescent="0.2">
      <c r="A475" s="444">
        <v>8731</v>
      </c>
      <c r="B475" s="445" t="s">
        <v>84</v>
      </c>
      <c r="C475" s="445" t="s">
        <v>85</v>
      </c>
      <c r="D475" s="445"/>
      <c r="E475" s="445"/>
      <c r="F475" s="445"/>
      <c r="G475" s="446">
        <v>262</v>
      </c>
      <c r="H475" s="445" t="s">
        <v>686</v>
      </c>
      <c r="I475" s="445"/>
      <c r="J475" s="445"/>
      <c r="K475" s="447"/>
      <c r="L475" s="445" t="s">
        <v>147</v>
      </c>
      <c r="M475" s="445">
        <v>5</v>
      </c>
      <c r="N475" s="445" t="s">
        <v>128</v>
      </c>
      <c r="O475" s="449" t="s">
        <v>1524</v>
      </c>
      <c r="P475" s="450">
        <v>9.6210000000000004</v>
      </c>
      <c r="Q475" s="451">
        <f t="shared" si="13"/>
        <v>9.6210000000000004</v>
      </c>
      <c r="R475" s="451">
        <f>SUMIF('Wege im Detail'!$A:$A,"8731",'Wege im Detail'!$P:$P)</f>
        <v>9.6210000000000004</v>
      </c>
      <c r="S475" s="452" t="s">
        <v>687</v>
      </c>
      <c r="T475" s="453">
        <v>43922</v>
      </c>
      <c r="U475" s="448"/>
      <c r="V475" s="455" t="s">
        <v>1205</v>
      </c>
      <c r="W475" s="448"/>
    </row>
    <row r="476" spans="1:253" s="458" customFormat="1" ht="45" x14ac:dyDescent="0.2">
      <c r="A476" s="444">
        <v>8734</v>
      </c>
      <c r="B476" s="445" t="s">
        <v>84</v>
      </c>
      <c r="C476" s="445" t="s">
        <v>85</v>
      </c>
      <c r="D476" s="445"/>
      <c r="E476" s="445"/>
      <c r="F476" s="481"/>
      <c r="G476" s="446">
        <v>225</v>
      </c>
      <c r="H476" s="445" t="s">
        <v>688</v>
      </c>
      <c r="I476" s="445"/>
      <c r="J476" s="445"/>
      <c r="K476" s="447"/>
      <c r="L476" s="445" t="s">
        <v>88</v>
      </c>
      <c r="M476" s="445">
        <v>5</v>
      </c>
      <c r="N476" s="445" t="s">
        <v>72</v>
      </c>
      <c r="O476" s="449" t="s">
        <v>1525</v>
      </c>
      <c r="P476" s="450">
        <v>3.177</v>
      </c>
      <c r="Q476" s="451">
        <f t="shared" si="13"/>
        <v>3.177</v>
      </c>
      <c r="R476" s="451">
        <f>SUMIF('Wege im Detail'!$A:$A,"8734",'Wege im Detail'!$P:$P)</f>
        <v>3.177</v>
      </c>
      <c r="S476" s="452" t="s">
        <v>689</v>
      </c>
      <c r="T476" s="453">
        <v>43922</v>
      </c>
      <c r="U476" s="448"/>
      <c r="W476" s="448"/>
      <c r="X476" s="455"/>
      <c r="Y476" s="455"/>
      <c r="Z476" s="455"/>
      <c r="AA476" s="455"/>
      <c r="AB476" s="455"/>
      <c r="AC476" s="455"/>
      <c r="AD476" s="455"/>
      <c r="AE476" s="455"/>
      <c r="AF476" s="455"/>
      <c r="AG476" s="455"/>
      <c r="AH476" s="455"/>
      <c r="AI476" s="455"/>
      <c r="AJ476" s="455"/>
      <c r="AK476" s="455"/>
      <c r="AL476" s="455"/>
      <c r="AM476" s="455"/>
      <c r="AN476" s="455"/>
      <c r="AO476" s="455"/>
      <c r="AP476" s="455"/>
      <c r="AQ476" s="455"/>
      <c r="AR476" s="455"/>
      <c r="AS476" s="455"/>
      <c r="AT476" s="455"/>
      <c r="AU476" s="455"/>
      <c r="AV476" s="455"/>
      <c r="AW476" s="455"/>
      <c r="AX476" s="455"/>
      <c r="AY476" s="455"/>
      <c r="AZ476" s="455"/>
      <c r="BA476" s="455"/>
      <c r="BB476" s="455"/>
      <c r="BC476" s="455"/>
      <c r="BD476" s="455"/>
      <c r="BE476" s="455"/>
      <c r="BF476" s="455"/>
      <c r="BG476" s="455"/>
      <c r="BH476" s="455"/>
      <c r="BI476" s="455"/>
      <c r="BJ476" s="455"/>
      <c r="BK476" s="455"/>
      <c r="BL476" s="455"/>
      <c r="BM476" s="455"/>
      <c r="BN476" s="455"/>
      <c r="BO476" s="455"/>
      <c r="BP476" s="455"/>
      <c r="BQ476" s="455"/>
      <c r="BR476" s="455"/>
      <c r="BS476" s="455"/>
      <c r="BT476" s="455"/>
      <c r="BU476" s="455"/>
      <c r="BV476" s="455"/>
      <c r="BW476" s="455"/>
      <c r="BX476" s="455"/>
      <c r="BY476" s="455"/>
      <c r="BZ476" s="455"/>
      <c r="CA476" s="455"/>
      <c r="CB476" s="455"/>
      <c r="CC476" s="455"/>
      <c r="CD476" s="455"/>
      <c r="CE476" s="455"/>
      <c r="CF476" s="455"/>
      <c r="CG476" s="455"/>
      <c r="CH476" s="455"/>
      <c r="CI476" s="455"/>
      <c r="CJ476" s="455"/>
      <c r="CK476" s="455"/>
      <c r="CL476" s="455"/>
      <c r="CM476" s="455"/>
      <c r="CN476" s="455"/>
      <c r="CO476" s="455"/>
      <c r="CP476" s="455"/>
      <c r="CQ476" s="455"/>
      <c r="CR476" s="455"/>
      <c r="CS476" s="455"/>
      <c r="CT476" s="455"/>
      <c r="CU476" s="455"/>
      <c r="CV476" s="455"/>
      <c r="CW476" s="455"/>
      <c r="CX476" s="455"/>
      <c r="CY476" s="455"/>
      <c r="CZ476" s="455"/>
      <c r="DA476" s="455"/>
      <c r="DB476" s="455"/>
      <c r="DC476" s="455"/>
      <c r="DD476" s="455"/>
      <c r="DE476" s="455"/>
      <c r="DF476" s="455"/>
      <c r="DG476" s="455"/>
      <c r="DH476" s="455"/>
      <c r="DI476" s="455"/>
      <c r="DJ476" s="455"/>
      <c r="DK476" s="455"/>
      <c r="DL476" s="455"/>
      <c r="DM476" s="455"/>
      <c r="DN476" s="455"/>
      <c r="DO476" s="455"/>
      <c r="DP476" s="455"/>
      <c r="DQ476" s="455"/>
      <c r="DR476" s="455"/>
      <c r="DS476" s="455"/>
      <c r="DT476" s="455"/>
      <c r="DU476" s="455"/>
      <c r="DV476" s="455"/>
      <c r="DW476" s="455"/>
      <c r="DX476" s="455"/>
      <c r="DY476" s="455"/>
      <c r="DZ476" s="455"/>
      <c r="EA476" s="455"/>
      <c r="EB476" s="455"/>
      <c r="EC476" s="455"/>
      <c r="ED476" s="455"/>
      <c r="EE476" s="455"/>
      <c r="EF476" s="455"/>
      <c r="EG476" s="455"/>
      <c r="EH476" s="455"/>
      <c r="EI476" s="455"/>
      <c r="EJ476" s="455"/>
      <c r="EK476" s="455"/>
      <c r="EL476" s="455"/>
      <c r="EM476" s="455"/>
      <c r="EN476" s="455"/>
      <c r="EO476" s="455"/>
      <c r="EP476" s="455"/>
      <c r="EQ476" s="455"/>
      <c r="ER476" s="455"/>
      <c r="ES476" s="455"/>
      <c r="ET476" s="455"/>
      <c r="EU476" s="455"/>
      <c r="EV476" s="455"/>
      <c r="EW476" s="455"/>
      <c r="EX476" s="455"/>
      <c r="EY476" s="455"/>
      <c r="EZ476" s="455"/>
      <c r="FA476" s="455"/>
      <c r="FB476" s="455"/>
      <c r="FC476" s="455"/>
      <c r="FD476" s="455"/>
      <c r="FE476" s="455"/>
      <c r="FF476" s="455"/>
      <c r="FG476" s="455"/>
      <c r="FH476" s="455"/>
      <c r="FI476" s="455"/>
      <c r="FJ476" s="455"/>
      <c r="FK476" s="455"/>
      <c r="FL476" s="455"/>
      <c r="FM476" s="455"/>
      <c r="FN476" s="455"/>
      <c r="FO476" s="455"/>
      <c r="FP476" s="455"/>
      <c r="FQ476" s="455"/>
      <c r="FR476" s="455"/>
      <c r="FS476" s="455"/>
      <c r="FT476" s="455"/>
      <c r="FU476" s="455"/>
      <c r="FV476" s="455"/>
      <c r="FW476" s="455"/>
      <c r="FX476" s="455"/>
      <c r="FY476" s="455"/>
      <c r="FZ476" s="455"/>
      <c r="GA476" s="455"/>
      <c r="GB476" s="455"/>
      <c r="GC476" s="455"/>
      <c r="GD476" s="455"/>
      <c r="GE476" s="455"/>
      <c r="GF476" s="455"/>
      <c r="GG476" s="455"/>
      <c r="GH476" s="455"/>
      <c r="GI476" s="455"/>
      <c r="GJ476" s="455"/>
      <c r="GK476" s="455"/>
      <c r="GL476" s="455"/>
      <c r="GM476" s="455"/>
      <c r="GN476" s="455"/>
      <c r="GO476" s="455"/>
      <c r="GP476" s="455"/>
      <c r="GQ476" s="455"/>
      <c r="GR476" s="455"/>
      <c r="GS476" s="455"/>
      <c r="GT476" s="455"/>
      <c r="GU476" s="455"/>
      <c r="GV476" s="455"/>
      <c r="GW476" s="455"/>
      <c r="GX476" s="455"/>
      <c r="GY476" s="455"/>
      <c r="GZ476" s="455"/>
      <c r="HA476" s="455"/>
      <c r="HB476" s="455"/>
      <c r="HC476" s="455"/>
      <c r="HD476" s="455"/>
      <c r="HE476" s="455"/>
      <c r="HF476" s="455"/>
      <c r="HG476" s="455"/>
      <c r="HH476" s="455"/>
      <c r="HI476" s="455"/>
      <c r="HJ476" s="455"/>
      <c r="HK476" s="455"/>
      <c r="HL476" s="455"/>
      <c r="HM476" s="455"/>
      <c r="HN476" s="455"/>
      <c r="HO476" s="455"/>
      <c r="HP476" s="455"/>
      <c r="HQ476" s="455"/>
      <c r="HR476" s="455"/>
      <c r="HS476" s="455"/>
      <c r="HT476" s="455"/>
      <c r="HU476" s="455"/>
      <c r="HV476" s="455"/>
      <c r="HW476" s="455"/>
      <c r="HX476" s="455"/>
      <c r="HY476" s="455"/>
      <c r="HZ476" s="455"/>
      <c r="IA476" s="455"/>
      <c r="IB476" s="455"/>
      <c r="IC476" s="455"/>
      <c r="ID476" s="455"/>
      <c r="IE476" s="455"/>
      <c r="IF476" s="455"/>
      <c r="IG476" s="455"/>
      <c r="IH476" s="455"/>
      <c r="II476" s="455"/>
      <c r="IJ476" s="455"/>
      <c r="IK476" s="455"/>
      <c r="IL476" s="455"/>
      <c r="IM476" s="455"/>
      <c r="IN476" s="455"/>
      <c r="IO476" s="455"/>
      <c r="IP476" s="455"/>
      <c r="IQ476" s="455"/>
      <c r="IR476" s="455"/>
      <c r="IS476" s="455"/>
    </row>
    <row r="477" spans="1:253" s="458" customFormat="1" ht="56.25" x14ac:dyDescent="0.2">
      <c r="A477" s="444">
        <v>8735</v>
      </c>
      <c r="B477" s="445" t="s">
        <v>84</v>
      </c>
      <c r="C477" s="445" t="s">
        <v>85</v>
      </c>
      <c r="D477" s="445"/>
      <c r="E477" s="445"/>
      <c r="F477" s="481"/>
      <c r="G477" s="446">
        <v>223</v>
      </c>
      <c r="H477" s="445" t="s">
        <v>690</v>
      </c>
      <c r="I477" s="445"/>
      <c r="J477" s="445"/>
      <c r="K477" s="447"/>
      <c r="L477" s="445" t="s">
        <v>133</v>
      </c>
      <c r="M477" s="445">
        <v>5</v>
      </c>
      <c r="N477" s="445" t="s">
        <v>72</v>
      </c>
      <c r="O477" s="449" t="s">
        <v>1526</v>
      </c>
      <c r="P477" s="450">
        <v>5.0510000000000002</v>
      </c>
      <c r="Q477" s="451">
        <f t="shared" si="13"/>
        <v>5.0510000000000002</v>
      </c>
      <c r="R477" s="451">
        <f>SUMIF('Wege im Detail'!$A:$A,"8735",'Wege im Detail'!$P:$P)</f>
        <v>5.0510000000000002</v>
      </c>
      <c r="S477" s="452" t="s">
        <v>691</v>
      </c>
      <c r="T477" s="453">
        <v>43922</v>
      </c>
      <c r="U477" s="448"/>
      <c r="W477" s="448"/>
    </row>
    <row r="478" spans="1:253" s="458" customFormat="1" ht="56.25" x14ac:dyDescent="0.2">
      <c r="A478" s="444">
        <v>8737</v>
      </c>
      <c r="B478" s="445" t="s">
        <v>84</v>
      </c>
      <c r="C478" s="445" t="s">
        <v>85</v>
      </c>
      <c r="D478" s="445"/>
      <c r="E478" s="445"/>
      <c r="F478" s="481"/>
      <c r="G478" s="446">
        <v>221</v>
      </c>
      <c r="H478" s="445" t="s">
        <v>692</v>
      </c>
      <c r="I478" s="445"/>
      <c r="J478" s="445"/>
      <c r="K478" s="447"/>
      <c r="L478" s="445" t="s">
        <v>142</v>
      </c>
      <c r="M478" s="445">
        <v>5</v>
      </c>
      <c r="N478" s="445" t="s">
        <v>72</v>
      </c>
      <c r="O478" s="449" t="s">
        <v>1527</v>
      </c>
      <c r="P478" s="450">
        <v>5.048</v>
      </c>
      <c r="Q478" s="451">
        <f t="shared" si="13"/>
        <v>5.048</v>
      </c>
      <c r="R478" s="451">
        <f>SUMIF('Wege im Detail'!$A:$A,"8737",'Wege im Detail'!$P:$P)</f>
        <v>5.048</v>
      </c>
      <c r="S478" s="452" t="s">
        <v>693</v>
      </c>
      <c r="T478" s="453">
        <v>43922</v>
      </c>
      <c r="U478" s="448"/>
      <c r="W478" s="448"/>
    </row>
    <row r="479" spans="1:253" s="458" customFormat="1" ht="67.5" x14ac:dyDescent="0.2">
      <c r="A479" s="444">
        <v>8738</v>
      </c>
      <c r="B479" s="445" t="s">
        <v>84</v>
      </c>
      <c r="C479" s="445" t="s">
        <v>85</v>
      </c>
      <c r="D479" s="445"/>
      <c r="E479" s="445"/>
      <c r="F479" s="481"/>
      <c r="G479" s="446">
        <v>222</v>
      </c>
      <c r="H479" s="445" t="s">
        <v>694</v>
      </c>
      <c r="I479" s="445"/>
      <c r="J479" s="445"/>
      <c r="K479" s="447"/>
      <c r="L479" s="445" t="s">
        <v>147</v>
      </c>
      <c r="M479" s="445">
        <v>5</v>
      </c>
      <c r="N479" s="445" t="s">
        <v>72</v>
      </c>
      <c r="O479" s="449" t="s">
        <v>1528</v>
      </c>
      <c r="P479" s="450">
        <v>5.2530000000000001</v>
      </c>
      <c r="Q479" s="451">
        <f t="shared" si="13"/>
        <v>5.2530000000000001</v>
      </c>
      <c r="R479" s="451">
        <f>SUMIF('Wege im Detail'!$A:$A,"8738",'Wege im Detail'!$P:$P)</f>
        <v>5.2530000000000001</v>
      </c>
      <c r="S479" s="452" t="s">
        <v>695</v>
      </c>
      <c r="T479" s="453">
        <v>43922</v>
      </c>
      <c r="U479" s="448"/>
      <c r="W479" s="448"/>
    </row>
    <row r="480" spans="1:253" s="458" customFormat="1" ht="45" x14ac:dyDescent="0.2">
      <c r="A480" s="444">
        <v>8739</v>
      </c>
      <c r="B480" s="445" t="s">
        <v>84</v>
      </c>
      <c r="C480" s="445" t="s">
        <v>85</v>
      </c>
      <c r="D480" s="445"/>
      <c r="E480" s="445"/>
      <c r="F480" s="481"/>
      <c r="G480" s="446">
        <v>224</v>
      </c>
      <c r="H480" s="445" t="s">
        <v>696</v>
      </c>
      <c r="I480" s="445"/>
      <c r="J480" s="445"/>
      <c r="K480" s="447"/>
      <c r="L480" s="445" t="s">
        <v>138</v>
      </c>
      <c r="M480" s="445">
        <v>5</v>
      </c>
      <c r="N480" s="445" t="s">
        <v>72</v>
      </c>
      <c r="O480" s="449" t="s">
        <v>1529</v>
      </c>
      <c r="P480" s="450">
        <v>3.8450000000000002</v>
      </c>
      <c r="Q480" s="451">
        <f t="shared" si="13"/>
        <v>3.8450000000000002</v>
      </c>
      <c r="R480" s="451">
        <f>SUMIF('Wege im Detail'!$A:$A,"8739",'Wege im Detail'!$P:$P)</f>
        <v>3.8450000000000002</v>
      </c>
      <c r="S480" s="452" t="s">
        <v>697</v>
      </c>
      <c r="T480" s="453">
        <v>43922</v>
      </c>
      <c r="U480" s="448"/>
      <c r="W480" s="448"/>
    </row>
    <row r="481" spans="1:253" s="458" customFormat="1" ht="67.5" x14ac:dyDescent="0.2">
      <c r="A481" s="444">
        <v>8740</v>
      </c>
      <c r="B481" s="445" t="s">
        <v>84</v>
      </c>
      <c r="C481" s="445" t="s">
        <v>85</v>
      </c>
      <c r="D481" s="445"/>
      <c r="E481" s="445"/>
      <c r="F481" s="445"/>
      <c r="G481" s="446">
        <v>252</v>
      </c>
      <c r="H481" s="445" t="s">
        <v>699</v>
      </c>
      <c r="I481" s="445"/>
      <c r="J481" s="445"/>
      <c r="K481" s="447"/>
      <c r="L481" s="445" t="s">
        <v>147</v>
      </c>
      <c r="M481" s="445">
        <v>2</v>
      </c>
      <c r="N481" s="445" t="s">
        <v>67</v>
      </c>
      <c r="O481" s="449" t="s">
        <v>1530</v>
      </c>
      <c r="P481" s="450">
        <v>5.33</v>
      </c>
      <c r="Q481" s="451">
        <f t="shared" si="13"/>
        <v>5.33</v>
      </c>
      <c r="R481" s="451">
        <f>SUMIF('Wege im Detail'!$A:$A,"8740",'Wege im Detail'!$P:$P)</f>
        <v>5.33</v>
      </c>
      <c r="S481" s="452" t="s">
        <v>700</v>
      </c>
      <c r="T481" s="453">
        <v>43891</v>
      </c>
      <c r="U481" s="448"/>
      <c r="V481" s="476"/>
      <c r="W481" s="448"/>
      <c r="X481" s="455"/>
      <c r="Y481" s="455"/>
      <c r="Z481" s="455"/>
      <c r="AA481" s="455"/>
      <c r="AB481" s="455"/>
      <c r="AC481" s="455"/>
      <c r="AD481" s="455"/>
      <c r="AE481" s="455"/>
      <c r="AF481" s="455"/>
      <c r="AG481" s="455"/>
      <c r="AH481" s="455"/>
      <c r="AI481" s="455"/>
      <c r="AJ481" s="455"/>
      <c r="AK481" s="455"/>
      <c r="AL481" s="455"/>
      <c r="AM481" s="455"/>
      <c r="AN481" s="455"/>
      <c r="AO481" s="455"/>
      <c r="AP481" s="455"/>
      <c r="AQ481" s="455"/>
      <c r="AR481" s="455"/>
      <c r="AS481" s="455"/>
      <c r="AT481" s="455"/>
      <c r="AU481" s="455"/>
      <c r="AV481" s="455"/>
      <c r="AW481" s="455"/>
      <c r="AX481" s="455"/>
      <c r="AY481" s="455"/>
      <c r="AZ481" s="455"/>
      <c r="BA481" s="455"/>
      <c r="BB481" s="455"/>
      <c r="BC481" s="455"/>
      <c r="BD481" s="455"/>
      <c r="BE481" s="455"/>
      <c r="BF481" s="455"/>
      <c r="BG481" s="455"/>
      <c r="BH481" s="455"/>
      <c r="BI481" s="455"/>
      <c r="BJ481" s="455"/>
      <c r="BK481" s="455"/>
      <c r="BL481" s="455"/>
      <c r="BM481" s="455"/>
      <c r="BN481" s="455"/>
      <c r="BO481" s="455"/>
      <c r="BP481" s="455"/>
      <c r="BQ481" s="455"/>
      <c r="BR481" s="455"/>
      <c r="BS481" s="455"/>
      <c r="BT481" s="455"/>
      <c r="BU481" s="455"/>
      <c r="BV481" s="455"/>
      <c r="BW481" s="455"/>
      <c r="BX481" s="455"/>
      <c r="BY481" s="455"/>
      <c r="BZ481" s="455"/>
      <c r="CA481" s="455"/>
      <c r="CB481" s="455"/>
      <c r="CC481" s="455"/>
      <c r="CD481" s="455"/>
      <c r="CE481" s="455"/>
      <c r="CF481" s="455"/>
      <c r="CG481" s="455"/>
      <c r="CH481" s="455"/>
      <c r="CI481" s="455"/>
      <c r="CJ481" s="455"/>
      <c r="CK481" s="455"/>
      <c r="CL481" s="455"/>
      <c r="CM481" s="455"/>
      <c r="CN481" s="455"/>
      <c r="CO481" s="455"/>
      <c r="CP481" s="455"/>
      <c r="CQ481" s="455"/>
      <c r="CR481" s="455"/>
      <c r="CS481" s="455"/>
      <c r="CT481" s="455"/>
      <c r="CU481" s="455"/>
      <c r="CV481" s="455"/>
      <c r="CW481" s="455"/>
      <c r="CX481" s="455"/>
      <c r="CY481" s="455"/>
      <c r="CZ481" s="455"/>
      <c r="DA481" s="455"/>
      <c r="DB481" s="455"/>
      <c r="DC481" s="455"/>
      <c r="DD481" s="455"/>
      <c r="DE481" s="455"/>
      <c r="DF481" s="455"/>
      <c r="DG481" s="455"/>
      <c r="DH481" s="455"/>
      <c r="DI481" s="455"/>
      <c r="DJ481" s="455"/>
      <c r="DK481" s="455"/>
      <c r="DL481" s="455"/>
      <c r="DM481" s="455"/>
      <c r="DN481" s="455"/>
      <c r="DO481" s="455"/>
      <c r="DP481" s="455"/>
      <c r="DQ481" s="455"/>
      <c r="DR481" s="455"/>
      <c r="DS481" s="455"/>
      <c r="DT481" s="455"/>
      <c r="DU481" s="455"/>
      <c r="DV481" s="455"/>
      <c r="DW481" s="455"/>
      <c r="DX481" s="455"/>
      <c r="DY481" s="455"/>
      <c r="DZ481" s="455"/>
      <c r="EA481" s="455"/>
      <c r="EB481" s="455"/>
      <c r="EC481" s="455"/>
      <c r="ED481" s="455"/>
      <c r="EE481" s="455"/>
      <c r="EF481" s="455"/>
      <c r="EG481" s="455"/>
      <c r="EH481" s="455"/>
      <c r="EI481" s="455"/>
      <c r="EJ481" s="455"/>
      <c r="EK481" s="455"/>
      <c r="EL481" s="455"/>
      <c r="EM481" s="455"/>
      <c r="EN481" s="455"/>
      <c r="EO481" s="455"/>
      <c r="EP481" s="455"/>
      <c r="EQ481" s="455"/>
      <c r="ER481" s="455"/>
      <c r="ES481" s="455"/>
      <c r="ET481" s="455"/>
      <c r="EU481" s="455"/>
      <c r="EV481" s="455"/>
      <c r="EW481" s="455"/>
      <c r="EX481" s="455"/>
      <c r="EY481" s="455"/>
      <c r="EZ481" s="455"/>
      <c r="FA481" s="455"/>
      <c r="FB481" s="455"/>
      <c r="FC481" s="455"/>
      <c r="FD481" s="455"/>
      <c r="FE481" s="455"/>
      <c r="FF481" s="455"/>
      <c r="FG481" s="455"/>
      <c r="FH481" s="455"/>
      <c r="FI481" s="455"/>
      <c r="FJ481" s="455"/>
      <c r="FK481" s="455"/>
      <c r="FL481" s="455"/>
      <c r="FM481" s="455"/>
      <c r="FN481" s="455"/>
      <c r="FO481" s="455"/>
      <c r="FP481" s="455"/>
      <c r="FQ481" s="455"/>
      <c r="FR481" s="455"/>
      <c r="FS481" s="455"/>
      <c r="FT481" s="455"/>
      <c r="FU481" s="455"/>
      <c r="FV481" s="455"/>
      <c r="FW481" s="455"/>
      <c r="FX481" s="455"/>
      <c r="FY481" s="455"/>
      <c r="FZ481" s="455"/>
      <c r="GA481" s="455"/>
      <c r="GB481" s="455"/>
      <c r="GC481" s="455"/>
      <c r="GD481" s="455"/>
      <c r="GE481" s="455"/>
      <c r="GF481" s="455"/>
      <c r="GG481" s="455"/>
      <c r="GH481" s="455"/>
      <c r="GI481" s="455"/>
      <c r="GJ481" s="455"/>
      <c r="GK481" s="455"/>
      <c r="GL481" s="455"/>
      <c r="GM481" s="455"/>
      <c r="GN481" s="455"/>
      <c r="GO481" s="455"/>
      <c r="GP481" s="455"/>
      <c r="GQ481" s="455"/>
      <c r="GR481" s="455"/>
      <c r="GS481" s="455"/>
      <c r="GT481" s="455"/>
      <c r="GU481" s="455"/>
      <c r="GV481" s="455"/>
      <c r="GW481" s="455"/>
      <c r="GX481" s="455"/>
      <c r="GY481" s="455"/>
      <c r="GZ481" s="455"/>
      <c r="HA481" s="455"/>
      <c r="HB481" s="455"/>
      <c r="HC481" s="455"/>
      <c r="HD481" s="455"/>
      <c r="HE481" s="455"/>
      <c r="HF481" s="455"/>
      <c r="HG481" s="455"/>
      <c r="HH481" s="455"/>
      <c r="HI481" s="455"/>
      <c r="HJ481" s="455"/>
      <c r="HK481" s="455"/>
      <c r="HL481" s="455"/>
      <c r="HM481" s="455"/>
      <c r="HN481" s="455"/>
      <c r="HO481" s="455"/>
      <c r="HP481" s="455"/>
      <c r="HQ481" s="455"/>
      <c r="HR481" s="455"/>
      <c r="HS481" s="455"/>
      <c r="HT481" s="455"/>
      <c r="HU481" s="455"/>
      <c r="HV481" s="455"/>
      <c r="HW481" s="455"/>
      <c r="HX481" s="455"/>
      <c r="HY481" s="455"/>
      <c r="HZ481" s="455"/>
      <c r="IA481" s="455"/>
      <c r="IB481" s="455"/>
      <c r="IC481" s="455"/>
      <c r="ID481" s="455"/>
      <c r="IE481" s="455"/>
      <c r="IF481" s="455"/>
      <c r="IG481" s="455"/>
      <c r="IH481" s="455"/>
      <c r="II481" s="455"/>
      <c r="IJ481" s="455"/>
      <c r="IK481" s="455"/>
      <c r="IL481" s="455"/>
      <c r="IM481" s="455"/>
      <c r="IN481" s="455"/>
      <c r="IO481" s="455"/>
      <c r="IP481" s="455"/>
      <c r="IQ481" s="455"/>
      <c r="IR481" s="455"/>
      <c r="IS481" s="455"/>
    </row>
    <row r="482" spans="1:253" s="458" customFormat="1" ht="56.25" x14ac:dyDescent="0.2">
      <c r="A482" s="444">
        <v>8741</v>
      </c>
      <c r="B482" s="445" t="s">
        <v>84</v>
      </c>
      <c r="C482" s="445" t="s">
        <v>85</v>
      </c>
      <c r="D482" s="445"/>
      <c r="E482" s="445"/>
      <c r="F482" s="445"/>
      <c r="G482" s="446">
        <v>253</v>
      </c>
      <c r="H482" s="445" t="s">
        <v>702</v>
      </c>
      <c r="I482" s="445"/>
      <c r="J482" s="445"/>
      <c r="K482" s="447"/>
      <c r="L482" s="445" t="s">
        <v>133</v>
      </c>
      <c r="M482" s="445">
        <v>2</v>
      </c>
      <c r="N482" s="445" t="s">
        <v>67</v>
      </c>
      <c r="O482" s="449" t="s">
        <v>1531</v>
      </c>
      <c r="P482" s="450">
        <v>5.9459999999999997</v>
      </c>
      <c r="Q482" s="451">
        <f t="shared" si="13"/>
        <v>5.9459999999999997</v>
      </c>
      <c r="R482" s="451">
        <f>SUMIF('Wege im Detail'!$A:$A,"8741",'Wege im Detail'!$P:$P)</f>
        <v>5.9459999999999997</v>
      </c>
      <c r="S482" s="452" t="s">
        <v>703</v>
      </c>
      <c r="T482" s="453">
        <v>43891</v>
      </c>
      <c r="U482" s="448"/>
      <c r="V482" s="476"/>
      <c r="W482" s="448"/>
    </row>
    <row r="483" spans="1:253" s="458" customFormat="1" ht="45" x14ac:dyDescent="0.2">
      <c r="A483" s="444">
        <v>8742</v>
      </c>
      <c r="B483" s="445" t="s">
        <v>84</v>
      </c>
      <c r="C483" s="445" t="s">
        <v>85</v>
      </c>
      <c r="D483" s="445"/>
      <c r="E483" s="445"/>
      <c r="F483" s="445"/>
      <c r="G483" s="446">
        <v>254</v>
      </c>
      <c r="H483" s="445" t="s">
        <v>705</v>
      </c>
      <c r="I483" s="445"/>
      <c r="J483" s="445"/>
      <c r="K483" s="447"/>
      <c r="L483" s="445" t="s">
        <v>138</v>
      </c>
      <c r="M483" s="445">
        <v>2</v>
      </c>
      <c r="N483" s="445" t="s">
        <v>67</v>
      </c>
      <c r="O483" s="449" t="s">
        <v>1532</v>
      </c>
      <c r="P483" s="450">
        <v>2.516</v>
      </c>
      <c r="Q483" s="451">
        <f t="shared" si="13"/>
        <v>2.516</v>
      </c>
      <c r="R483" s="451">
        <f>SUMIF('Wege im Detail'!$A:$A,"8742",'Wege im Detail'!$P:$P)</f>
        <v>2.516</v>
      </c>
      <c r="S483" s="452" t="s">
        <v>706</v>
      </c>
      <c r="T483" s="453">
        <v>43891</v>
      </c>
      <c r="U483" s="448"/>
      <c r="V483" s="476"/>
      <c r="W483" s="448"/>
    </row>
    <row r="484" spans="1:253" s="458" customFormat="1" ht="56.25" x14ac:dyDescent="0.2">
      <c r="A484" s="444">
        <v>8743</v>
      </c>
      <c r="B484" s="445" t="s">
        <v>84</v>
      </c>
      <c r="C484" s="445" t="s">
        <v>85</v>
      </c>
      <c r="D484" s="445"/>
      <c r="E484" s="445"/>
      <c r="F484" s="445"/>
      <c r="G484" s="446">
        <v>256</v>
      </c>
      <c r="H484" s="445" t="s">
        <v>708</v>
      </c>
      <c r="I484" s="445"/>
      <c r="J484" s="445"/>
      <c r="K484" s="447"/>
      <c r="L484" s="445" t="s">
        <v>172</v>
      </c>
      <c r="M484" s="445">
        <v>2</v>
      </c>
      <c r="N484" s="445" t="s">
        <v>67</v>
      </c>
      <c r="O484" s="449" t="s">
        <v>1533</v>
      </c>
      <c r="P484" s="450">
        <v>5.2649999999999997</v>
      </c>
      <c r="Q484" s="451">
        <f t="shared" si="13"/>
        <v>5.2649999999999997</v>
      </c>
      <c r="R484" s="451">
        <f>SUMIF('Wege im Detail'!$A:$A,"8743",'Wege im Detail'!$P:$P)</f>
        <v>5.2649999999999997</v>
      </c>
      <c r="S484" s="452" t="s">
        <v>709</v>
      </c>
      <c r="T484" s="453">
        <v>43891</v>
      </c>
      <c r="U484" s="448"/>
      <c r="V484" s="476"/>
      <c r="W484" s="448"/>
    </row>
    <row r="485" spans="1:253" s="458" customFormat="1" ht="45" x14ac:dyDescent="0.2">
      <c r="A485" s="444">
        <v>8745</v>
      </c>
      <c r="B485" s="445" t="s">
        <v>84</v>
      </c>
      <c r="C485" s="445" t="s">
        <v>85</v>
      </c>
      <c r="D485" s="445"/>
      <c r="E485" s="445"/>
      <c r="F485" s="445"/>
      <c r="G485" s="446">
        <v>207</v>
      </c>
      <c r="H485" s="445" t="s">
        <v>710</v>
      </c>
      <c r="I485" s="445"/>
      <c r="J485" s="445"/>
      <c r="K485" s="447"/>
      <c r="L485" s="445" t="s">
        <v>711</v>
      </c>
      <c r="M485" s="445">
        <v>1</v>
      </c>
      <c r="N485" s="445" t="s">
        <v>79</v>
      </c>
      <c r="O485" s="464" t="s">
        <v>1534</v>
      </c>
      <c r="P485" s="450">
        <v>6.0579999999999998</v>
      </c>
      <c r="Q485" s="451">
        <f t="shared" si="13"/>
        <v>6.0579999999999998</v>
      </c>
      <c r="R485" s="451">
        <f>SUMIF('Wege im Detail'!$A:$A,"8745",'Wege im Detail'!$P:$P)</f>
        <v>6.0579999999999998</v>
      </c>
      <c r="S485" s="452" t="s">
        <v>712</v>
      </c>
      <c r="T485" s="453">
        <v>43922</v>
      </c>
      <c r="U485" s="448"/>
      <c r="W485" s="448"/>
    </row>
    <row r="486" spans="1:253" s="458" customFormat="1" ht="45" x14ac:dyDescent="0.2">
      <c r="A486" s="444">
        <v>8746</v>
      </c>
      <c r="B486" s="445" t="s">
        <v>84</v>
      </c>
      <c r="C486" s="445" t="s">
        <v>85</v>
      </c>
      <c r="D486" s="445"/>
      <c r="E486" s="445"/>
      <c r="F486" s="479"/>
      <c r="G486" s="446">
        <v>222</v>
      </c>
      <c r="H486" s="445" t="s">
        <v>1535</v>
      </c>
      <c r="I486" s="445"/>
      <c r="J486" s="445"/>
      <c r="K486" s="447"/>
      <c r="L486" s="448" t="s">
        <v>147</v>
      </c>
      <c r="M486" s="445">
        <v>1</v>
      </c>
      <c r="N486" s="445" t="s">
        <v>79</v>
      </c>
      <c r="O486" s="449" t="s">
        <v>1536</v>
      </c>
      <c r="P486" s="450">
        <v>0.80300000000000005</v>
      </c>
      <c r="Q486" s="451">
        <f t="shared" si="13"/>
        <v>0.80300000000000005</v>
      </c>
      <c r="R486" s="451">
        <f>SUMIF('Wege im Detail'!$A:$A,"8746",'Wege im Detail'!$P:$P)</f>
        <v>0.80300000000000005</v>
      </c>
      <c r="S486" s="452" t="s">
        <v>715</v>
      </c>
      <c r="T486" s="453">
        <v>44593</v>
      </c>
      <c r="U486" s="448"/>
      <c r="V486" s="458" t="s">
        <v>1537</v>
      </c>
      <c r="W486" s="448"/>
    </row>
    <row r="487" spans="1:253" s="458" customFormat="1" ht="56.25" x14ac:dyDescent="0.2">
      <c r="A487" s="444">
        <v>8748</v>
      </c>
      <c r="B487" s="445" t="s">
        <v>84</v>
      </c>
      <c r="C487" s="445" t="s">
        <v>85</v>
      </c>
      <c r="D487" s="445"/>
      <c r="E487" s="445"/>
      <c r="F487" s="455"/>
      <c r="G487" s="446">
        <v>201</v>
      </c>
      <c r="H487" s="445" t="s">
        <v>716</v>
      </c>
      <c r="I487" s="445"/>
      <c r="J487" s="445"/>
      <c r="K487" s="447"/>
      <c r="L487" s="445" t="s">
        <v>142</v>
      </c>
      <c r="M487" s="445">
        <v>1</v>
      </c>
      <c r="N487" s="445" t="s">
        <v>79</v>
      </c>
      <c r="O487" s="449" t="s">
        <v>1538</v>
      </c>
      <c r="P487" s="450">
        <v>5.48</v>
      </c>
      <c r="Q487" s="451">
        <f t="shared" si="13"/>
        <v>5.48</v>
      </c>
      <c r="R487" s="451">
        <f>SUMIF('Wege im Detail'!$A:$A,"8748",'Wege im Detail'!$P:$P)</f>
        <v>5.48</v>
      </c>
      <c r="S487" s="452" t="s">
        <v>717</v>
      </c>
      <c r="T487" s="453">
        <v>43922</v>
      </c>
      <c r="U487" s="448"/>
      <c r="V487" s="492"/>
      <c r="W487" s="448"/>
    </row>
    <row r="488" spans="1:253" s="458" customFormat="1" ht="56.25" x14ac:dyDescent="0.2">
      <c r="A488" s="444">
        <v>8753</v>
      </c>
      <c r="B488" s="445" t="s">
        <v>84</v>
      </c>
      <c r="C488" s="445" t="s">
        <v>85</v>
      </c>
      <c r="D488" s="445"/>
      <c r="E488" s="445"/>
      <c r="F488" s="479"/>
      <c r="G488" s="446">
        <v>261</v>
      </c>
      <c r="H488" s="445" t="s">
        <v>718</v>
      </c>
      <c r="I488" s="445"/>
      <c r="J488" s="445"/>
      <c r="K488" s="447"/>
      <c r="L488" s="448" t="s">
        <v>142</v>
      </c>
      <c r="M488" s="445">
        <v>1</v>
      </c>
      <c r="N488" s="445" t="s">
        <v>436</v>
      </c>
      <c r="O488" s="449" t="s">
        <v>1539</v>
      </c>
      <c r="P488" s="450">
        <v>6.202</v>
      </c>
      <c r="Q488" s="451">
        <f t="shared" si="13"/>
        <v>6.202</v>
      </c>
      <c r="R488" s="451">
        <f>SUMIF('Wege im Detail'!$A:$A,"8753",'Wege im Detail'!$P:$P)</f>
        <v>6.202</v>
      </c>
      <c r="S488" s="452" t="s">
        <v>719</v>
      </c>
      <c r="T488" s="453">
        <v>43922</v>
      </c>
      <c r="U488" s="448"/>
      <c r="W488" s="448"/>
      <c r="X488" s="455"/>
      <c r="Y488" s="455"/>
      <c r="Z488" s="455"/>
      <c r="AA488" s="455"/>
      <c r="AB488" s="455"/>
      <c r="AC488" s="455"/>
      <c r="AD488" s="455"/>
      <c r="AE488" s="455"/>
      <c r="AF488" s="455"/>
      <c r="AG488" s="455"/>
      <c r="AH488" s="455"/>
      <c r="AI488" s="455"/>
      <c r="AJ488" s="455"/>
      <c r="AK488" s="455"/>
      <c r="AL488" s="455"/>
      <c r="AM488" s="455"/>
      <c r="AN488" s="455"/>
      <c r="AO488" s="455"/>
      <c r="AP488" s="455"/>
      <c r="AQ488" s="455"/>
      <c r="AR488" s="455"/>
      <c r="AS488" s="455"/>
      <c r="AT488" s="455"/>
      <c r="AU488" s="455"/>
      <c r="AV488" s="455"/>
      <c r="AW488" s="455"/>
      <c r="AX488" s="455"/>
      <c r="AY488" s="455"/>
      <c r="AZ488" s="455"/>
      <c r="BA488" s="455"/>
      <c r="BB488" s="455"/>
      <c r="BC488" s="455"/>
      <c r="BD488" s="455"/>
      <c r="BE488" s="455"/>
      <c r="BF488" s="455"/>
      <c r="BG488" s="455"/>
      <c r="BH488" s="455"/>
      <c r="BI488" s="455"/>
      <c r="BJ488" s="455"/>
      <c r="BK488" s="455"/>
      <c r="BL488" s="455"/>
      <c r="BM488" s="455"/>
      <c r="BN488" s="455"/>
      <c r="BO488" s="455"/>
      <c r="BP488" s="455"/>
      <c r="BQ488" s="455"/>
      <c r="BR488" s="455"/>
      <c r="BS488" s="455"/>
      <c r="BT488" s="455"/>
      <c r="BU488" s="455"/>
      <c r="BV488" s="455"/>
      <c r="BW488" s="455"/>
      <c r="BX488" s="455"/>
      <c r="BY488" s="455"/>
      <c r="BZ488" s="455"/>
      <c r="CA488" s="455"/>
      <c r="CB488" s="455"/>
      <c r="CC488" s="455"/>
      <c r="CD488" s="455"/>
      <c r="CE488" s="455"/>
      <c r="CF488" s="455"/>
      <c r="CG488" s="455"/>
      <c r="CH488" s="455"/>
      <c r="CI488" s="455"/>
      <c r="CJ488" s="455"/>
      <c r="CK488" s="455"/>
      <c r="CL488" s="455"/>
      <c r="CM488" s="455"/>
      <c r="CN488" s="455"/>
      <c r="CO488" s="455"/>
      <c r="CP488" s="455"/>
      <c r="CQ488" s="455"/>
      <c r="CR488" s="455"/>
      <c r="CS488" s="455"/>
      <c r="CT488" s="455"/>
      <c r="CU488" s="455"/>
      <c r="CV488" s="455"/>
      <c r="CW488" s="455"/>
      <c r="CX488" s="455"/>
      <c r="CY488" s="455"/>
      <c r="CZ488" s="455"/>
      <c r="DA488" s="455"/>
      <c r="DB488" s="455"/>
      <c r="DC488" s="455"/>
      <c r="DD488" s="455"/>
      <c r="DE488" s="455"/>
      <c r="DF488" s="455"/>
      <c r="DG488" s="455"/>
      <c r="DH488" s="455"/>
      <c r="DI488" s="455"/>
      <c r="DJ488" s="455"/>
      <c r="DK488" s="455"/>
      <c r="DL488" s="455"/>
      <c r="DM488" s="455"/>
      <c r="DN488" s="455"/>
      <c r="DO488" s="455"/>
      <c r="DP488" s="455"/>
      <c r="DQ488" s="455"/>
      <c r="DR488" s="455"/>
      <c r="DS488" s="455"/>
      <c r="DT488" s="455"/>
      <c r="DU488" s="455"/>
      <c r="DV488" s="455"/>
      <c r="DW488" s="455"/>
      <c r="DX488" s="455"/>
      <c r="DY488" s="455"/>
      <c r="DZ488" s="455"/>
      <c r="EA488" s="455"/>
      <c r="EB488" s="455"/>
      <c r="EC488" s="455"/>
      <c r="ED488" s="455"/>
      <c r="EE488" s="455"/>
      <c r="EF488" s="455"/>
      <c r="EG488" s="455"/>
      <c r="EH488" s="455"/>
      <c r="EI488" s="455"/>
      <c r="EJ488" s="455"/>
      <c r="EK488" s="455"/>
      <c r="EL488" s="455"/>
      <c r="EM488" s="455"/>
      <c r="EN488" s="455"/>
      <c r="EO488" s="455"/>
      <c r="EP488" s="455"/>
      <c r="EQ488" s="455"/>
      <c r="ER488" s="455"/>
      <c r="ES488" s="455"/>
      <c r="ET488" s="455"/>
      <c r="EU488" s="455"/>
      <c r="EV488" s="455"/>
      <c r="EW488" s="455"/>
      <c r="EX488" s="455"/>
      <c r="EY488" s="455"/>
      <c r="EZ488" s="455"/>
      <c r="FA488" s="455"/>
      <c r="FB488" s="455"/>
      <c r="FC488" s="455"/>
      <c r="FD488" s="455"/>
      <c r="FE488" s="455"/>
      <c r="FF488" s="455"/>
      <c r="FG488" s="455"/>
      <c r="FH488" s="455"/>
      <c r="FI488" s="455"/>
      <c r="FJ488" s="455"/>
      <c r="FK488" s="455"/>
      <c r="FL488" s="455"/>
      <c r="FM488" s="455"/>
      <c r="FN488" s="455"/>
      <c r="FO488" s="455"/>
      <c r="FP488" s="455"/>
      <c r="FQ488" s="455"/>
      <c r="FR488" s="455"/>
      <c r="FS488" s="455"/>
      <c r="FT488" s="455"/>
      <c r="FU488" s="455"/>
      <c r="FV488" s="455"/>
      <c r="FW488" s="455"/>
      <c r="FX488" s="455"/>
      <c r="FY488" s="455"/>
      <c r="FZ488" s="455"/>
      <c r="GA488" s="455"/>
      <c r="GB488" s="455"/>
      <c r="GC488" s="455"/>
      <c r="GD488" s="455"/>
      <c r="GE488" s="455"/>
      <c r="GF488" s="455"/>
      <c r="GG488" s="455"/>
      <c r="GH488" s="455"/>
      <c r="GI488" s="455"/>
      <c r="GJ488" s="455"/>
      <c r="GK488" s="455"/>
      <c r="GL488" s="455"/>
      <c r="GM488" s="455"/>
      <c r="GN488" s="455"/>
      <c r="GO488" s="455"/>
      <c r="GP488" s="455"/>
      <c r="GQ488" s="455"/>
      <c r="GR488" s="455"/>
      <c r="GS488" s="455"/>
      <c r="GT488" s="455"/>
      <c r="GU488" s="455"/>
      <c r="GV488" s="455"/>
      <c r="GW488" s="455"/>
      <c r="GX488" s="455"/>
      <c r="GY488" s="455"/>
      <c r="GZ488" s="455"/>
      <c r="HA488" s="455"/>
      <c r="HB488" s="455"/>
      <c r="HC488" s="455"/>
      <c r="HD488" s="455"/>
      <c r="HE488" s="455"/>
      <c r="HF488" s="455"/>
      <c r="HG488" s="455"/>
      <c r="HH488" s="455"/>
      <c r="HI488" s="455"/>
      <c r="HJ488" s="455"/>
      <c r="HK488" s="455"/>
      <c r="HL488" s="455"/>
      <c r="HM488" s="455"/>
      <c r="HN488" s="455"/>
      <c r="HO488" s="455"/>
      <c r="HP488" s="455"/>
      <c r="HQ488" s="455"/>
      <c r="HR488" s="455"/>
      <c r="HS488" s="455"/>
      <c r="HT488" s="455"/>
      <c r="HU488" s="455"/>
      <c r="HV488" s="455"/>
      <c r="HW488" s="455"/>
      <c r="HX488" s="455"/>
      <c r="HY488" s="455"/>
      <c r="HZ488" s="455"/>
      <c r="IA488" s="455"/>
      <c r="IB488" s="455"/>
      <c r="IC488" s="455"/>
      <c r="ID488" s="455"/>
      <c r="IE488" s="455"/>
      <c r="IF488" s="455"/>
      <c r="IG488" s="455"/>
      <c r="IH488" s="455"/>
      <c r="II488" s="455"/>
      <c r="IJ488" s="455"/>
      <c r="IK488" s="455"/>
      <c r="IL488" s="455"/>
      <c r="IM488" s="455"/>
      <c r="IN488" s="455"/>
      <c r="IO488" s="455"/>
      <c r="IP488" s="455"/>
      <c r="IQ488" s="455"/>
      <c r="IR488" s="455"/>
      <c r="IS488" s="455"/>
    </row>
    <row r="489" spans="1:253" s="458" customFormat="1" ht="45" x14ac:dyDescent="0.2">
      <c r="A489" s="444">
        <v>8754</v>
      </c>
      <c r="B489" s="445" t="s">
        <v>84</v>
      </c>
      <c r="C489" s="445" t="s">
        <v>85</v>
      </c>
      <c r="D489" s="445"/>
      <c r="E489" s="445"/>
      <c r="F489" s="479"/>
      <c r="G489" s="446">
        <v>262</v>
      </c>
      <c r="H489" s="445" t="s">
        <v>720</v>
      </c>
      <c r="I489" s="445"/>
      <c r="J489" s="445"/>
      <c r="K489" s="447"/>
      <c r="L489" s="448" t="s">
        <v>147</v>
      </c>
      <c r="M489" s="445">
        <v>1</v>
      </c>
      <c r="N489" s="445" t="s">
        <v>436</v>
      </c>
      <c r="O489" s="449" t="s">
        <v>1540</v>
      </c>
      <c r="P489" s="450">
        <v>4.327</v>
      </c>
      <c r="Q489" s="451">
        <f t="shared" si="13"/>
        <v>4.327</v>
      </c>
      <c r="R489" s="451">
        <f>SUMIF('Wege im Detail'!$A:$A,"8754",'Wege im Detail'!$P:$P)</f>
        <v>4.327</v>
      </c>
      <c r="S489" s="452" t="s">
        <v>721</v>
      </c>
      <c r="T489" s="453">
        <v>43922</v>
      </c>
      <c r="U489" s="448"/>
      <c r="V489" s="493"/>
      <c r="W489" s="448"/>
    </row>
    <row r="490" spans="1:253" s="458" customFormat="1" ht="45" x14ac:dyDescent="0.2">
      <c r="A490" s="444">
        <v>8775</v>
      </c>
      <c r="B490" s="445" t="s">
        <v>84</v>
      </c>
      <c r="C490" s="445" t="s">
        <v>85</v>
      </c>
      <c r="D490" s="445"/>
      <c r="E490" s="445"/>
      <c r="F490" s="479"/>
      <c r="G490" s="446">
        <v>264</v>
      </c>
      <c r="H490" s="445" t="s">
        <v>723</v>
      </c>
      <c r="I490" s="445"/>
      <c r="J490" s="445"/>
      <c r="K490" s="447"/>
      <c r="L490" s="448" t="s">
        <v>138</v>
      </c>
      <c r="M490" s="445">
        <v>1</v>
      </c>
      <c r="N490" s="445" t="s">
        <v>436</v>
      </c>
      <c r="O490" s="449" t="s">
        <v>1541</v>
      </c>
      <c r="P490" s="450">
        <v>6.9459999999999997</v>
      </c>
      <c r="Q490" s="451">
        <f t="shared" si="13"/>
        <v>6.9459999999999997</v>
      </c>
      <c r="R490" s="451">
        <f>SUMIF('Wege im Detail'!$A:$A,"8775",'Wege im Detail'!$P:$P)</f>
        <v>6.9459999999999997</v>
      </c>
      <c r="S490" s="452" t="s">
        <v>724</v>
      </c>
      <c r="T490" s="453">
        <v>43922</v>
      </c>
      <c r="U490" s="448"/>
      <c r="V490" s="483"/>
      <c r="W490" s="448"/>
      <c r="X490" s="455"/>
      <c r="Y490" s="455"/>
      <c r="Z490" s="455"/>
      <c r="AA490" s="455"/>
      <c r="AB490" s="455"/>
      <c r="AC490" s="455"/>
      <c r="AD490" s="455"/>
      <c r="AE490" s="455"/>
      <c r="AF490" s="455"/>
      <c r="AG490" s="455"/>
      <c r="AH490" s="455"/>
      <c r="AI490" s="455"/>
      <c r="AJ490" s="455"/>
      <c r="AK490" s="455"/>
      <c r="AL490" s="455"/>
      <c r="AM490" s="455"/>
      <c r="AN490" s="455"/>
      <c r="AO490" s="455"/>
      <c r="AP490" s="455"/>
      <c r="AQ490" s="455"/>
      <c r="AR490" s="455"/>
      <c r="AS490" s="455"/>
      <c r="AT490" s="455"/>
      <c r="AU490" s="455"/>
      <c r="AV490" s="455"/>
      <c r="AW490" s="455"/>
      <c r="AX490" s="455"/>
      <c r="AY490" s="455"/>
      <c r="AZ490" s="455"/>
      <c r="BA490" s="455"/>
      <c r="BB490" s="455"/>
      <c r="BC490" s="455"/>
      <c r="BD490" s="455"/>
      <c r="BE490" s="455"/>
      <c r="BF490" s="455"/>
      <c r="BG490" s="455"/>
      <c r="BH490" s="455"/>
      <c r="BI490" s="455"/>
      <c r="BJ490" s="455"/>
      <c r="BK490" s="455"/>
      <c r="BL490" s="455"/>
      <c r="BM490" s="455"/>
      <c r="BN490" s="455"/>
      <c r="BO490" s="455"/>
      <c r="BP490" s="455"/>
      <c r="BQ490" s="455"/>
      <c r="BR490" s="455"/>
      <c r="BS490" s="455"/>
      <c r="BT490" s="455"/>
      <c r="BU490" s="455"/>
      <c r="BV490" s="455"/>
      <c r="BW490" s="455"/>
      <c r="BX490" s="455"/>
      <c r="BY490" s="455"/>
      <c r="BZ490" s="455"/>
      <c r="CA490" s="455"/>
      <c r="CB490" s="455"/>
      <c r="CC490" s="455"/>
      <c r="CD490" s="455"/>
      <c r="CE490" s="455"/>
      <c r="CF490" s="455"/>
      <c r="CG490" s="455"/>
      <c r="CH490" s="455"/>
      <c r="CI490" s="455"/>
      <c r="CJ490" s="455"/>
      <c r="CK490" s="455"/>
      <c r="CL490" s="455"/>
      <c r="CM490" s="455"/>
      <c r="CN490" s="455"/>
      <c r="CO490" s="455"/>
      <c r="CP490" s="455"/>
      <c r="CQ490" s="455"/>
      <c r="CR490" s="455"/>
      <c r="CS490" s="455"/>
      <c r="CT490" s="455"/>
      <c r="CU490" s="455"/>
      <c r="CV490" s="455"/>
      <c r="CW490" s="455"/>
      <c r="CX490" s="455"/>
      <c r="CY490" s="455"/>
      <c r="CZ490" s="455"/>
      <c r="DA490" s="455"/>
      <c r="DB490" s="455"/>
      <c r="DC490" s="455"/>
      <c r="DD490" s="455"/>
      <c r="DE490" s="455"/>
      <c r="DF490" s="455"/>
      <c r="DG490" s="455"/>
      <c r="DH490" s="455"/>
      <c r="DI490" s="455"/>
      <c r="DJ490" s="455"/>
      <c r="DK490" s="455"/>
      <c r="DL490" s="455"/>
      <c r="DM490" s="455"/>
      <c r="DN490" s="455"/>
      <c r="DO490" s="455"/>
      <c r="DP490" s="455"/>
      <c r="DQ490" s="455"/>
      <c r="DR490" s="455"/>
      <c r="DS490" s="455"/>
      <c r="DT490" s="455"/>
      <c r="DU490" s="455"/>
      <c r="DV490" s="455"/>
      <c r="DW490" s="455"/>
      <c r="DX490" s="455"/>
      <c r="DY490" s="455"/>
      <c r="DZ490" s="455"/>
      <c r="EA490" s="455"/>
      <c r="EB490" s="455"/>
      <c r="EC490" s="455"/>
      <c r="ED490" s="455"/>
      <c r="EE490" s="455"/>
      <c r="EF490" s="455"/>
      <c r="EG490" s="455"/>
      <c r="EH490" s="455"/>
      <c r="EI490" s="455"/>
      <c r="EJ490" s="455"/>
      <c r="EK490" s="455"/>
      <c r="EL490" s="455"/>
      <c r="EM490" s="455"/>
      <c r="EN490" s="455"/>
      <c r="EO490" s="455"/>
      <c r="EP490" s="455"/>
      <c r="EQ490" s="455"/>
      <c r="ER490" s="455"/>
      <c r="ES490" s="455"/>
      <c r="ET490" s="455"/>
      <c r="EU490" s="455"/>
      <c r="EV490" s="455"/>
      <c r="EW490" s="455"/>
      <c r="EX490" s="455"/>
      <c r="EY490" s="455"/>
      <c r="EZ490" s="455"/>
      <c r="FA490" s="455"/>
      <c r="FB490" s="455"/>
      <c r="FC490" s="455"/>
      <c r="FD490" s="455"/>
      <c r="FE490" s="455"/>
      <c r="FF490" s="455"/>
      <c r="FG490" s="455"/>
      <c r="FH490" s="455"/>
      <c r="FI490" s="455"/>
      <c r="FJ490" s="455"/>
      <c r="FK490" s="455"/>
      <c r="FL490" s="455"/>
      <c r="FM490" s="455"/>
      <c r="FN490" s="455"/>
      <c r="FO490" s="455"/>
      <c r="FP490" s="455"/>
      <c r="FQ490" s="455"/>
      <c r="FR490" s="455"/>
      <c r="FS490" s="455"/>
      <c r="FT490" s="455"/>
      <c r="FU490" s="455"/>
      <c r="FV490" s="455"/>
      <c r="FW490" s="455"/>
      <c r="FX490" s="455"/>
      <c r="FY490" s="455"/>
      <c r="FZ490" s="455"/>
      <c r="GA490" s="455"/>
      <c r="GB490" s="455"/>
      <c r="GC490" s="455"/>
      <c r="GD490" s="455"/>
      <c r="GE490" s="455"/>
      <c r="GF490" s="455"/>
      <c r="GG490" s="455"/>
      <c r="GH490" s="455"/>
      <c r="GI490" s="455"/>
      <c r="GJ490" s="455"/>
      <c r="GK490" s="455"/>
      <c r="GL490" s="455"/>
      <c r="GM490" s="455"/>
      <c r="GN490" s="455"/>
      <c r="GO490" s="455"/>
      <c r="GP490" s="455"/>
      <c r="GQ490" s="455"/>
      <c r="GR490" s="455"/>
      <c r="GS490" s="455"/>
      <c r="GT490" s="455"/>
      <c r="GU490" s="455"/>
      <c r="GV490" s="455"/>
      <c r="GW490" s="455"/>
      <c r="GX490" s="455"/>
      <c r="GY490" s="455"/>
      <c r="GZ490" s="455"/>
      <c r="HA490" s="455"/>
      <c r="HB490" s="455"/>
      <c r="HC490" s="455"/>
      <c r="HD490" s="455"/>
      <c r="HE490" s="455"/>
      <c r="HF490" s="455"/>
      <c r="HG490" s="455"/>
      <c r="HH490" s="455"/>
      <c r="HI490" s="455"/>
      <c r="HJ490" s="455"/>
      <c r="HK490" s="455"/>
      <c r="HL490" s="455"/>
      <c r="HM490" s="455"/>
      <c r="HN490" s="455"/>
      <c r="HO490" s="455"/>
      <c r="HP490" s="455"/>
      <c r="HQ490" s="455"/>
      <c r="HR490" s="455"/>
      <c r="HS490" s="455"/>
      <c r="HT490" s="455"/>
      <c r="HU490" s="455"/>
      <c r="HV490" s="455"/>
      <c r="HW490" s="455"/>
      <c r="HX490" s="455"/>
      <c r="HY490" s="455"/>
      <c r="HZ490" s="455"/>
      <c r="IA490" s="455"/>
      <c r="IB490" s="455"/>
      <c r="IC490" s="455"/>
      <c r="ID490" s="455"/>
      <c r="IE490" s="455"/>
      <c r="IF490" s="455"/>
      <c r="IG490" s="455"/>
      <c r="IH490" s="455"/>
      <c r="II490" s="455"/>
      <c r="IJ490" s="455"/>
      <c r="IK490" s="455"/>
      <c r="IL490" s="455"/>
      <c r="IM490" s="455"/>
      <c r="IN490" s="455"/>
      <c r="IO490" s="455"/>
      <c r="IP490" s="455"/>
      <c r="IQ490" s="455"/>
      <c r="IR490" s="455"/>
      <c r="IS490" s="455"/>
    </row>
    <row r="491" spans="1:253" s="458" customFormat="1" ht="45" x14ac:dyDescent="0.2">
      <c r="A491" s="444">
        <v>8777</v>
      </c>
      <c r="B491" s="445" t="s">
        <v>84</v>
      </c>
      <c r="C491" s="445" t="s">
        <v>85</v>
      </c>
      <c r="D491" s="445"/>
      <c r="E491" s="445"/>
      <c r="F491" s="479"/>
      <c r="G491" s="446">
        <v>266</v>
      </c>
      <c r="H491" s="445" t="s">
        <v>726</v>
      </c>
      <c r="I491" s="445"/>
      <c r="J491" s="445"/>
      <c r="K491" s="447"/>
      <c r="L491" s="448"/>
      <c r="M491" s="445">
        <v>1</v>
      </c>
      <c r="N491" s="445" t="s">
        <v>425</v>
      </c>
      <c r="O491" s="464" t="s">
        <v>1542</v>
      </c>
      <c r="P491" s="450">
        <v>4.7569999999999997</v>
      </c>
      <c r="Q491" s="451">
        <f t="shared" si="13"/>
        <v>4.7569999999999997</v>
      </c>
      <c r="R491" s="451">
        <f>SUMIF('Wege im Detail'!$A:$A,"8777",'Wege im Detail'!$P:$P)</f>
        <v>4.7569999999999997</v>
      </c>
      <c r="S491" s="452" t="s">
        <v>727</v>
      </c>
      <c r="T491" s="453">
        <v>43922</v>
      </c>
      <c r="U491" s="448"/>
      <c r="V491" s="483"/>
      <c r="W491" s="448"/>
    </row>
    <row r="492" spans="1:253" s="458" customFormat="1" ht="45" x14ac:dyDescent="0.2">
      <c r="A492" s="444">
        <v>8778</v>
      </c>
      <c r="B492" s="445" t="s">
        <v>84</v>
      </c>
      <c r="C492" s="445" t="s">
        <v>85</v>
      </c>
      <c r="D492" s="445"/>
      <c r="E492" s="445"/>
      <c r="F492" s="479"/>
      <c r="G492" s="446">
        <v>261</v>
      </c>
      <c r="H492" s="445" t="s">
        <v>729</v>
      </c>
      <c r="I492" s="445"/>
      <c r="J492" s="445"/>
      <c r="K492" s="447"/>
      <c r="L492" s="448"/>
      <c r="M492" s="445">
        <v>1</v>
      </c>
      <c r="N492" s="445" t="s">
        <v>425</v>
      </c>
      <c r="O492" s="464" t="s">
        <v>1543</v>
      </c>
      <c r="P492" s="450">
        <v>6.7489999999999997</v>
      </c>
      <c r="Q492" s="451">
        <f t="shared" si="13"/>
        <v>6.7489999999999997</v>
      </c>
      <c r="R492" s="451">
        <f>SUMIF('Wege im Detail'!$A:$A,"8778",'Wege im Detail'!$P:$P)</f>
        <v>6.7489999999999997</v>
      </c>
      <c r="S492" s="452" t="s">
        <v>730</v>
      </c>
      <c r="T492" s="453">
        <v>43922</v>
      </c>
      <c r="U492" s="448"/>
      <c r="W492" s="448"/>
      <c r="X492" s="455"/>
      <c r="Y492" s="455"/>
      <c r="Z492" s="455"/>
      <c r="AA492" s="455"/>
      <c r="AB492" s="455"/>
      <c r="AC492" s="455"/>
      <c r="AD492" s="455"/>
      <c r="AE492" s="455"/>
      <c r="AF492" s="455"/>
      <c r="AG492" s="455"/>
      <c r="AH492" s="455"/>
      <c r="AI492" s="455"/>
      <c r="AJ492" s="455"/>
      <c r="AK492" s="455"/>
      <c r="AL492" s="455"/>
      <c r="AM492" s="455"/>
      <c r="AN492" s="455"/>
      <c r="AO492" s="455"/>
      <c r="AP492" s="455"/>
      <c r="AQ492" s="455"/>
      <c r="AR492" s="455"/>
      <c r="AS492" s="455"/>
      <c r="AT492" s="455"/>
      <c r="AU492" s="455"/>
      <c r="AV492" s="455"/>
      <c r="AW492" s="455"/>
      <c r="AX492" s="455"/>
      <c r="AY492" s="455"/>
      <c r="AZ492" s="455"/>
      <c r="BA492" s="455"/>
      <c r="BB492" s="455"/>
      <c r="BC492" s="455"/>
      <c r="BD492" s="455"/>
      <c r="BE492" s="455"/>
      <c r="BF492" s="455"/>
      <c r="BG492" s="455"/>
      <c r="BH492" s="455"/>
      <c r="BI492" s="455"/>
      <c r="BJ492" s="455"/>
      <c r="BK492" s="455"/>
      <c r="BL492" s="455"/>
      <c r="BM492" s="455"/>
      <c r="BN492" s="455"/>
      <c r="BO492" s="455"/>
      <c r="BP492" s="455"/>
      <c r="BQ492" s="455"/>
      <c r="BR492" s="455"/>
      <c r="BS492" s="455"/>
      <c r="BT492" s="455"/>
      <c r="BU492" s="455"/>
      <c r="BV492" s="455"/>
      <c r="BW492" s="455"/>
      <c r="BX492" s="455"/>
      <c r="BY492" s="455"/>
      <c r="BZ492" s="455"/>
      <c r="CA492" s="455"/>
      <c r="CB492" s="455"/>
      <c r="CC492" s="455"/>
      <c r="CD492" s="455"/>
      <c r="CE492" s="455"/>
      <c r="CF492" s="455"/>
      <c r="CG492" s="455"/>
      <c r="CH492" s="455"/>
      <c r="CI492" s="455"/>
      <c r="CJ492" s="455"/>
      <c r="CK492" s="455"/>
      <c r="CL492" s="455"/>
      <c r="CM492" s="455"/>
      <c r="CN492" s="455"/>
      <c r="CO492" s="455"/>
      <c r="CP492" s="455"/>
      <c r="CQ492" s="455"/>
      <c r="CR492" s="455"/>
      <c r="CS492" s="455"/>
      <c r="CT492" s="455"/>
      <c r="CU492" s="455"/>
      <c r="CV492" s="455"/>
      <c r="CW492" s="455"/>
      <c r="CX492" s="455"/>
      <c r="CY492" s="455"/>
      <c r="CZ492" s="455"/>
      <c r="DA492" s="455"/>
      <c r="DB492" s="455"/>
      <c r="DC492" s="455"/>
      <c r="DD492" s="455"/>
      <c r="DE492" s="455"/>
      <c r="DF492" s="455"/>
      <c r="DG492" s="455"/>
      <c r="DH492" s="455"/>
      <c r="DI492" s="455"/>
      <c r="DJ492" s="455"/>
      <c r="DK492" s="455"/>
      <c r="DL492" s="455"/>
      <c r="DM492" s="455"/>
      <c r="DN492" s="455"/>
      <c r="DO492" s="455"/>
      <c r="DP492" s="455"/>
      <c r="DQ492" s="455"/>
      <c r="DR492" s="455"/>
      <c r="DS492" s="455"/>
      <c r="DT492" s="455"/>
      <c r="DU492" s="455"/>
      <c r="DV492" s="455"/>
      <c r="DW492" s="455"/>
      <c r="DX492" s="455"/>
      <c r="DY492" s="455"/>
      <c r="DZ492" s="455"/>
      <c r="EA492" s="455"/>
      <c r="EB492" s="455"/>
      <c r="EC492" s="455"/>
      <c r="ED492" s="455"/>
      <c r="EE492" s="455"/>
      <c r="EF492" s="455"/>
      <c r="EG492" s="455"/>
      <c r="EH492" s="455"/>
      <c r="EI492" s="455"/>
      <c r="EJ492" s="455"/>
      <c r="EK492" s="455"/>
      <c r="EL492" s="455"/>
      <c r="EM492" s="455"/>
      <c r="EN492" s="455"/>
      <c r="EO492" s="455"/>
      <c r="EP492" s="455"/>
      <c r="EQ492" s="455"/>
      <c r="ER492" s="455"/>
      <c r="ES492" s="455"/>
      <c r="ET492" s="455"/>
      <c r="EU492" s="455"/>
      <c r="EV492" s="455"/>
      <c r="EW492" s="455"/>
      <c r="EX492" s="455"/>
      <c r="EY492" s="455"/>
      <c r="EZ492" s="455"/>
      <c r="FA492" s="455"/>
      <c r="FB492" s="455"/>
      <c r="FC492" s="455"/>
      <c r="FD492" s="455"/>
      <c r="FE492" s="455"/>
      <c r="FF492" s="455"/>
      <c r="FG492" s="455"/>
      <c r="FH492" s="455"/>
      <c r="FI492" s="455"/>
      <c r="FJ492" s="455"/>
      <c r="FK492" s="455"/>
      <c r="FL492" s="455"/>
      <c r="FM492" s="455"/>
      <c r="FN492" s="455"/>
      <c r="FO492" s="455"/>
      <c r="FP492" s="455"/>
      <c r="FQ492" s="455"/>
      <c r="FR492" s="455"/>
      <c r="FS492" s="455"/>
      <c r="FT492" s="455"/>
      <c r="FU492" s="455"/>
      <c r="FV492" s="455"/>
      <c r="FW492" s="455"/>
      <c r="FX492" s="455"/>
      <c r="FY492" s="455"/>
      <c r="FZ492" s="455"/>
      <c r="GA492" s="455"/>
      <c r="GB492" s="455"/>
      <c r="GC492" s="455"/>
      <c r="GD492" s="455"/>
      <c r="GE492" s="455"/>
      <c r="GF492" s="455"/>
      <c r="GG492" s="455"/>
      <c r="GH492" s="455"/>
      <c r="GI492" s="455"/>
      <c r="GJ492" s="455"/>
      <c r="GK492" s="455"/>
      <c r="GL492" s="455"/>
      <c r="GM492" s="455"/>
      <c r="GN492" s="455"/>
      <c r="GO492" s="455"/>
      <c r="GP492" s="455"/>
      <c r="GQ492" s="455"/>
      <c r="GR492" s="455"/>
      <c r="GS492" s="455"/>
      <c r="GT492" s="455"/>
      <c r="GU492" s="455"/>
      <c r="GV492" s="455"/>
      <c r="GW492" s="455"/>
      <c r="GX492" s="455"/>
      <c r="GY492" s="455"/>
      <c r="GZ492" s="455"/>
      <c r="HA492" s="455"/>
      <c r="HB492" s="455"/>
      <c r="HC492" s="455"/>
      <c r="HD492" s="455"/>
      <c r="HE492" s="455"/>
      <c r="HF492" s="455"/>
      <c r="HG492" s="455"/>
      <c r="HH492" s="455"/>
      <c r="HI492" s="455"/>
      <c r="HJ492" s="455"/>
      <c r="HK492" s="455"/>
      <c r="HL492" s="455"/>
      <c r="HM492" s="455"/>
      <c r="HN492" s="455"/>
      <c r="HO492" s="455"/>
      <c r="HP492" s="455"/>
      <c r="HQ492" s="455"/>
      <c r="HR492" s="455"/>
      <c r="HS492" s="455"/>
      <c r="HT492" s="455"/>
      <c r="HU492" s="455"/>
      <c r="HV492" s="455"/>
      <c r="HW492" s="455"/>
      <c r="HX492" s="455"/>
      <c r="HY492" s="455"/>
      <c r="HZ492" s="455"/>
      <c r="IA492" s="455"/>
      <c r="IB492" s="455"/>
      <c r="IC492" s="455"/>
      <c r="ID492" s="455"/>
      <c r="IE492" s="455"/>
      <c r="IF492" s="455"/>
      <c r="IG492" s="455"/>
      <c r="IH492" s="455"/>
      <c r="II492" s="455"/>
      <c r="IJ492" s="455"/>
      <c r="IK492" s="455"/>
      <c r="IL492" s="455"/>
      <c r="IM492" s="455"/>
      <c r="IN492" s="455"/>
      <c r="IO492" s="455"/>
      <c r="IP492" s="455"/>
      <c r="IQ492" s="455"/>
      <c r="IR492" s="455"/>
      <c r="IS492" s="455"/>
    </row>
    <row r="493" spans="1:253" s="458" customFormat="1" ht="45" x14ac:dyDescent="0.2">
      <c r="A493" s="444">
        <v>8779</v>
      </c>
      <c r="B493" s="445" t="s">
        <v>84</v>
      </c>
      <c r="C493" s="445" t="s">
        <v>85</v>
      </c>
      <c r="D493" s="445"/>
      <c r="E493" s="445"/>
      <c r="F493" s="479"/>
      <c r="G493" s="446">
        <v>263</v>
      </c>
      <c r="H493" s="445" t="s">
        <v>732</v>
      </c>
      <c r="I493" s="445"/>
      <c r="J493" s="445"/>
      <c r="K493" s="447"/>
      <c r="L493" s="448"/>
      <c r="M493" s="445">
        <v>1</v>
      </c>
      <c r="N493" s="445" t="s">
        <v>425</v>
      </c>
      <c r="O493" s="464" t="s">
        <v>1544</v>
      </c>
      <c r="P493" s="450">
        <v>4.0250000000000004</v>
      </c>
      <c r="Q493" s="451">
        <f t="shared" si="13"/>
        <v>4.0250000000000004</v>
      </c>
      <c r="R493" s="451">
        <f>SUMIF('Wege im Detail'!$A:$A,"8779",'Wege im Detail'!$P:$P)</f>
        <v>4.0250000000000004</v>
      </c>
      <c r="S493" s="452" t="s">
        <v>733</v>
      </c>
      <c r="T493" s="453">
        <v>43922</v>
      </c>
      <c r="U493" s="448"/>
      <c r="W493" s="448"/>
      <c r="X493" s="455"/>
      <c r="Y493" s="455"/>
      <c r="Z493" s="455"/>
      <c r="AA493" s="455"/>
      <c r="AB493" s="455"/>
      <c r="AC493" s="455"/>
      <c r="AD493" s="455"/>
      <c r="AE493" s="455"/>
      <c r="AF493" s="455"/>
      <c r="AG493" s="455"/>
      <c r="AH493" s="455"/>
      <c r="AI493" s="455"/>
      <c r="AJ493" s="455"/>
      <c r="AK493" s="455"/>
      <c r="AL493" s="455"/>
      <c r="AM493" s="455"/>
      <c r="AN493" s="455"/>
      <c r="AO493" s="455"/>
      <c r="AP493" s="455"/>
      <c r="AQ493" s="455"/>
      <c r="AR493" s="455"/>
      <c r="AS493" s="455"/>
      <c r="AT493" s="455"/>
      <c r="AU493" s="455"/>
      <c r="AV493" s="455"/>
      <c r="AW493" s="455"/>
      <c r="AX493" s="455"/>
      <c r="AY493" s="455"/>
      <c r="AZ493" s="455"/>
      <c r="BA493" s="455"/>
      <c r="BB493" s="455"/>
      <c r="BC493" s="455"/>
      <c r="BD493" s="455"/>
      <c r="BE493" s="455"/>
      <c r="BF493" s="455"/>
      <c r="BG493" s="455"/>
      <c r="BH493" s="455"/>
      <c r="BI493" s="455"/>
      <c r="BJ493" s="455"/>
      <c r="BK493" s="455"/>
      <c r="BL493" s="455"/>
      <c r="BM493" s="455"/>
      <c r="BN493" s="455"/>
      <c r="BO493" s="455"/>
      <c r="BP493" s="455"/>
      <c r="BQ493" s="455"/>
      <c r="BR493" s="455"/>
      <c r="BS493" s="455"/>
      <c r="BT493" s="455"/>
      <c r="BU493" s="455"/>
      <c r="BV493" s="455"/>
      <c r="BW493" s="455"/>
      <c r="BX493" s="455"/>
      <c r="BY493" s="455"/>
      <c r="BZ493" s="455"/>
      <c r="CA493" s="455"/>
      <c r="CB493" s="455"/>
      <c r="CC493" s="455"/>
      <c r="CD493" s="455"/>
      <c r="CE493" s="455"/>
      <c r="CF493" s="455"/>
      <c r="CG493" s="455"/>
      <c r="CH493" s="455"/>
      <c r="CI493" s="455"/>
      <c r="CJ493" s="455"/>
      <c r="CK493" s="455"/>
      <c r="CL493" s="455"/>
      <c r="CM493" s="455"/>
      <c r="CN493" s="455"/>
      <c r="CO493" s="455"/>
      <c r="CP493" s="455"/>
      <c r="CQ493" s="455"/>
      <c r="CR493" s="455"/>
      <c r="CS493" s="455"/>
      <c r="CT493" s="455"/>
      <c r="CU493" s="455"/>
      <c r="CV493" s="455"/>
      <c r="CW493" s="455"/>
      <c r="CX493" s="455"/>
      <c r="CY493" s="455"/>
      <c r="CZ493" s="455"/>
      <c r="DA493" s="455"/>
      <c r="DB493" s="455"/>
      <c r="DC493" s="455"/>
      <c r="DD493" s="455"/>
      <c r="DE493" s="455"/>
      <c r="DF493" s="455"/>
      <c r="DG493" s="455"/>
      <c r="DH493" s="455"/>
      <c r="DI493" s="455"/>
      <c r="DJ493" s="455"/>
      <c r="DK493" s="455"/>
      <c r="DL493" s="455"/>
      <c r="DM493" s="455"/>
      <c r="DN493" s="455"/>
      <c r="DO493" s="455"/>
      <c r="DP493" s="455"/>
      <c r="DQ493" s="455"/>
      <c r="DR493" s="455"/>
      <c r="DS493" s="455"/>
      <c r="DT493" s="455"/>
      <c r="DU493" s="455"/>
      <c r="DV493" s="455"/>
      <c r="DW493" s="455"/>
      <c r="DX493" s="455"/>
      <c r="DY493" s="455"/>
      <c r="DZ493" s="455"/>
      <c r="EA493" s="455"/>
      <c r="EB493" s="455"/>
      <c r="EC493" s="455"/>
      <c r="ED493" s="455"/>
      <c r="EE493" s="455"/>
      <c r="EF493" s="455"/>
      <c r="EG493" s="455"/>
      <c r="EH493" s="455"/>
      <c r="EI493" s="455"/>
      <c r="EJ493" s="455"/>
      <c r="EK493" s="455"/>
      <c r="EL493" s="455"/>
      <c r="EM493" s="455"/>
      <c r="EN493" s="455"/>
      <c r="EO493" s="455"/>
      <c r="EP493" s="455"/>
      <c r="EQ493" s="455"/>
      <c r="ER493" s="455"/>
      <c r="ES493" s="455"/>
      <c r="ET493" s="455"/>
      <c r="EU493" s="455"/>
      <c r="EV493" s="455"/>
      <c r="EW493" s="455"/>
      <c r="EX493" s="455"/>
      <c r="EY493" s="455"/>
      <c r="EZ493" s="455"/>
      <c r="FA493" s="455"/>
      <c r="FB493" s="455"/>
      <c r="FC493" s="455"/>
      <c r="FD493" s="455"/>
      <c r="FE493" s="455"/>
      <c r="FF493" s="455"/>
      <c r="FG493" s="455"/>
      <c r="FH493" s="455"/>
      <c r="FI493" s="455"/>
      <c r="FJ493" s="455"/>
      <c r="FK493" s="455"/>
      <c r="FL493" s="455"/>
      <c r="FM493" s="455"/>
      <c r="FN493" s="455"/>
      <c r="FO493" s="455"/>
      <c r="FP493" s="455"/>
      <c r="FQ493" s="455"/>
      <c r="FR493" s="455"/>
      <c r="FS493" s="455"/>
      <c r="FT493" s="455"/>
      <c r="FU493" s="455"/>
      <c r="FV493" s="455"/>
      <c r="FW493" s="455"/>
      <c r="FX493" s="455"/>
      <c r="FY493" s="455"/>
      <c r="FZ493" s="455"/>
      <c r="GA493" s="455"/>
      <c r="GB493" s="455"/>
      <c r="GC493" s="455"/>
      <c r="GD493" s="455"/>
      <c r="GE493" s="455"/>
      <c r="GF493" s="455"/>
      <c r="GG493" s="455"/>
      <c r="GH493" s="455"/>
      <c r="GI493" s="455"/>
      <c r="GJ493" s="455"/>
      <c r="GK493" s="455"/>
      <c r="GL493" s="455"/>
      <c r="GM493" s="455"/>
      <c r="GN493" s="455"/>
      <c r="GO493" s="455"/>
      <c r="GP493" s="455"/>
      <c r="GQ493" s="455"/>
      <c r="GR493" s="455"/>
      <c r="GS493" s="455"/>
      <c r="GT493" s="455"/>
      <c r="GU493" s="455"/>
      <c r="GV493" s="455"/>
      <c r="GW493" s="455"/>
      <c r="GX493" s="455"/>
      <c r="GY493" s="455"/>
      <c r="GZ493" s="455"/>
      <c r="HA493" s="455"/>
      <c r="HB493" s="455"/>
      <c r="HC493" s="455"/>
      <c r="HD493" s="455"/>
      <c r="HE493" s="455"/>
      <c r="HF493" s="455"/>
      <c r="HG493" s="455"/>
      <c r="HH493" s="455"/>
      <c r="HI493" s="455"/>
      <c r="HJ493" s="455"/>
      <c r="HK493" s="455"/>
      <c r="HL493" s="455"/>
      <c r="HM493" s="455"/>
      <c r="HN493" s="455"/>
      <c r="HO493" s="455"/>
      <c r="HP493" s="455"/>
      <c r="HQ493" s="455"/>
      <c r="HR493" s="455"/>
      <c r="HS493" s="455"/>
      <c r="HT493" s="455"/>
      <c r="HU493" s="455"/>
      <c r="HV493" s="455"/>
      <c r="HW493" s="455"/>
      <c r="HX493" s="455"/>
      <c r="HY493" s="455"/>
      <c r="HZ493" s="455"/>
      <c r="IA493" s="455"/>
      <c r="IB493" s="455"/>
      <c r="IC493" s="455"/>
      <c r="ID493" s="455"/>
      <c r="IE493" s="455"/>
      <c r="IF493" s="455"/>
      <c r="IG493" s="455"/>
      <c r="IH493" s="455"/>
      <c r="II493" s="455"/>
      <c r="IJ493" s="455"/>
      <c r="IK493" s="455"/>
      <c r="IL493" s="455"/>
      <c r="IM493" s="455"/>
      <c r="IN493" s="455"/>
      <c r="IO493" s="455"/>
      <c r="IP493" s="455"/>
      <c r="IQ493" s="455"/>
      <c r="IR493" s="455"/>
      <c r="IS493" s="455"/>
    </row>
    <row r="494" spans="1:253" s="458" customFormat="1" ht="45" x14ac:dyDescent="0.2">
      <c r="A494" s="444">
        <v>8780</v>
      </c>
      <c r="B494" s="445" t="s">
        <v>84</v>
      </c>
      <c r="C494" s="445" t="s">
        <v>85</v>
      </c>
      <c r="D494" s="445"/>
      <c r="E494" s="445"/>
      <c r="F494" s="479"/>
      <c r="G494" s="446">
        <v>262</v>
      </c>
      <c r="H494" s="445" t="s">
        <v>735</v>
      </c>
      <c r="I494" s="445"/>
      <c r="J494" s="445"/>
      <c r="K494" s="447"/>
      <c r="L494" s="448"/>
      <c r="M494" s="445">
        <v>1</v>
      </c>
      <c r="N494" s="445" t="s">
        <v>425</v>
      </c>
      <c r="O494" s="464" t="s">
        <v>1545</v>
      </c>
      <c r="P494" s="450">
        <v>6.0540000000000003</v>
      </c>
      <c r="Q494" s="451">
        <f t="shared" si="13"/>
        <v>6.0540000000000003</v>
      </c>
      <c r="R494" s="451">
        <f>SUMIF('Wege im Detail'!$A:$A,"8780",'Wege im Detail'!$P:$P)</f>
        <v>6.0540000000000003</v>
      </c>
      <c r="S494" s="452" t="s">
        <v>736</v>
      </c>
      <c r="T494" s="453">
        <v>43922</v>
      </c>
      <c r="U494" s="448"/>
      <c r="W494" s="448"/>
    </row>
    <row r="495" spans="1:253" s="458" customFormat="1" ht="56.25" x14ac:dyDescent="0.2">
      <c r="A495" s="444">
        <v>8781</v>
      </c>
      <c r="B495" s="445" t="s">
        <v>84</v>
      </c>
      <c r="C495" s="445" t="s">
        <v>85</v>
      </c>
      <c r="D495" s="445"/>
      <c r="E495" s="445"/>
      <c r="F495" s="479"/>
      <c r="G495" s="446">
        <v>264</v>
      </c>
      <c r="H495" s="445" t="s">
        <v>738</v>
      </c>
      <c r="I495" s="445"/>
      <c r="J495" s="445"/>
      <c r="K495" s="447"/>
      <c r="L495" s="448"/>
      <c r="M495" s="445">
        <v>1</v>
      </c>
      <c r="N495" s="445" t="s">
        <v>425</v>
      </c>
      <c r="O495" s="464" t="s">
        <v>1546</v>
      </c>
      <c r="P495" s="450">
        <v>6.3029999999999999</v>
      </c>
      <c r="Q495" s="451">
        <f t="shared" ref="Q495:Q515" si="14">P495</f>
        <v>6.3029999999999999</v>
      </c>
      <c r="R495" s="451">
        <f>SUMIF('Wege im Detail'!$A:$A,"8781",'Wege im Detail'!$P:$P)</f>
        <v>6.3029999999999999</v>
      </c>
      <c r="S495" s="452" t="s">
        <v>739</v>
      </c>
      <c r="T495" s="453">
        <v>43922</v>
      </c>
      <c r="U495" s="448"/>
      <c r="W495" s="448"/>
      <c r="X495" s="455"/>
      <c r="Y495" s="455"/>
      <c r="Z495" s="455"/>
      <c r="AA495" s="455"/>
      <c r="AB495" s="455"/>
      <c r="AC495" s="455"/>
      <c r="AD495" s="455"/>
      <c r="AE495" s="455"/>
      <c r="AF495" s="455"/>
      <c r="AG495" s="455"/>
      <c r="AH495" s="455"/>
      <c r="AI495" s="455"/>
      <c r="AJ495" s="455"/>
      <c r="AK495" s="455"/>
      <c r="AL495" s="455"/>
      <c r="AM495" s="455"/>
      <c r="AN495" s="455"/>
      <c r="AO495" s="455"/>
      <c r="AP495" s="455"/>
      <c r="AQ495" s="455"/>
      <c r="AR495" s="455"/>
      <c r="AS495" s="455"/>
      <c r="AT495" s="455"/>
      <c r="AU495" s="455"/>
      <c r="AV495" s="455"/>
      <c r="AW495" s="455"/>
      <c r="AX495" s="455"/>
      <c r="AY495" s="455"/>
      <c r="AZ495" s="455"/>
      <c r="BA495" s="455"/>
      <c r="BB495" s="455"/>
      <c r="BC495" s="455"/>
      <c r="BD495" s="455"/>
      <c r="BE495" s="455"/>
      <c r="BF495" s="455"/>
      <c r="BG495" s="455"/>
      <c r="BH495" s="455"/>
      <c r="BI495" s="455"/>
      <c r="BJ495" s="455"/>
      <c r="BK495" s="455"/>
      <c r="BL495" s="455"/>
      <c r="BM495" s="455"/>
      <c r="BN495" s="455"/>
      <c r="BO495" s="455"/>
      <c r="BP495" s="455"/>
      <c r="BQ495" s="455"/>
      <c r="BR495" s="455"/>
      <c r="BS495" s="455"/>
      <c r="BT495" s="455"/>
      <c r="BU495" s="455"/>
      <c r="BV495" s="455"/>
      <c r="BW495" s="455"/>
      <c r="BX495" s="455"/>
      <c r="BY495" s="455"/>
      <c r="BZ495" s="455"/>
      <c r="CA495" s="455"/>
      <c r="CB495" s="455"/>
      <c r="CC495" s="455"/>
      <c r="CD495" s="455"/>
      <c r="CE495" s="455"/>
      <c r="CF495" s="455"/>
      <c r="CG495" s="455"/>
      <c r="CH495" s="455"/>
      <c r="CI495" s="455"/>
      <c r="CJ495" s="455"/>
      <c r="CK495" s="455"/>
      <c r="CL495" s="455"/>
      <c r="CM495" s="455"/>
      <c r="CN495" s="455"/>
      <c r="CO495" s="455"/>
      <c r="CP495" s="455"/>
      <c r="CQ495" s="455"/>
      <c r="CR495" s="455"/>
      <c r="CS495" s="455"/>
      <c r="CT495" s="455"/>
      <c r="CU495" s="455"/>
      <c r="CV495" s="455"/>
      <c r="CW495" s="455"/>
      <c r="CX495" s="455"/>
      <c r="CY495" s="455"/>
      <c r="CZ495" s="455"/>
      <c r="DA495" s="455"/>
      <c r="DB495" s="455"/>
      <c r="DC495" s="455"/>
      <c r="DD495" s="455"/>
      <c r="DE495" s="455"/>
      <c r="DF495" s="455"/>
      <c r="DG495" s="455"/>
      <c r="DH495" s="455"/>
      <c r="DI495" s="455"/>
      <c r="DJ495" s="455"/>
      <c r="DK495" s="455"/>
      <c r="DL495" s="455"/>
      <c r="DM495" s="455"/>
      <c r="DN495" s="455"/>
      <c r="DO495" s="455"/>
      <c r="DP495" s="455"/>
      <c r="DQ495" s="455"/>
      <c r="DR495" s="455"/>
      <c r="DS495" s="455"/>
      <c r="DT495" s="455"/>
      <c r="DU495" s="455"/>
      <c r="DV495" s="455"/>
      <c r="DW495" s="455"/>
      <c r="DX495" s="455"/>
      <c r="DY495" s="455"/>
      <c r="DZ495" s="455"/>
      <c r="EA495" s="455"/>
      <c r="EB495" s="455"/>
      <c r="EC495" s="455"/>
      <c r="ED495" s="455"/>
      <c r="EE495" s="455"/>
      <c r="EF495" s="455"/>
      <c r="EG495" s="455"/>
      <c r="EH495" s="455"/>
      <c r="EI495" s="455"/>
      <c r="EJ495" s="455"/>
      <c r="EK495" s="455"/>
      <c r="EL495" s="455"/>
      <c r="EM495" s="455"/>
      <c r="EN495" s="455"/>
      <c r="EO495" s="455"/>
      <c r="EP495" s="455"/>
      <c r="EQ495" s="455"/>
      <c r="ER495" s="455"/>
      <c r="ES495" s="455"/>
      <c r="ET495" s="455"/>
      <c r="EU495" s="455"/>
      <c r="EV495" s="455"/>
      <c r="EW495" s="455"/>
      <c r="EX495" s="455"/>
      <c r="EY495" s="455"/>
      <c r="EZ495" s="455"/>
      <c r="FA495" s="455"/>
      <c r="FB495" s="455"/>
      <c r="FC495" s="455"/>
      <c r="FD495" s="455"/>
      <c r="FE495" s="455"/>
      <c r="FF495" s="455"/>
      <c r="FG495" s="455"/>
      <c r="FH495" s="455"/>
      <c r="FI495" s="455"/>
      <c r="FJ495" s="455"/>
      <c r="FK495" s="455"/>
      <c r="FL495" s="455"/>
      <c r="FM495" s="455"/>
      <c r="FN495" s="455"/>
      <c r="FO495" s="455"/>
      <c r="FP495" s="455"/>
      <c r="FQ495" s="455"/>
      <c r="FR495" s="455"/>
      <c r="FS495" s="455"/>
      <c r="FT495" s="455"/>
      <c r="FU495" s="455"/>
      <c r="FV495" s="455"/>
      <c r="FW495" s="455"/>
      <c r="FX495" s="455"/>
      <c r="FY495" s="455"/>
      <c r="FZ495" s="455"/>
      <c r="GA495" s="455"/>
      <c r="GB495" s="455"/>
      <c r="GC495" s="455"/>
      <c r="GD495" s="455"/>
      <c r="GE495" s="455"/>
      <c r="GF495" s="455"/>
      <c r="GG495" s="455"/>
      <c r="GH495" s="455"/>
      <c r="GI495" s="455"/>
      <c r="GJ495" s="455"/>
      <c r="GK495" s="455"/>
      <c r="GL495" s="455"/>
      <c r="GM495" s="455"/>
      <c r="GN495" s="455"/>
      <c r="GO495" s="455"/>
      <c r="GP495" s="455"/>
      <c r="GQ495" s="455"/>
      <c r="GR495" s="455"/>
      <c r="GS495" s="455"/>
      <c r="GT495" s="455"/>
      <c r="GU495" s="455"/>
      <c r="GV495" s="455"/>
      <c r="GW495" s="455"/>
      <c r="GX495" s="455"/>
      <c r="GY495" s="455"/>
      <c r="GZ495" s="455"/>
      <c r="HA495" s="455"/>
      <c r="HB495" s="455"/>
      <c r="HC495" s="455"/>
      <c r="HD495" s="455"/>
      <c r="HE495" s="455"/>
      <c r="HF495" s="455"/>
      <c r="HG495" s="455"/>
      <c r="HH495" s="455"/>
      <c r="HI495" s="455"/>
      <c r="HJ495" s="455"/>
      <c r="HK495" s="455"/>
      <c r="HL495" s="455"/>
      <c r="HM495" s="455"/>
      <c r="HN495" s="455"/>
      <c r="HO495" s="455"/>
      <c r="HP495" s="455"/>
      <c r="HQ495" s="455"/>
      <c r="HR495" s="455"/>
      <c r="HS495" s="455"/>
      <c r="HT495" s="455"/>
      <c r="HU495" s="455"/>
      <c r="HV495" s="455"/>
      <c r="HW495" s="455"/>
      <c r="HX495" s="455"/>
      <c r="HY495" s="455"/>
      <c r="HZ495" s="455"/>
      <c r="IA495" s="455"/>
      <c r="IB495" s="455"/>
      <c r="IC495" s="455"/>
      <c r="ID495" s="455"/>
      <c r="IE495" s="455"/>
      <c r="IF495" s="455"/>
      <c r="IG495" s="455"/>
      <c r="IH495" s="455"/>
      <c r="II495" s="455"/>
      <c r="IJ495" s="455"/>
      <c r="IK495" s="455"/>
      <c r="IL495" s="455"/>
      <c r="IM495" s="455"/>
      <c r="IN495" s="455"/>
      <c r="IO495" s="455"/>
      <c r="IP495" s="455"/>
      <c r="IQ495" s="455"/>
      <c r="IR495" s="455"/>
      <c r="IS495" s="455"/>
    </row>
    <row r="496" spans="1:253" s="458" customFormat="1" ht="45" x14ac:dyDescent="0.2">
      <c r="A496" s="444">
        <v>8869</v>
      </c>
      <c r="B496" s="445" t="s">
        <v>51</v>
      </c>
      <c r="C496" s="445" t="s">
        <v>52</v>
      </c>
      <c r="D496" s="445" t="s">
        <v>91</v>
      </c>
      <c r="E496" s="445"/>
      <c r="F496" s="445"/>
      <c r="G496" s="446">
        <v>53</v>
      </c>
      <c r="H496" s="445">
        <v>133</v>
      </c>
      <c r="I496" s="445"/>
      <c r="J496" s="445">
        <v>2</v>
      </c>
      <c r="K496" s="494" t="s">
        <v>1547</v>
      </c>
      <c r="L496" s="445"/>
      <c r="M496" s="445">
        <v>2</v>
      </c>
      <c r="N496" s="445" t="s">
        <v>433</v>
      </c>
      <c r="O496" s="449" t="s">
        <v>1548</v>
      </c>
      <c r="P496" s="450">
        <v>3.8140000000000001</v>
      </c>
      <c r="Q496" s="451">
        <f t="shared" si="14"/>
        <v>3.8140000000000001</v>
      </c>
      <c r="R496" s="451">
        <f>SUMIF('Wege im Detail'!$A:$A,"008869",'Wege im Detail'!$P:$P)</f>
        <v>3.8140000000000001</v>
      </c>
      <c r="S496" s="529" t="s">
        <v>1549</v>
      </c>
      <c r="T496" s="453">
        <v>43922</v>
      </c>
      <c r="U496" s="448"/>
      <c r="W496" s="448"/>
    </row>
    <row r="497" spans="1:253" s="458" customFormat="1" ht="45" x14ac:dyDescent="0.2">
      <c r="A497" s="444">
        <v>8894</v>
      </c>
      <c r="B497" s="445" t="s">
        <v>84</v>
      </c>
      <c r="C497" s="445" t="s">
        <v>85</v>
      </c>
      <c r="D497" s="445"/>
      <c r="E497" s="445"/>
      <c r="F497" s="445"/>
      <c r="G497" s="446">
        <v>255</v>
      </c>
      <c r="H497" s="445" t="s">
        <v>742</v>
      </c>
      <c r="I497" s="445"/>
      <c r="J497" s="445"/>
      <c r="K497" s="447"/>
      <c r="L497" s="445" t="s">
        <v>88</v>
      </c>
      <c r="M497" s="445">
        <v>2</v>
      </c>
      <c r="N497" s="445" t="s">
        <v>67</v>
      </c>
      <c r="O497" s="449" t="s">
        <v>1550</v>
      </c>
      <c r="P497" s="450">
        <v>5.2380000000000004</v>
      </c>
      <c r="Q497" s="451">
        <f t="shared" si="14"/>
        <v>5.2380000000000004</v>
      </c>
      <c r="R497" s="451">
        <f>SUMIF('Wege im Detail'!$A:$A,"8894",'Wege im Detail'!$P:$P)</f>
        <v>5.2380000000000004</v>
      </c>
      <c r="S497" s="452" t="s">
        <v>743</v>
      </c>
      <c r="T497" s="453">
        <v>43891</v>
      </c>
      <c r="U497" s="448"/>
      <c r="W497" s="448"/>
    </row>
    <row r="498" spans="1:253" s="458" customFormat="1" ht="78.75" x14ac:dyDescent="0.2">
      <c r="A498" s="444">
        <v>8909</v>
      </c>
      <c r="B498" s="445" t="s">
        <v>84</v>
      </c>
      <c r="C498" s="445" t="s">
        <v>85</v>
      </c>
      <c r="D498" s="445"/>
      <c r="E498" s="445"/>
      <c r="F498" s="445"/>
      <c r="G498" s="446">
        <v>211</v>
      </c>
      <c r="H498" s="445" t="s">
        <v>744</v>
      </c>
      <c r="I498" s="445"/>
      <c r="J498" s="445"/>
      <c r="K498" s="447"/>
      <c r="L498" s="445" t="s">
        <v>142</v>
      </c>
      <c r="M498" s="445">
        <v>2</v>
      </c>
      <c r="N498" s="445" t="s">
        <v>433</v>
      </c>
      <c r="O498" s="449" t="s">
        <v>1551</v>
      </c>
      <c r="P498" s="450">
        <v>9.1159999999999997</v>
      </c>
      <c r="Q498" s="451">
        <f t="shared" si="14"/>
        <v>9.1159999999999997</v>
      </c>
      <c r="R498" s="451">
        <f>SUMIF('Wege im Detail'!$A:$A,"8909",'Wege im Detail'!$P:$P)</f>
        <v>9.1159999999999997</v>
      </c>
      <c r="S498" s="452" t="s">
        <v>1552</v>
      </c>
      <c r="T498" s="453">
        <v>42795</v>
      </c>
      <c r="U498" s="448"/>
      <c r="V498" s="476"/>
      <c r="W498" s="448"/>
    </row>
    <row r="499" spans="1:253" s="458" customFormat="1" ht="90" x14ac:dyDescent="0.2">
      <c r="A499" s="444">
        <v>8910</v>
      </c>
      <c r="B499" s="445" t="s">
        <v>84</v>
      </c>
      <c r="C499" s="445" t="s">
        <v>85</v>
      </c>
      <c r="D499" s="445"/>
      <c r="E499" s="445"/>
      <c r="F499" s="445"/>
      <c r="G499" s="446">
        <v>212</v>
      </c>
      <c r="H499" s="445" t="s">
        <v>746</v>
      </c>
      <c r="I499" s="445"/>
      <c r="J499" s="445"/>
      <c r="K499" s="447"/>
      <c r="L499" s="445" t="s">
        <v>147</v>
      </c>
      <c r="M499" s="445">
        <v>2</v>
      </c>
      <c r="N499" s="445" t="s">
        <v>433</v>
      </c>
      <c r="O499" s="449" t="s">
        <v>1553</v>
      </c>
      <c r="P499" s="450">
        <v>15.246</v>
      </c>
      <c r="Q499" s="451">
        <f t="shared" si="14"/>
        <v>15.246</v>
      </c>
      <c r="R499" s="451">
        <f>SUMIF('Wege im Detail'!$A:$A,"8910",'Wege im Detail'!$P:$P)</f>
        <v>15.246</v>
      </c>
      <c r="S499" s="452" t="s">
        <v>1554</v>
      </c>
      <c r="T499" s="453">
        <v>42795</v>
      </c>
      <c r="U499" s="448"/>
      <c r="V499" s="476"/>
      <c r="W499" s="448"/>
    </row>
    <row r="500" spans="1:253" s="458" customFormat="1" ht="56.25" x14ac:dyDescent="0.2">
      <c r="A500" s="444">
        <v>8911</v>
      </c>
      <c r="B500" s="445" t="s">
        <v>84</v>
      </c>
      <c r="C500" s="445" t="s">
        <v>85</v>
      </c>
      <c r="D500" s="445"/>
      <c r="E500" s="445"/>
      <c r="F500" s="445"/>
      <c r="G500" s="446">
        <v>213</v>
      </c>
      <c r="H500" s="445" t="s">
        <v>748</v>
      </c>
      <c r="I500" s="445"/>
      <c r="J500" s="445"/>
      <c r="K500" s="447"/>
      <c r="L500" s="445" t="s">
        <v>133</v>
      </c>
      <c r="M500" s="445">
        <v>2</v>
      </c>
      <c r="N500" s="445" t="s">
        <v>433</v>
      </c>
      <c r="O500" s="449" t="s">
        <v>1555</v>
      </c>
      <c r="P500" s="450">
        <v>8.7910000000000004</v>
      </c>
      <c r="Q500" s="451">
        <f t="shared" si="14"/>
        <v>8.7910000000000004</v>
      </c>
      <c r="R500" s="451">
        <f>SUMIF('Wege im Detail'!$A:$A,"8911",'Wege im Detail'!$P:$P)</f>
        <v>8.7910000000000004</v>
      </c>
      <c r="S500" s="452" t="s">
        <v>1556</v>
      </c>
      <c r="T500" s="453">
        <v>42795</v>
      </c>
      <c r="U500" s="448"/>
      <c r="V500" s="476"/>
      <c r="W500" s="448"/>
    </row>
    <row r="501" spans="1:253" s="458" customFormat="1" ht="45" x14ac:dyDescent="0.2">
      <c r="A501" s="444">
        <v>8926</v>
      </c>
      <c r="B501" s="445" t="s">
        <v>51</v>
      </c>
      <c r="C501" s="445" t="s">
        <v>52</v>
      </c>
      <c r="D501" s="445" t="s">
        <v>91</v>
      </c>
      <c r="E501" s="445"/>
      <c r="F501" s="445"/>
      <c r="G501" s="446">
        <v>59</v>
      </c>
      <c r="H501" s="445">
        <v>131</v>
      </c>
      <c r="I501" s="445"/>
      <c r="J501" s="445">
        <v>1</v>
      </c>
      <c r="K501" s="447">
        <v>1</v>
      </c>
      <c r="L501" s="445"/>
      <c r="M501" s="445">
        <v>2</v>
      </c>
      <c r="N501" s="445" t="s">
        <v>433</v>
      </c>
      <c r="O501" s="464" t="s">
        <v>1557</v>
      </c>
      <c r="P501" s="450">
        <v>7.2069999999999999</v>
      </c>
      <c r="Q501" s="451">
        <f t="shared" si="14"/>
        <v>7.2069999999999999</v>
      </c>
      <c r="R501" s="451">
        <f>SUMIF('Wege im Detail'!$A:$A,"8926",'Wege im Detail'!$P:$P)</f>
        <v>7.2069999999999999</v>
      </c>
      <c r="S501" s="452" t="s">
        <v>1558</v>
      </c>
      <c r="T501" s="472"/>
      <c r="U501" s="448"/>
      <c r="V501" s="476"/>
      <c r="W501" s="448"/>
    </row>
    <row r="502" spans="1:253" s="458" customFormat="1" ht="78.75" x14ac:dyDescent="0.2">
      <c r="A502" s="444">
        <v>9009</v>
      </c>
      <c r="B502" s="445" t="s">
        <v>84</v>
      </c>
      <c r="C502" s="445" t="s">
        <v>85</v>
      </c>
      <c r="D502" s="445"/>
      <c r="E502" s="445"/>
      <c r="F502" s="445"/>
      <c r="G502" s="446">
        <v>293</v>
      </c>
      <c r="H502" s="445" t="s">
        <v>751</v>
      </c>
      <c r="I502" s="445"/>
      <c r="J502" s="445"/>
      <c r="K502" s="447"/>
      <c r="L502" s="445" t="s">
        <v>133</v>
      </c>
      <c r="M502" s="445">
        <v>3</v>
      </c>
      <c r="N502" s="445" t="s">
        <v>466</v>
      </c>
      <c r="O502" s="449" t="s">
        <v>1559</v>
      </c>
      <c r="P502" s="450">
        <v>7.7</v>
      </c>
      <c r="Q502" s="451">
        <f t="shared" si="14"/>
        <v>7.7</v>
      </c>
      <c r="R502" s="451">
        <f>SUMIF('Wege im Detail'!$A:$A,"9009",'Wege im Detail'!$P:$P)</f>
        <v>7.7</v>
      </c>
      <c r="S502" s="452" t="s">
        <v>752</v>
      </c>
      <c r="T502" s="453">
        <v>43922</v>
      </c>
      <c r="U502" s="448"/>
      <c r="W502" s="448"/>
    </row>
    <row r="503" spans="1:253" s="455" customFormat="1" ht="67.5" x14ac:dyDescent="0.2">
      <c r="A503" s="444">
        <v>9010</v>
      </c>
      <c r="B503" s="445" t="s">
        <v>84</v>
      </c>
      <c r="C503" s="445" t="s">
        <v>85</v>
      </c>
      <c r="D503" s="445"/>
      <c r="E503" s="445"/>
      <c r="F503" s="445"/>
      <c r="G503" s="446">
        <v>292</v>
      </c>
      <c r="H503" s="445" t="s">
        <v>753</v>
      </c>
      <c r="I503" s="445"/>
      <c r="J503" s="445"/>
      <c r="K503" s="447"/>
      <c r="L503" s="445" t="s">
        <v>147</v>
      </c>
      <c r="M503" s="445">
        <v>3</v>
      </c>
      <c r="N503" s="445" t="s">
        <v>466</v>
      </c>
      <c r="O503" s="449" t="s">
        <v>1560</v>
      </c>
      <c r="P503" s="450">
        <v>8.8879999999999999</v>
      </c>
      <c r="Q503" s="451">
        <f t="shared" si="14"/>
        <v>8.8879999999999999</v>
      </c>
      <c r="R503" s="451">
        <f>SUMIF('Wege im Detail'!$A:$A,"9010",'Wege im Detail'!$P:$P)</f>
        <v>8.8879999999999999</v>
      </c>
      <c r="S503" s="452" t="s">
        <v>754</v>
      </c>
      <c r="T503" s="453">
        <v>43922</v>
      </c>
      <c r="U503" s="448"/>
      <c r="V503" s="476"/>
      <c r="W503" s="448"/>
      <c r="X503" s="458"/>
      <c r="Y503" s="458"/>
      <c r="Z503" s="458"/>
      <c r="AA503" s="458"/>
      <c r="AB503" s="458"/>
      <c r="AC503" s="458"/>
      <c r="AD503" s="458"/>
      <c r="AE503" s="458"/>
      <c r="AF503" s="458"/>
      <c r="AG503" s="458"/>
      <c r="AH503" s="458"/>
      <c r="AI503" s="458"/>
      <c r="AJ503" s="458"/>
      <c r="AK503" s="458"/>
      <c r="AL503" s="458"/>
      <c r="AM503" s="458"/>
      <c r="AN503" s="458"/>
      <c r="AO503" s="458"/>
      <c r="AP503" s="458"/>
      <c r="AQ503" s="458"/>
      <c r="AR503" s="458"/>
      <c r="AS503" s="458"/>
      <c r="AT503" s="458"/>
      <c r="AU503" s="458"/>
      <c r="AV503" s="458"/>
      <c r="AW503" s="458"/>
      <c r="AX503" s="458"/>
      <c r="AY503" s="458"/>
      <c r="AZ503" s="458"/>
      <c r="BA503" s="458"/>
      <c r="BB503" s="458"/>
      <c r="BC503" s="458"/>
      <c r="BD503" s="458"/>
      <c r="BE503" s="458"/>
      <c r="BF503" s="458"/>
      <c r="BG503" s="458"/>
      <c r="BH503" s="458"/>
      <c r="BI503" s="458"/>
      <c r="BJ503" s="458"/>
      <c r="BK503" s="458"/>
      <c r="BL503" s="458"/>
      <c r="BM503" s="458"/>
      <c r="BN503" s="458"/>
      <c r="BO503" s="458"/>
      <c r="BP503" s="458"/>
      <c r="BQ503" s="458"/>
      <c r="BR503" s="458"/>
      <c r="BS503" s="458"/>
      <c r="BT503" s="458"/>
      <c r="BU503" s="458"/>
      <c r="BV503" s="458"/>
      <c r="BW503" s="458"/>
      <c r="BX503" s="458"/>
      <c r="BY503" s="458"/>
      <c r="BZ503" s="458"/>
      <c r="CA503" s="458"/>
      <c r="CB503" s="458"/>
      <c r="CC503" s="458"/>
      <c r="CD503" s="458"/>
      <c r="CE503" s="458"/>
      <c r="CF503" s="458"/>
      <c r="CG503" s="458"/>
      <c r="CH503" s="458"/>
      <c r="CI503" s="458"/>
      <c r="CJ503" s="458"/>
      <c r="CK503" s="458"/>
      <c r="CL503" s="458"/>
      <c r="CM503" s="458"/>
      <c r="CN503" s="458"/>
      <c r="CO503" s="458"/>
      <c r="CP503" s="458"/>
      <c r="CQ503" s="458"/>
      <c r="CR503" s="458"/>
      <c r="CS503" s="458"/>
      <c r="CT503" s="458"/>
      <c r="CU503" s="458"/>
      <c r="CV503" s="458"/>
      <c r="CW503" s="458"/>
      <c r="CX503" s="458"/>
      <c r="CY503" s="458"/>
      <c r="CZ503" s="458"/>
      <c r="DA503" s="458"/>
      <c r="DB503" s="458"/>
      <c r="DC503" s="458"/>
      <c r="DD503" s="458"/>
      <c r="DE503" s="458"/>
      <c r="DF503" s="458"/>
      <c r="DG503" s="458"/>
      <c r="DH503" s="458"/>
      <c r="DI503" s="458"/>
      <c r="DJ503" s="458"/>
      <c r="DK503" s="458"/>
      <c r="DL503" s="458"/>
      <c r="DM503" s="458"/>
      <c r="DN503" s="458"/>
      <c r="DO503" s="458"/>
      <c r="DP503" s="458"/>
      <c r="DQ503" s="458"/>
      <c r="DR503" s="458"/>
      <c r="DS503" s="458"/>
      <c r="DT503" s="458"/>
      <c r="DU503" s="458"/>
      <c r="DV503" s="458"/>
      <c r="DW503" s="458"/>
      <c r="DX503" s="458"/>
      <c r="DY503" s="458"/>
      <c r="DZ503" s="458"/>
      <c r="EA503" s="458"/>
      <c r="EB503" s="458"/>
      <c r="EC503" s="458"/>
      <c r="ED503" s="458"/>
      <c r="EE503" s="458"/>
      <c r="EF503" s="458"/>
      <c r="EG503" s="458"/>
      <c r="EH503" s="458"/>
      <c r="EI503" s="458"/>
      <c r="EJ503" s="458"/>
      <c r="EK503" s="458"/>
      <c r="EL503" s="458"/>
      <c r="EM503" s="458"/>
      <c r="EN503" s="458"/>
      <c r="EO503" s="458"/>
      <c r="EP503" s="458"/>
      <c r="EQ503" s="458"/>
      <c r="ER503" s="458"/>
      <c r="ES503" s="458"/>
      <c r="ET503" s="458"/>
      <c r="EU503" s="458"/>
      <c r="EV503" s="458"/>
      <c r="EW503" s="458"/>
      <c r="EX503" s="458"/>
      <c r="EY503" s="458"/>
      <c r="EZ503" s="458"/>
      <c r="FA503" s="458"/>
      <c r="FB503" s="458"/>
      <c r="FC503" s="458"/>
      <c r="FD503" s="458"/>
      <c r="FE503" s="458"/>
      <c r="FF503" s="458"/>
      <c r="FG503" s="458"/>
      <c r="FH503" s="458"/>
      <c r="FI503" s="458"/>
      <c r="FJ503" s="458"/>
      <c r="FK503" s="458"/>
      <c r="FL503" s="458"/>
      <c r="FM503" s="458"/>
      <c r="FN503" s="458"/>
      <c r="FO503" s="458"/>
      <c r="FP503" s="458"/>
      <c r="FQ503" s="458"/>
      <c r="FR503" s="458"/>
      <c r="FS503" s="458"/>
      <c r="FT503" s="458"/>
      <c r="FU503" s="458"/>
      <c r="FV503" s="458"/>
      <c r="FW503" s="458"/>
      <c r="FX503" s="458"/>
      <c r="FY503" s="458"/>
      <c r="FZ503" s="458"/>
      <c r="GA503" s="458"/>
      <c r="GB503" s="458"/>
      <c r="GC503" s="458"/>
      <c r="GD503" s="458"/>
      <c r="GE503" s="458"/>
      <c r="GF503" s="458"/>
      <c r="GG503" s="458"/>
      <c r="GH503" s="458"/>
      <c r="GI503" s="458"/>
      <c r="GJ503" s="458"/>
      <c r="GK503" s="458"/>
      <c r="GL503" s="458"/>
      <c r="GM503" s="458"/>
      <c r="GN503" s="458"/>
      <c r="GO503" s="458"/>
      <c r="GP503" s="458"/>
      <c r="GQ503" s="458"/>
      <c r="GR503" s="458"/>
      <c r="GS503" s="458"/>
      <c r="GT503" s="458"/>
      <c r="GU503" s="458"/>
      <c r="GV503" s="458"/>
      <c r="GW503" s="458"/>
      <c r="GX503" s="458"/>
      <c r="GY503" s="458"/>
      <c r="GZ503" s="458"/>
      <c r="HA503" s="458"/>
      <c r="HB503" s="458"/>
      <c r="HC503" s="458"/>
      <c r="HD503" s="458"/>
      <c r="HE503" s="458"/>
      <c r="HF503" s="458"/>
      <c r="HG503" s="458"/>
      <c r="HH503" s="458"/>
      <c r="HI503" s="458"/>
      <c r="HJ503" s="458"/>
      <c r="HK503" s="458"/>
      <c r="HL503" s="458"/>
      <c r="HM503" s="458"/>
      <c r="HN503" s="458"/>
      <c r="HO503" s="458"/>
      <c r="HP503" s="458"/>
      <c r="HQ503" s="458"/>
      <c r="HR503" s="458"/>
      <c r="HS503" s="458"/>
      <c r="HT503" s="458"/>
      <c r="HU503" s="458"/>
      <c r="HV503" s="458"/>
      <c r="HW503" s="458"/>
      <c r="HX503" s="458"/>
      <c r="HY503" s="458"/>
      <c r="HZ503" s="458"/>
      <c r="IA503" s="458"/>
      <c r="IB503" s="458"/>
      <c r="IC503" s="458"/>
      <c r="ID503" s="458"/>
      <c r="IE503" s="458"/>
      <c r="IF503" s="458"/>
      <c r="IG503" s="458"/>
      <c r="IH503" s="458"/>
      <c r="II503" s="458"/>
      <c r="IJ503" s="458"/>
      <c r="IK503" s="458"/>
      <c r="IL503" s="458"/>
      <c r="IM503" s="458"/>
      <c r="IN503" s="458"/>
      <c r="IO503" s="458"/>
      <c r="IP503" s="458"/>
      <c r="IQ503" s="458"/>
      <c r="IR503" s="458"/>
      <c r="IS503" s="458"/>
    </row>
    <row r="504" spans="1:253" s="455" customFormat="1" ht="67.5" x14ac:dyDescent="0.2">
      <c r="A504" s="444">
        <v>9011</v>
      </c>
      <c r="B504" s="445" t="s">
        <v>84</v>
      </c>
      <c r="C504" s="445" t="s">
        <v>85</v>
      </c>
      <c r="D504" s="445"/>
      <c r="E504" s="445"/>
      <c r="F504" s="445"/>
      <c r="G504" s="446">
        <v>291</v>
      </c>
      <c r="H504" s="445" t="s">
        <v>755</v>
      </c>
      <c r="I504" s="445"/>
      <c r="J504" s="445"/>
      <c r="K504" s="447"/>
      <c r="L504" s="445" t="s">
        <v>756</v>
      </c>
      <c r="M504" s="445">
        <v>3</v>
      </c>
      <c r="N504" s="445" t="s">
        <v>466</v>
      </c>
      <c r="O504" s="449" t="s">
        <v>1561</v>
      </c>
      <c r="P504" s="450">
        <v>7.0030000000000001</v>
      </c>
      <c r="Q504" s="451">
        <f t="shared" si="14"/>
        <v>7.0030000000000001</v>
      </c>
      <c r="R504" s="451">
        <f>SUMIF('Wege im Detail'!$A:$A,"9011",'Wege im Detail'!$P:$P)</f>
        <v>7.0030000000000001</v>
      </c>
      <c r="S504" s="452" t="s">
        <v>757</v>
      </c>
      <c r="T504" s="453">
        <v>43922</v>
      </c>
      <c r="U504" s="448"/>
      <c r="V504" s="476"/>
      <c r="W504" s="448"/>
      <c r="X504" s="458"/>
      <c r="Y504" s="458"/>
      <c r="Z504" s="458"/>
      <c r="AA504" s="458"/>
      <c r="AB504" s="458"/>
      <c r="AC504" s="458"/>
      <c r="AD504" s="458"/>
      <c r="AE504" s="458"/>
      <c r="AF504" s="458"/>
      <c r="AG504" s="458"/>
      <c r="AH504" s="458"/>
      <c r="AI504" s="458"/>
      <c r="AJ504" s="458"/>
      <c r="AK504" s="458"/>
      <c r="AL504" s="458"/>
      <c r="AM504" s="458"/>
      <c r="AN504" s="458"/>
      <c r="AO504" s="458"/>
      <c r="AP504" s="458"/>
      <c r="AQ504" s="458"/>
      <c r="AR504" s="458"/>
      <c r="AS504" s="458"/>
      <c r="AT504" s="458"/>
      <c r="AU504" s="458"/>
      <c r="AV504" s="458"/>
      <c r="AW504" s="458"/>
      <c r="AX504" s="458"/>
      <c r="AY504" s="458"/>
      <c r="AZ504" s="458"/>
      <c r="BA504" s="458"/>
      <c r="BB504" s="458"/>
      <c r="BC504" s="458"/>
      <c r="BD504" s="458"/>
      <c r="BE504" s="458"/>
      <c r="BF504" s="458"/>
      <c r="BG504" s="458"/>
      <c r="BH504" s="458"/>
      <c r="BI504" s="458"/>
      <c r="BJ504" s="458"/>
      <c r="BK504" s="458"/>
      <c r="BL504" s="458"/>
      <c r="BM504" s="458"/>
      <c r="BN504" s="458"/>
      <c r="BO504" s="458"/>
      <c r="BP504" s="458"/>
      <c r="BQ504" s="458"/>
      <c r="BR504" s="458"/>
      <c r="BS504" s="458"/>
      <c r="BT504" s="458"/>
      <c r="BU504" s="458"/>
      <c r="BV504" s="458"/>
      <c r="BW504" s="458"/>
      <c r="BX504" s="458"/>
      <c r="BY504" s="458"/>
      <c r="BZ504" s="458"/>
      <c r="CA504" s="458"/>
      <c r="CB504" s="458"/>
      <c r="CC504" s="458"/>
      <c r="CD504" s="458"/>
      <c r="CE504" s="458"/>
      <c r="CF504" s="458"/>
      <c r="CG504" s="458"/>
      <c r="CH504" s="458"/>
      <c r="CI504" s="458"/>
      <c r="CJ504" s="458"/>
      <c r="CK504" s="458"/>
      <c r="CL504" s="458"/>
      <c r="CM504" s="458"/>
      <c r="CN504" s="458"/>
      <c r="CO504" s="458"/>
      <c r="CP504" s="458"/>
      <c r="CQ504" s="458"/>
      <c r="CR504" s="458"/>
      <c r="CS504" s="458"/>
      <c r="CT504" s="458"/>
      <c r="CU504" s="458"/>
      <c r="CV504" s="458"/>
      <c r="CW504" s="458"/>
      <c r="CX504" s="458"/>
      <c r="CY504" s="458"/>
      <c r="CZ504" s="458"/>
      <c r="DA504" s="458"/>
      <c r="DB504" s="458"/>
      <c r="DC504" s="458"/>
      <c r="DD504" s="458"/>
      <c r="DE504" s="458"/>
      <c r="DF504" s="458"/>
      <c r="DG504" s="458"/>
      <c r="DH504" s="458"/>
      <c r="DI504" s="458"/>
      <c r="DJ504" s="458"/>
      <c r="DK504" s="458"/>
      <c r="DL504" s="458"/>
      <c r="DM504" s="458"/>
      <c r="DN504" s="458"/>
      <c r="DO504" s="458"/>
      <c r="DP504" s="458"/>
      <c r="DQ504" s="458"/>
      <c r="DR504" s="458"/>
      <c r="DS504" s="458"/>
      <c r="DT504" s="458"/>
      <c r="DU504" s="458"/>
      <c r="DV504" s="458"/>
      <c r="DW504" s="458"/>
      <c r="DX504" s="458"/>
      <c r="DY504" s="458"/>
      <c r="DZ504" s="458"/>
      <c r="EA504" s="458"/>
      <c r="EB504" s="458"/>
      <c r="EC504" s="458"/>
      <c r="ED504" s="458"/>
      <c r="EE504" s="458"/>
      <c r="EF504" s="458"/>
      <c r="EG504" s="458"/>
      <c r="EH504" s="458"/>
      <c r="EI504" s="458"/>
      <c r="EJ504" s="458"/>
      <c r="EK504" s="458"/>
      <c r="EL504" s="458"/>
      <c r="EM504" s="458"/>
      <c r="EN504" s="458"/>
      <c r="EO504" s="458"/>
      <c r="EP504" s="458"/>
      <c r="EQ504" s="458"/>
      <c r="ER504" s="458"/>
      <c r="ES504" s="458"/>
      <c r="ET504" s="458"/>
      <c r="EU504" s="458"/>
      <c r="EV504" s="458"/>
      <c r="EW504" s="458"/>
      <c r="EX504" s="458"/>
      <c r="EY504" s="458"/>
      <c r="EZ504" s="458"/>
      <c r="FA504" s="458"/>
      <c r="FB504" s="458"/>
      <c r="FC504" s="458"/>
      <c r="FD504" s="458"/>
      <c r="FE504" s="458"/>
      <c r="FF504" s="458"/>
      <c r="FG504" s="458"/>
      <c r="FH504" s="458"/>
      <c r="FI504" s="458"/>
      <c r="FJ504" s="458"/>
      <c r="FK504" s="458"/>
      <c r="FL504" s="458"/>
      <c r="FM504" s="458"/>
      <c r="FN504" s="458"/>
      <c r="FO504" s="458"/>
      <c r="FP504" s="458"/>
      <c r="FQ504" s="458"/>
      <c r="FR504" s="458"/>
      <c r="FS504" s="458"/>
      <c r="FT504" s="458"/>
      <c r="FU504" s="458"/>
      <c r="FV504" s="458"/>
      <c r="FW504" s="458"/>
      <c r="FX504" s="458"/>
      <c r="FY504" s="458"/>
      <c r="FZ504" s="458"/>
      <c r="GA504" s="458"/>
      <c r="GB504" s="458"/>
      <c r="GC504" s="458"/>
      <c r="GD504" s="458"/>
      <c r="GE504" s="458"/>
      <c r="GF504" s="458"/>
      <c r="GG504" s="458"/>
      <c r="GH504" s="458"/>
      <c r="GI504" s="458"/>
      <c r="GJ504" s="458"/>
      <c r="GK504" s="458"/>
      <c r="GL504" s="458"/>
      <c r="GM504" s="458"/>
      <c r="GN504" s="458"/>
      <c r="GO504" s="458"/>
      <c r="GP504" s="458"/>
      <c r="GQ504" s="458"/>
      <c r="GR504" s="458"/>
      <c r="GS504" s="458"/>
      <c r="GT504" s="458"/>
      <c r="GU504" s="458"/>
      <c r="GV504" s="458"/>
      <c r="GW504" s="458"/>
      <c r="GX504" s="458"/>
      <c r="GY504" s="458"/>
      <c r="GZ504" s="458"/>
      <c r="HA504" s="458"/>
      <c r="HB504" s="458"/>
      <c r="HC504" s="458"/>
      <c r="HD504" s="458"/>
      <c r="HE504" s="458"/>
      <c r="HF504" s="458"/>
      <c r="HG504" s="458"/>
      <c r="HH504" s="458"/>
      <c r="HI504" s="458"/>
      <c r="HJ504" s="458"/>
      <c r="HK504" s="458"/>
      <c r="HL504" s="458"/>
      <c r="HM504" s="458"/>
      <c r="HN504" s="458"/>
      <c r="HO504" s="458"/>
      <c r="HP504" s="458"/>
      <c r="HQ504" s="458"/>
      <c r="HR504" s="458"/>
      <c r="HS504" s="458"/>
      <c r="HT504" s="458"/>
      <c r="HU504" s="458"/>
      <c r="HV504" s="458"/>
      <c r="HW504" s="458"/>
      <c r="HX504" s="458"/>
      <c r="HY504" s="458"/>
      <c r="HZ504" s="458"/>
      <c r="IA504" s="458"/>
      <c r="IB504" s="458"/>
      <c r="IC504" s="458"/>
      <c r="ID504" s="458"/>
      <c r="IE504" s="458"/>
      <c r="IF504" s="458"/>
      <c r="IG504" s="458"/>
      <c r="IH504" s="458"/>
      <c r="II504" s="458"/>
      <c r="IJ504" s="458"/>
      <c r="IK504" s="458"/>
      <c r="IL504" s="458"/>
      <c r="IM504" s="458"/>
      <c r="IN504" s="458"/>
      <c r="IO504" s="458"/>
      <c r="IP504" s="458"/>
      <c r="IQ504" s="458"/>
      <c r="IR504" s="458"/>
      <c r="IS504" s="458"/>
    </row>
    <row r="505" spans="1:253" s="458" customFormat="1" ht="56.25" x14ac:dyDescent="0.2">
      <c r="A505" s="444">
        <v>10503</v>
      </c>
      <c r="B505" s="445" t="s">
        <v>51</v>
      </c>
      <c r="C505" s="445" t="s">
        <v>52</v>
      </c>
      <c r="D505" s="445"/>
      <c r="E505" s="445"/>
      <c r="F505" s="479"/>
      <c r="G505" s="446">
        <v>151</v>
      </c>
      <c r="H505" s="445">
        <v>610</v>
      </c>
      <c r="I505" s="445"/>
      <c r="J505" s="445" t="s">
        <v>158</v>
      </c>
      <c r="K505" s="447"/>
      <c r="L505" s="445" t="s">
        <v>759</v>
      </c>
      <c r="M505" s="445">
        <v>3</v>
      </c>
      <c r="N505" s="445" t="s">
        <v>226</v>
      </c>
      <c r="O505" s="464" t="s">
        <v>1562</v>
      </c>
      <c r="P505" s="450">
        <v>31.866</v>
      </c>
      <c r="Q505" s="451">
        <f t="shared" si="14"/>
        <v>31.866</v>
      </c>
      <c r="R505" s="451">
        <f>SUMIF('Wege im Detail'!$A:$A,"10503",'Wege im Detail'!$P:$P)</f>
        <v>31.866</v>
      </c>
      <c r="S505" s="452" t="s">
        <v>1563</v>
      </c>
      <c r="T505" s="453">
        <v>44528</v>
      </c>
      <c r="U505" s="534"/>
      <c r="V505" s="466"/>
      <c r="W505" s="534"/>
    </row>
    <row r="506" spans="1:253" s="458" customFormat="1" ht="45" x14ac:dyDescent="0.2">
      <c r="A506" s="444">
        <v>10903</v>
      </c>
      <c r="B506" s="445" t="s">
        <v>84</v>
      </c>
      <c r="C506" s="445" t="s">
        <v>85</v>
      </c>
      <c r="D506" s="445"/>
      <c r="E506" s="445"/>
      <c r="F506" s="445"/>
      <c r="G506" s="446">
        <v>291</v>
      </c>
      <c r="H506" s="445" t="s">
        <v>764</v>
      </c>
      <c r="I506" s="445"/>
      <c r="J506" s="445"/>
      <c r="K506" s="447"/>
      <c r="L506" s="445" t="s">
        <v>142</v>
      </c>
      <c r="M506" s="445">
        <v>4</v>
      </c>
      <c r="N506" s="445" t="s">
        <v>389</v>
      </c>
      <c r="O506" s="449" t="s">
        <v>1564</v>
      </c>
      <c r="P506" s="450">
        <v>8.9909999999999997</v>
      </c>
      <c r="Q506" s="451">
        <f t="shared" si="14"/>
        <v>8.9909999999999997</v>
      </c>
      <c r="R506" s="451">
        <f>SUMIF('Wege im Detail'!$A:$A,"10903",'Wege im Detail'!$P:$P)</f>
        <v>8.9909999999999997</v>
      </c>
      <c r="S506" s="452" t="s">
        <v>765</v>
      </c>
      <c r="T506" s="453">
        <v>43922</v>
      </c>
      <c r="U506" s="448"/>
      <c r="W506" s="448"/>
    </row>
    <row r="507" spans="1:253" s="458" customFormat="1" ht="45" customHeight="1" x14ac:dyDescent="0.2">
      <c r="A507" s="438">
        <v>11739</v>
      </c>
      <c r="B507" s="445" t="s">
        <v>51</v>
      </c>
      <c r="C507" s="445" t="s">
        <v>52</v>
      </c>
      <c r="D507" s="445"/>
      <c r="E507" s="445" t="s">
        <v>286</v>
      </c>
      <c r="F507" s="470"/>
      <c r="G507" s="445" t="s">
        <v>1565</v>
      </c>
      <c r="H507" s="445">
        <v>500</v>
      </c>
      <c r="I507" s="445"/>
      <c r="J507" s="445">
        <v>1</v>
      </c>
      <c r="K507" s="447">
        <v>30</v>
      </c>
      <c r="L507" s="445" t="s">
        <v>767</v>
      </c>
      <c r="M507" s="445">
        <v>4</v>
      </c>
      <c r="N507" s="445" t="s">
        <v>56</v>
      </c>
      <c r="O507" s="461" t="s">
        <v>1566</v>
      </c>
      <c r="P507" s="450">
        <v>9.2889999999999997</v>
      </c>
      <c r="Q507" s="451">
        <f t="shared" si="14"/>
        <v>9.2889999999999997</v>
      </c>
      <c r="R507" s="451">
        <f>SUMIF('Wege im Detail'!$A:$A,"11739",'Wege im Detail'!$P:$P)</f>
        <v>225.90599999999998</v>
      </c>
      <c r="S507" s="452" t="s">
        <v>1567</v>
      </c>
      <c r="T507" s="453">
        <v>44317</v>
      </c>
      <c r="U507" s="537" t="s">
        <v>1568</v>
      </c>
      <c r="V507" s="458" t="s">
        <v>1569</v>
      </c>
      <c r="W507" s="462"/>
    </row>
    <row r="508" spans="1:253" s="458" customFormat="1" ht="45" customHeight="1" x14ac:dyDescent="0.25">
      <c r="A508" s="444">
        <v>11739</v>
      </c>
      <c r="B508" s="445" t="s">
        <v>51</v>
      </c>
      <c r="C508" s="445" t="s">
        <v>52</v>
      </c>
      <c r="D508" s="445"/>
      <c r="E508" s="445" t="s">
        <v>286</v>
      </c>
      <c r="F508" s="470"/>
      <c r="G508" s="445" t="s">
        <v>1565</v>
      </c>
      <c r="H508" s="445">
        <v>500</v>
      </c>
      <c r="I508" s="445"/>
      <c r="J508" s="495">
        <v>2</v>
      </c>
      <c r="K508" s="447">
        <v>30</v>
      </c>
      <c r="L508" s="445" t="s">
        <v>767</v>
      </c>
      <c r="M508" s="445">
        <v>4</v>
      </c>
      <c r="N508" s="445" t="s">
        <v>118</v>
      </c>
      <c r="O508" s="461" t="s">
        <v>1570</v>
      </c>
      <c r="P508" s="450">
        <v>8.6890000000000001</v>
      </c>
      <c r="Q508" s="451">
        <f t="shared" si="14"/>
        <v>8.6890000000000001</v>
      </c>
      <c r="R508" s="451">
        <f>SUMIF('Wege im Detail'!$A:$A,"11739",'Wege im Detail'!$P:$P)</f>
        <v>225.90599999999998</v>
      </c>
      <c r="S508" s="452" t="s">
        <v>1567</v>
      </c>
      <c r="T508" s="453">
        <v>43952</v>
      </c>
      <c r="U508" s="448"/>
      <c r="V508" s="490"/>
      <c r="W508" s="448"/>
    </row>
    <row r="509" spans="1:253" s="458" customFormat="1" ht="39" customHeight="1" x14ac:dyDescent="0.2">
      <c r="A509" s="444">
        <v>11739</v>
      </c>
      <c r="B509" s="445" t="s">
        <v>51</v>
      </c>
      <c r="C509" s="445" t="s">
        <v>52</v>
      </c>
      <c r="D509" s="445"/>
      <c r="E509" s="445" t="s">
        <v>286</v>
      </c>
      <c r="F509" s="470"/>
      <c r="G509" s="445" t="s">
        <v>1565</v>
      </c>
      <c r="H509" s="445">
        <v>500</v>
      </c>
      <c r="I509" s="445"/>
      <c r="J509" s="495">
        <v>3</v>
      </c>
      <c r="K509" s="447">
        <v>30</v>
      </c>
      <c r="L509" s="445" t="s">
        <v>767</v>
      </c>
      <c r="M509" s="445">
        <v>4</v>
      </c>
      <c r="N509" s="445" t="s">
        <v>56</v>
      </c>
      <c r="O509" s="461" t="s">
        <v>1571</v>
      </c>
      <c r="P509" s="450">
        <v>3.05</v>
      </c>
      <c r="Q509" s="451">
        <f t="shared" si="14"/>
        <v>3.05</v>
      </c>
      <c r="R509" s="451">
        <f>SUMIF('Wege im Detail'!$A:$A,"11739",'Wege im Detail'!$P:$P)</f>
        <v>225.90599999999998</v>
      </c>
      <c r="S509" s="452" t="s">
        <v>1567</v>
      </c>
      <c r="T509" s="453">
        <v>42887</v>
      </c>
      <c r="U509" s="448"/>
      <c r="W509" s="448"/>
    </row>
    <row r="510" spans="1:253" s="458" customFormat="1" ht="33.75" x14ac:dyDescent="0.2">
      <c r="A510" s="444">
        <v>11739</v>
      </c>
      <c r="B510" s="445" t="s">
        <v>51</v>
      </c>
      <c r="C510" s="445" t="s">
        <v>52</v>
      </c>
      <c r="D510" s="445"/>
      <c r="E510" s="445" t="s">
        <v>286</v>
      </c>
      <c r="F510" s="470"/>
      <c r="G510" s="445" t="s">
        <v>1565</v>
      </c>
      <c r="H510" s="445">
        <v>500</v>
      </c>
      <c r="I510" s="445"/>
      <c r="J510" s="445">
        <v>4</v>
      </c>
      <c r="K510" s="447">
        <v>30</v>
      </c>
      <c r="L510" s="445" t="s">
        <v>767</v>
      </c>
      <c r="M510" s="445">
        <v>5</v>
      </c>
      <c r="N510" s="445" t="s">
        <v>111</v>
      </c>
      <c r="O510" s="461" t="s">
        <v>1572</v>
      </c>
      <c r="P510" s="450">
        <v>2.8140000000000001</v>
      </c>
      <c r="Q510" s="451">
        <f t="shared" si="14"/>
        <v>2.8140000000000001</v>
      </c>
      <c r="R510" s="451">
        <f>SUMIF('Wege im Detail'!$A:$A,"11739",'Wege im Detail'!$P:$P)</f>
        <v>225.90599999999998</v>
      </c>
      <c r="S510" s="452" t="s">
        <v>1567</v>
      </c>
      <c r="T510" s="453">
        <v>42887</v>
      </c>
      <c r="U510" s="448"/>
      <c r="W510" s="448"/>
    </row>
    <row r="511" spans="1:253" s="458" customFormat="1" ht="45" x14ac:dyDescent="0.2">
      <c r="A511" s="444">
        <v>11739</v>
      </c>
      <c r="B511" s="445" t="s">
        <v>51</v>
      </c>
      <c r="C511" s="445" t="s">
        <v>52</v>
      </c>
      <c r="D511" s="445"/>
      <c r="E511" s="445" t="s">
        <v>286</v>
      </c>
      <c r="F511" s="470"/>
      <c r="G511" s="445" t="s">
        <v>1565</v>
      </c>
      <c r="H511" s="445">
        <v>500</v>
      </c>
      <c r="I511" s="445"/>
      <c r="J511" s="445">
        <v>5</v>
      </c>
      <c r="K511" s="447">
        <v>30</v>
      </c>
      <c r="L511" s="445" t="s">
        <v>767</v>
      </c>
      <c r="M511" s="445">
        <v>5</v>
      </c>
      <c r="N511" s="445" t="s">
        <v>143</v>
      </c>
      <c r="O511" s="461" t="s">
        <v>1573</v>
      </c>
      <c r="P511" s="450">
        <v>7.093</v>
      </c>
      <c r="Q511" s="451">
        <f t="shared" si="14"/>
        <v>7.093</v>
      </c>
      <c r="R511" s="451">
        <f>SUMIF('Wege im Detail'!$A:$A,"11739",'Wege im Detail'!$P:$P)</f>
        <v>225.90599999999998</v>
      </c>
      <c r="S511" s="452" t="s">
        <v>1567</v>
      </c>
      <c r="T511" s="453">
        <v>42887</v>
      </c>
      <c r="U511" s="448"/>
      <c r="W511" s="448"/>
    </row>
    <row r="512" spans="1:253" s="458" customFormat="1" ht="45" x14ac:dyDescent="0.2">
      <c r="A512" s="444">
        <v>11739</v>
      </c>
      <c r="B512" s="445" t="s">
        <v>51</v>
      </c>
      <c r="C512" s="445" t="s">
        <v>52</v>
      </c>
      <c r="D512" s="445"/>
      <c r="E512" s="445" t="s">
        <v>286</v>
      </c>
      <c r="F512" s="470"/>
      <c r="G512" s="445" t="s">
        <v>1565</v>
      </c>
      <c r="H512" s="445">
        <v>500</v>
      </c>
      <c r="I512" s="445"/>
      <c r="J512" s="445">
        <v>6</v>
      </c>
      <c r="K512" s="447">
        <v>30</v>
      </c>
      <c r="L512" s="445" t="s">
        <v>767</v>
      </c>
      <c r="M512" s="445">
        <v>5</v>
      </c>
      <c r="N512" s="445" t="s">
        <v>1004</v>
      </c>
      <c r="O512" s="449" t="s">
        <v>1574</v>
      </c>
      <c r="P512" s="450">
        <v>9.4529999999999994</v>
      </c>
      <c r="Q512" s="451">
        <f t="shared" si="14"/>
        <v>9.4529999999999994</v>
      </c>
      <c r="R512" s="451">
        <f>SUMIF('Wege im Detail'!$A:$A,"11739",'Wege im Detail'!$P:$P)</f>
        <v>225.90599999999998</v>
      </c>
      <c r="S512" s="452" t="s">
        <v>1567</v>
      </c>
      <c r="T512" s="453">
        <v>42887</v>
      </c>
      <c r="U512" s="448"/>
      <c r="W512" s="448"/>
      <c r="X512" s="455"/>
      <c r="Y512" s="455"/>
      <c r="Z512" s="455"/>
      <c r="AA512" s="455"/>
      <c r="AB512" s="455"/>
      <c r="AC512" s="455"/>
      <c r="AD512" s="455"/>
      <c r="AE512" s="455"/>
      <c r="AF512" s="455"/>
      <c r="AG512" s="455"/>
      <c r="AH512" s="455"/>
      <c r="AI512" s="455"/>
      <c r="AJ512" s="455"/>
      <c r="AK512" s="455"/>
      <c r="AL512" s="455"/>
      <c r="AM512" s="455"/>
      <c r="AN512" s="455"/>
      <c r="AO512" s="455"/>
      <c r="AP512" s="455"/>
      <c r="AQ512" s="455"/>
      <c r="AR512" s="455"/>
      <c r="AS512" s="455"/>
      <c r="AT512" s="455"/>
      <c r="AU512" s="455"/>
      <c r="AV512" s="455"/>
      <c r="AW512" s="455"/>
      <c r="AX512" s="455"/>
      <c r="AY512" s="455"/>
      <c r="AZ512" s="455"/>
      <c r="BA512" s="455"/>
      <c r="BB512" s="455"/>
      <c r="BC512" s="455"/>
      <c r="BD512" s="455"/>
      <c r="BE512" s="455"/>
      <c r="BF512" s="455"/>
      <c r="BG512" s="455"/>
      <c r="BH512" s="455"/>
      <c r="BI512" s="455"/>
      <c r="BJ512" s="455"/>
      <c r="BK512" s="455"/>
      <c r="BL512" s="455"/>
      <c r="BM512" s="455"/>
      <c r="BN512" s="455"/>
      <c r="BO512" s="455"/>
      <c r="BP512" s="455"/>
      <c r="BQ512" s="455"/>
      <c r="BR512" s="455"/>
      <c r="BS512" s="455"/>
      <c r="BT512" s="455"/>
      <c r="BU512" s="455"/>
      <c r="BV512" s="455"/>
      <c r="BW512" s="455"/>
      <c r="BX512" s="455"/>
      <c r="BY512" s="455"/>
      <c r="BZ512" s="455"/>
      <c r="CA512" s="455"/>
      <c r="CB512" s="455"/>
      <c r="CC512" s="455"/>
      <c r="CD512" s="455"/>
      <c r="CE512" s="455"/>
      <c r="CF512" s="455"/>
      <c r="CG512" s="455"/>
      <c r="CH512" s="455"/>
      <c r="CI512" s="455"/>
      <c r="CJ512" s="455"/>
      <c r="CK512" s="455"/>
      <c r="CL512" s="455"/>
      <c r="CM512" s="455"/>
      <c r="CN512" s="455"/>
      <c r="CO512" s="455"/>
      <c r="CP512" s="455"/>
      <c r="CQ512" s="455"/>
      <c r="CR512" s="455"/>
      <c r="CS512" s="455"/>
      <c r="CT512" s="455"/>
      <c r="CU512" s="455"/>
      <c r="CV512" s="455"/>
      <c r="CW512" s="455"/>
      <c r="CX512" s="455"/>
      <c r="CY512" s="455"/>
      <c r="CZ512" s="455"/>
      <c r="DA512" s="455"/>
      <c r="DB512" s="455"/>
      <c r="DC512" s="455"/>
      <c r="DD512" s="455"/>
      <c r="DE512" s="455"/>
      <c r="DF512" s="455"/>
      <c r="DG512" s="455"/>
      <c r="DH512" s="455"/>
      <c r="DI512" s="455"/>
      <c r="DJ512" s="455"/>
      <c r="DK512" s="455"/>
      <c r="DL512" s="455"/>
      <c r="DM512" s="455"/>
      <c r="DN512" s="455"/>
      <c r="DO512" s="455"/>
      <c r="DP512" s="455"/>
      <c r="DQ512" s="455"/>
      <c r="DR512" s="455"/>
      <c r="DS512" s="455"/>
      <c r="DT512" s="455"/>
      <c r="DU512" s="455"/>
      <c r="DV512" s="455"/>
      <c r="DW512" s="455"/>
      <c r="DX512" s="455"/>
      <c r="DY512" s="455"/>
      <c r="DZ512" s="455"/>
      <c r="EA512" s="455"/>
      <c r="EB512" s="455"/>
      <c r="EC512" s="455"/>
      <c r="ED512" s="455"/>
      <c r="EE512" s="455"/>
      <c r="EF512" s="455"/>
      <c r="EG512" s="455"/>
      <c r="EH512" s="455"/>
      <c r="EI512" s="455"/>
      <c r="EJ512" s="455"/>
      <c r="EK512" s="455"/>
      <c r="EL512" s="455"/>
      <c r="EM512" s="455"/>
      <c r="EN512" s="455"/>
      <c r="EO512" s="455"/>
      <c r="EP512" s="455"/>
      <c r="EQ512" s="455"/>
      <c r="ER512" s="455"/>
      <c r="ES512" s="455"/>
      <c r="ET512" s="455"/>
      <c r="EU512" s="455"/>
      <c r="EV512" s="455"/>
      <c r="EW512" s="455"/>
      <c r="EX512" s="455"/>
      <c r="EY512" s="455"/>
      <c r="EZ512" s="455"/>
      <c r="FA512" s="455"/>
      <c r="FB512" s="455"/>
      <c r="FC512" s="455"/>
      <c r="FD512" s="455"/>
      <c r="FE512" s="455"/>
      <c r="FF512" s="455"/>
      <c r="FG512" s="455"/>
      <c r="FH512" s="455"/>
      <c r="FI512" s="455"/>
      <c r="FJ512" s="455"/>
      <c r="FK512" s="455"/>
      <c r="FL512" s="455"/>
      <c r="FM512" s="455"/>
      <c r="FN512" s="455"/>
      <c r="FO512" s="455"/>
      <c r="FP512" s="455"/>
      <c r="FQ512" s="455"/>
      <c r="FR512" s="455"/>
      <c r="FS512" s="455"/>
      <c r="FT512" s="455"/>
      <c r="FU512" s="455"/>
      <c r="FV512" s="455"/>
      <c r="FW512" s="455"/>
      <c r="FX512" s="455"/>
      <c r="FY512" s="455"/>
      <c r="FZ512" s="455"/>
      <c r="GA512" s="455"/>
      <c r="GB512" s="455"/>
      <c r="GC512" s="455"/>
      <c r="GD512" s="455"/>
      <c r="GE512" s="455"/>
      <c r="GF512" s="455"/>
      <c r="GG512" s="455"/>
      <c r="GH512" s="455"/>
      <c r="GI512" s="455"/>
      <c r="GJ512" s="455"/>
      <c r="GK512" s="455"/>
      <c r="GL512" s="455"/>
      <c r="GM512" s="455"/>
      <c r="GN512" s="455"/>
      <c r="GO512" s="455"/>
      <c r="GP512" s="455"/>
      <c r="GQ512" s="455"/>
      <c r="GR512" s="455"/>
      <c r="GS512" s="455"/>
      <c r="GT512" s="455"/>
      <c r="GU512" s="455"/>
      <c r="GV512" s="455"/>
      <c r="GW512" s="455"/>
      <c r="GX512" s="455"/>
      <c r="GY512" s="455"/>
      <c r="GZ512" s="455"/>
      <c r="HA512" s="455"/>
      <c r="HB512" s="455"/>
      <c r="HC512" s="455"/>
      <c r="HD512" s="455"/>
      <c r="HE512" s="455"/>
      <c r="HF512" s="455"/>
      <c r="HG512" s="455"/>
      <c r="HH512" s="455"/>
      <c r="HI512" s="455"/>
      <c r="HJ512" s="455"/>
      <c r="HK512" s="455"/>
      <c r="HL512" s="455"/>
      <c r="HM512" s="455"/>
      <c r="HN512" s="455"/>
      <c r="HO512" s="455"/>
      <c r="HP512" s="455"/>
      <c r="HQ512" s="455"/>
      <c r="HR512" s="455"/>
      <c r="HS512" s="455"/>
      <c r="HT512" s="455"/>
      <c r="HU512" s="455"/>
      <c r="HV512" s="455"/>
      <c r="HW512" s="455"/>
      <c r="HX512" s="455"/>
      <c r="HY512" s="455"/>
      <c r="HZ512" s="455"/>
      <c r="IA512" s="455"/>
      <c r="IB512" s="455"/>
      <c r="IC512" s="455"/>
      <c r="ID512" s="455"/>
      <c r="IE512" s="455"/>
      <c r="IF512" s="455"/>
      <c r="IG512" s="455"/>
      <c r="IH512" s="455"/>
      <c r="II512" s="455"/>
      <c r="IJ512" s="455"/>
      <c r="IK512" s="455"/>
      <c r="IL512" s="455"/>
      <c r="IM512" s="455"/>
      <c r="IN512" s="455"/>
      <c r="IO512" s="455"/>
      <c r="IP512" s="455"/>
      <c r="IQ512" s="455"/>
      <c r="IR512" s="455"/>
      <c r="IS512" s="455"/>
    </row>
    <row r="513" spans="1:253" s="458" customFormat="1" ht="56.25" x14ac:dyDescent="0.2">
      <c r="A513" s="444">
        <v>11739</v>
      </c>
      <c r="B513" s="445" t="s">
        <v>51</v>
      </c>
      <c r="C513" s="445" t="s">
        <v>52</v>
      </c>
      <c r="D513" s="445"/>
      <c r="E513" s="445" t="s">
        <v>286</v>
      </c>
      <c r="F513" s="470"/>
      <c r="G513" s="445" t="s">
        <v>1565</v>
      </c>
      <c r="H513" s="445">
        <v>500</v>
      </c>
      <c r="I513" s="445"/>
      <c r="J513" s="445">
        <v>7</v>
      </c>
      <c r="K513" s="447">
        <v>30</v>
      </c>
      <c r="L513" s="445" t="s">
        <v>767</v>
      </c>
      <c r="M513" s="445">
        <v>5</v>
      </c>
      <c r="N513" s="445" t="s">
        <v>164</v>
      </c>
      <c r="O513" s="461" t="s">
        <v>1575</v>
      </c>
      <c r="P513" s="450">
        <v>7.6529999999999996</v>
      </c>
      <c r="Q513" s="451">
        <f t="shared" si="14"/>
        <v>7.6529999999999996</v>
      </c>
      <c r="R513" s="451">
        <f>SUMIF('Wege im Detail'!$A:$A,"11739",'Wege im Detail'!$P:$P)</f>
        <v>225.90599999999998</v>
      </c>
      <c r="S513" s="452" t="s">
        <v>1567</v>
      </c>
      <c r="T513" s="453">
        <v>42887</v>
      </c>
      <c r="U513" s="448"/>
      <c r="W513" s="448"/>
    </row>
    <row r="514" spans="1:253" s="458" customFormat="1" ht="45" x14ac:dyDescent="0.2">
      <c r="A514" s="444">
        <v>11739</v>
      </c>
      <c r="B514" s="445" t="s">
        <v>51</v>
      </c>
      <c r="C514" s="445" t="s">
        <v>52</v>
      </c>
      <c r="D514" s="445"/>
      <c r="E514" s="445" t="s">
        <v>286</v>
      </c>
      <c r="F514" s="470"/>
      <c r="G514" s="445" t="s">
        <v>1565</v>
      </c>
      <c r="H514" s="445">
        <v>500</v>
      </c>
      <c r="I514" s="445"/>
      <c r="J514" s="445">
        <v>8</v>
      </c>
      <c r="K514" s="447">
        <v>30</v>
      </c>
      <c r="L514" s="445" t="s">
        <v>767</v>
      </c>
      <c r="M514" s="445">
        <v>1</v>
      </c>
      <c r="N514" s="445" t="s">
        <v>126</v>
      </c>
      <c r="O514" s="461" t="s">
        <v>1576</v>
      </c>
      <c r="P514" s="450">
        <v>5.6189999999999998</v>
      </c>
      <c r="Q514" s="451">
        <f t="shared" si="14"/>
        <v>5.6189999999999998</v>
      </c>
      <c r="R514" s="451">
        <f>SUMIF('Wege im Detail'!$A:$A,"11739",'Wege im Detail'!$P:$P)</f>
        <v>225.90599999999998</v>
      </c>
      <c r="S514" s="452" t="s">
        <v>1567</v>
      </c>
      <c r="T514" s="453">
        <v>42887</v>
      </c>
      <c r="U514" s="448"/>
      <c r="W514" s="448"/>
    </row>
    <row r="515" spans="1:253" s="458" customFormat="1" ht="33.75" x14ac:dyDescent="0.2">
      <c r="A515" s="444">
        <v>11739</v>
      </c>
      <c r="B515" s="445" t="s">
        <v>51</v>
      </c>
      <c r="C515" s="445" t="s">
        <v>52</v>
      </c>
      <c r="D515" s="445"/>
      <c r="E515" s="445" t="s">
        <v>286</v>
      </c>
      <c r="F515" s="470"/>
      <c r="G515" s="445" t="s">
        <v>1565</v>
      </c>
      <c r="H515" s="445">
        <v>500</v>
      </c>
      <c r="I515" s="445"/>
      <c r="J515" s="445">
        <v>9</v>
      </c>
      <c r="K515" s="447">
        <v>30</v>
      </c>
      <c r="L515" s="445" t="s">
        <v>767</v>
      </c>
      <c r="M515" s="445">
        <v>1</v>
      </c>
      <c r="N515" s="445" t="s">
        <v>436</v>
      </c>
      <c r="O515" s="461" t="s">
        <v>1577</v>
      </c>
      <c r="P515" s="450">
        <v>5.2590000000000003</v>
      </c>
      <c r="Q515" s="451">
        <f t="shared" si="14"/>
        <v>5.2590000000000003</v>
      </c>
      <c r="R515" s="451">
        <f>SUMIF('Wege im Detail'!$A:$A,"11739",'Wege im Detail'!$P:$P)</f>
        <v>225.90599999999998</v>
      </c>
      <c r="S515" s="452" t="s">
        <v>1567</v>
      </c>
      <c r="T515" s="453">
        <v>42887</v>
      </c>
      <c r="U515" s="448"/>
      <c r="W515" s="448"/>
      <c r="X515" s="455"/>
      <c r="Y515" s="455"/>
      <c r="Z515" s="455"/>
      <c r="AA515" s="455"/>
      <c r="AB515" s="455"/>
      <c r="AC515" s="455"/>
      <c r="AD515" s="455"/>
      <c r="AE515" s="455"/>
      <c r="AF515" s="455"/>
      <c r="AG515" s="455"/>
      <c r="AH515" s="455"/>
      <c r="AI515" s="455"/>
      <c r="AJ515" s="455"/>
      <c r="AK515" s="455"/>
      <c r="AL515" s="455"/>
      <c r="AM515" s="455"/>
      <c r="AN515" s="455"/>
      <c r="AO515" s="455"/>
      <c r="AP515" s="455"/>
      <c r="AQ515" s="455"/>
      <c r="AR515" s="455"/>
      <c r="AS515" s="455"/>
      <c r="AT515" s="455"/>
      <c r="AU515" s="455"/>
      <c r="AV515" s="455"/>
      <c r="AW515" s="455"/>
      <c r="AX515" s="455"/>
      <c r="AY515" s="455"/>
      <c r="AZ515" s="455"/>
      <c r="BA515" s="455"/>
      <c r="BB515" s="455"/>
      <c r="BC515" s="455"/>
      <c r="BD515" s="455"/>
      <c r="BE515" s="455"/>
      <c r="BF515" s="455"/>
      <c r="BG515" s="455"/>
      <c r="BH515" s="455"/>
      <c r="BI515" s="455"/>
      <c r="BJ515" s="455"/>
      <c r="BK515" s="455"/>
      <c r="BL515" s="455"/>
      <c r="BM515" s="455"/>
      <c r="BN515" s="455"/>
      <c r="BO515" s="455"/>
      <c r="BP515" s="455"/>
      <c r="BQ515" s="455"/>
      <c r="BR515" s="455"/>
      <c r="BS515" s="455"/>
      <c r="BT515" s="455"/>
      <c r="BU515" s="455"/>
      <c r="BV515" s="455"/>
      <c r="BW515" s="455"/>
      <c r="BX515" s="455"/>
      <c r="BY515" s="455"/>
      <c r="BZ515" s="455"/>
      <c r="CA515" s="455"/>
      <c r="CB515" s="455"/>
      <c r="CC515" s="455"/>
      <c r="CD515" s="455"/>
      <c r="CE515" s="455"/>
      <c r="CF515" s="455"/>
      <c r="CG515" s="455"/>
      <c r="CH515" s="455"/>
      <c r="CI515" s="455"/>
      <c r="CJ515" s="455"/>
      <c r="CK515" s="455"/>
      <c r="CL515" s="455"/>
      <c r="CM515" s="455"/>
      <c r="CN515" s="455"/>
      <c r="CO515" s="455"/>
      <c r="CP515" s="455"/>
      <c r="CQ515" s="455"/>
      <c r="CR515" s="455"/>
      <c r="CS515" s="455"/>
      <c r="CT515" s="455"/>
      <c r="CU515" s="455"/>
      <c r="CV515" s="455"/>
      <c r="CW515" s="455"/>
      <c r="CX515" s="455"/>
      <c r="CY515" s="455"/>
      <c r="CZ515" s="455"/>
      <c r="DA515" s="455"/>
      <c r="DB515" s="455"/>
      <c r="DC515" s="455"/>
      <c r="DD515" s="455"/>
      <c r="DE515" s="455"/>
      <c r="DF515" s="455"/>
      <c r="DG515" s="455"/>
      <c r="DH515" s="455"/>
      <c r="DI515" s="455"/>
      <c r="DJ515" s="455"/>
      <c r="DK515" s="455"/>
      <c r="DL515" s="455"/>
      <c r="DM515" s="455"/>
      <c r="DN515" s="455"/>
      <c r="DO515" s="455"/>
      <c r="DP515" s="455"/>
      <c r="DQ515" s="455"/>
      <c r="DR515" s="455"/>
      <c r="DS515" s="455"/>
      <c r="DT515" s="455"/>
      <c r="DU515" s="455"/>
      <c r="DV515" s="455"/>
      <c r="DW515" s="455"/>
      <c r="DX515" s="455"/>
      <c r="DY515" s="455"/>
      <c r="DZ515" s="455"/>
      <c r="EA515" s="455"/>
      <c r="EB515" s="455"/>
      <c r="EC515" s="455"/>
      <c r="ED515" s="455"/>
      <c r="EE515" s="455"/>
      <c r="EF515" s="455"/>
      <c r="EG515" s="455"/>
      <c r="EH515" s="455"/>
      <c r="EI515" s="455"/>
      <c r="EJ515" s="455"/>
      <c r="EK515" s="455"/>
      <c r="EL515" s="455"/>
      <c r="EM515" s="455"/>
      <c r="EN515" s="455"/>
      <c r="EO515" s="455"/>
      <c r="EP515" s="455"/>
      <c r="EQ515" s="455"/>
      <c r="ER515" s="455"/>
      <c r="ES515" s="455"/>
      <c r="ET515" s="455"/>
      <c r="EU515" s="455"/>
      <c r="EV515" s="455"/>
      <c r="EW515" s="455"/>
      <c r="EX515" s="455"/>
      <c r="EY515" s="455"/>
      <c r="EZ515" s="455"/>
      <c r="FA515" s="455"/>
      <c r="FB515" s="455"/>
      <c r="FC515" s="455"/>
      <c r="FD515" s="455"/>
      <c r="FE515" s="455"/>
      <c r="FF515" s="455"/>
      <c r="FG515" s="455"/>
      <c r="FH515" s="455"/>
      <c r="FI515" s="455"/>
      <c r="FJ515" s="455"/>
      <c r="FK515" s="455"/>
      <c r="FL515" s="455"/>
      <c r="FM515" s="455"/>
      <c r="FN515" s="455"/>
      <c r="FO515" s="455"/>
      <c r="FP515" s="455"/>
      <c r="FQ515" s="455"/>
      <c r="FR515" s="455"/>
      <c r="FS515" s="455"/>
      <c r="FT515" s="455"/>
      <c r="FU515" s="455"/>
      <c r="FV515" s="455"/>
      <c r="FW515" s="455"/>
      <c r="FX515" s="455"/>
      <c r="FY515" s="455"/>
      <c r="FZ515" s="455"/>
      <c r="GA515" s="455"/>
      <c r="GB515" s="455"/>
      <c r="GC515" s="455"/>
      <c r="GD515" s="455"/>
      <c r="GE515" s="455"/>
      <c r="GF515" s="455"/>
      <c r="GG515" s="455"/>
      <c r="GH515" s="455"/>
      <c r="GI515" s="455"/>
      <c r="GJ515" s="455"/>
      <c r="GK515" s="455"/>
      <c r="GL515" s="455"/>
      <c r="GM515" s="455"/>
      <c r="GN515" s="455"/>
      <c r="GO515" s="455"/>
      <c r="GP515" s="455"/>
      <c r="GQ515" s="455"/>
      <c r="GR515" s="455"/>
      <c r="GS515" s="455"/>
      <c r="GT515" s="455"/>
      <c r="GU515" s="455"/>
      <c r="GV515" s="455"/>
      <c r="GW515" s="455"/>
      <c r="GX515" s="455"/>
      <c r="GY515" s="455"/>
      <c r="GZ515" s="455"/>
      <c r="HA515" s="455"/>
      <c r="HB515" s="455"/>
      <c r="HC515" s="455"/>
      <c r="HD515" s="455"/>
      <c r="HE515" s="455"/>
      <c r="HF515" s="455"/>
      <c r="HG515" s="455"/>
      <c r="HH515" s="455"/>
      <c r="HI515" s="455"/>
      <c r="HJ515" s="455"/>
      <c r="HK515" s="455"/>
      <c r="HL515" s="455"/>
      <c r="HM515" s="455"/>
      <c r="HN515" s="455"/>
      <c r="HO515" s="455"/>
      <c r="HP515" s="455"/>
      <c r="HQ515" s="455"/>
      <c r="HR515" s="455"/>
      <c r="HS515" s="455"/>
      <c r="HT515" s="455"/>
      <c r="HU515" s="455"/>
      <c r="HV515" s="455"/>
      <c r="HW515" s="455"/>
      <c r="HX515" s="455"/>
      <c r="HY515" s="455"/>
      <c r="HZ515" s="455"/>
      <c r="IA515" s="455"/>
      <c r="IB515" s="455"/>
      <c r="IC515" s="455"/>
      <c r="ID515" s="455"/>
      <c r="IE515" s="455"/>
      <c r="IF515" s="455"/>
      <c r="IG515" s="455"/>
      <c r="IH515" s="455"/>
      <c r="II515" s="455"/>
      <c r="IJ515" s="455"/>
      <c r="IK515" s="455"/>
      <c r="IL515" s="455"/>
      <c r="IM515" s="455"/>
      <c r="IN515" s="455"/>
      <c r="IO515" s="455"/>
      <c r="IP515" s="455"/>
      <c r="IQ515" s="455"/>
      <c r="IR515" s="455"/>
      <c r="IS515" s="455"/>
    </row>
    <row r="516" spans="1:253" s="458" customFormat="1" ht="45" x14ac:dyDescent="0.2">
      <c r="A516" s="444">
        <v>11739</v>
      </c>
      <c r="B516" s="445" t="s">
        <v>51</v>
      </c>
      <c r="C516" s="445" t="s">
        <v>52</v>
      </c>
      <c r="D516" s="445"/>
      <c r="E516" s="445" t="s">
        <v>286</v>
      </c>
      <c r="F516" s="470"/>
      <c r="G516" s="445" t="s">
        <v>1565</v>
      </c>
      <c r="H516" s="445">
        <v>500</v>
      </c>
      <c r="I516" s="445"/>
      <c r="J516" s="445">
        <v>10</v>
      </c>
      <c r="K516" s="447">
        <v>30</v>
      </c>
      <c r="L516" s="445" t="s">
        <v>767</v>
      </c>
      <c r="M516" s="445">
        <v>1</v>
      </c>
      <c r="N516" s="445" t="s">
        <v>425</v>
      </c>
      <c r="O516" s="464" t="s">
        <v>1578</v>
      </c>
      <c r="P516" s="450">
        <v>2.6389999999999998</v>
      </c>
      <c r="Q516" s="451">
        <v>15.33</v>
      </c>
      <c r="R516" s="451">
        <f>SUMIF('Wege im Detail'!$A:$A,"11739",'Wege im Detail'!$P:$P)</f>
        <v>225.90599999999998</v>
      </c>
      <c r="S516" s="452" t="s">
        <v>1567</v>
      </c>
      <c r="T516" s="453">
        <v>42887</v>
      </c>
      <c r="U516" s="448"/>
      <c r="W516" s="448"/>
    </row>
    <row r="517" spans="1:253" s="458" customFormat="1" ht="56.25" x14ac:dyDescent="0.2">
      <c r="A517" s="444">
        <v>11739</v>
      </c>
      <c r="B517" s="445" t="s">
        <v>51</v>
      </c>
      <c r="C517" s="445" t="s">
        <v>52</v>
      </c>
      <c r="D517" s="445"/>
      <c r="E517" s="445" t="s">
        <v>286</v>
      </c>
      <c r="F517" s="470"/>
      <c r="G517" s="445" t="s">
        <v>1565</v>
      </c>
      <c r="H517" s="445">
        <v>500</v>
      </c>
      <c r="I517" s="445"/>
      <c r="J517" s="445">
        <v>11</v>
      </c>
      <c r="K517" s="447">
        <v>30</v>
      </c>
      <c r="L517" s="445" t="s">
        <v>767</v>
      </c>
      <c r="M517" s="445">
        <v>1</v>
      </c>
      <c r="N517" s="445" t="s">
        <v>656</v>
      </c>
      <c r="O517" s="461" t="s">
        <v>1579</v>
      </c>
      <c r="P517" s="450">
        <v>3.4910000000000001</v>
      </c>
      <c r="Q517" s="451">
        <f>P517</f>
        <v>3.4910000000000001</v>
      </c>
      <c r="R517" s="451">
        <f>SUMIF('Wege im Detail'!$A:$A,"11739",'Wege im Detail'!$P:$P)</f>
        <v>225.90599999999998</v>
      </c>
      <c r="S517" s="452" t="s">
        <v>1567</v>
      </c>
      <c r="T517" s="453">
        <v>42887</v>
      </c>
      <c r="U517" s="448"/>
      <c r="W517" s="448"/>
    </row>
    <row r="518" spans="1:253" s="458" customFormat="1" ht="45" x14ac:dyDescent="0.2">
      <c r="A518" s="444">
        <v>11739</v>
      </c>
      <c r="B518" s="445" t="s">
        <v>51</v>
      </c>
      <c r="C518" s="445" t="s">
        <v>52</v>
      </c>
      <c r="D518" s="445"/>
      <c r="E518" s="445" t="s">
        <v>286</v>
      </c>
      <c r="F518" s="470"/>
      <c r="G518" s="445" t="s">
        <v>1565</v>
      </c>
      <c r="H518" s="445">
        <v>500</v>
      </c>
      <c r="I518" s="445"/>
      <c r="J518" s="445">
        <v>12</v>
      </c>
      <c r="K518" s="447">
        <v>30</v>
      </c>
      <c r="L518" s="445" t="s">
        <v>767</v>
      </c>
      <c r="M518" s="445">
        <v>1</v>
      </c>
      <c r="N518" s="445" t="s">
        <v>425</v>
      </c>
      <c r="O518" s="464" t="s">
        <v>1580</v>
      </c>
      <c r="P518" s="450">
        <v>15.086</v>
      </c>
      <c r="Q518" s="451">
        <v>15.33</v>
      </c>
      <c r="R518" s="451">
        <f>SUMIF('Wege im Detail'!$A:$A,"11739",'Wege im Detail'!$P:$P)</f>
        <v>225.90599999999998</v>
      </c>
      <c r="S518" s="452" t="s">
        <v>1567</v>
      </c>
      <c r="T518" s="453">
        <v>42887</v>
      </c>
      <c r="U518" s="448"/>
      <c r="W518" s="448"/>
    </row>
    <row r="519" spans="1:253" s="458" customFormat="1" ht="33.75" x14ac:dyDescent="0.2">
      <c r="A519" s="444">
        <v>11739</v>
      </c>
      <c r="B519" s="445" t="s">
        <v>51</v>
      </c>
      <c r="C519" s="445" t="s">
        <v>52</v>
      </c>
      <c r="D519" s="445"/>
      <c r="E519" s="445" t="s">
        <v>286</v>
      </c>
      <c r="F519" s="470"/>
      <c r="G519" s="445" t="s">
        <v>1565</v>
      </c>
      <c r="H519" s="445">
        <v>500</v>
      </c>
      <c r="I519" s="445"/>
      <c r="J519" s="445">
        <v>13</v>
      </c>
      <c r="K519" s="447">
        <v>30</v>
      </c>
      <c r="L519" s="445" t="s">
        <v>767</v>
      </c>
      <c r="M519" s="445">
        <v>1</v>
      </c>
      <c r="N519" s="445" t="s">
        <v>425</v>
      </c>
      <c r="O519" s="461" t="s">
        <v>1581</v>
      </c>
      <c r="P519" s="450">
        <v>3.9590000000000001</v>
      </c>
      <c r="Q519" s="451">
        <f t="shared" ref="Q519:Q541" si="15">P519</f>
        <v>3.9590000000000001</v>
      </c>
      <c r="R519" s="451">
        <f>SUMIF('Wege im Detail'!$A:$A,"11739",'Wege im Detail'!$P:$P)</f>
        <v>225.90599999999998</v>
      </c>
      <c r="S519" s="452" t="s">
        <v>1567</v>
      </c>
      <c r="T519" s="453">
        <v>43313</v>
      </c>
      <c r="U519" s="448"/>
      <c r="W519" s="448"/>
      <c r="X519" s="455"/>
      <c r="Y519" s="455"/>
      <c r="Z519" s="455"/>
      <c r="AA519" s="455"/>
      <c r="AB519" s="455"/>
      <c r="AC519" s="455"/>
      <c r="AD519" s="455"/>
      <c r="AE519" s="455"/>
      <c r="AF519" s="455"/>
      <c r="AG519" s="455"/>
      <c r="AH519" s="455"/>
      <c r="AI519" s="455"/>
      <c r="AJ519" s="455"/>
      <c r="AK519" s="455"/>
      <c r="AL519" s="455"/>
      <c r="AM519" s="455"/>
      <c r="AN519" s="455"/>
      <c r="AO519" s="455"/>
      <c r="AP519" s="455"/>
      <c r="AQ519" s="455"/>
      <c r="AR519" s="455"/>
      <c r="AS519" s="455"/>
      <c r="AT519" s="455"/>
      <c r="AU519" s="455"/>
      <c r="AV519" s="455"/>
      <c r="AW519" s="455"/>
      <c r="AX519" s="455"/>
      <c r="AY519" s="455"/>
      <c r="AZ519" s="455"/>
      <c r="BA519" s="455"/>
      <c r="BB519" s="455"/>
      <c r="BC519" s="455"/>
      <c r="BD519" s="455"/>
      <c r="BE519" s="455"/>
      <c r="BF519" s="455"/>
      <c r="BG519" s="455"/>
      <c r="BH519" s="455"/>
      <c r="BI519" s="455"/>
      <c r="BJ519" s="455"/>
      <c r="BK519" s="455"/>
      <c r="BL519" s="455"/>
      <c r="BM519" s="455"/>
      <c r="BN519" s="455"/>
      <c r="BO519" s="455"/>
      <c r="BP519" s="455"/>
      <c r="BQ519" s="455"/>
      <c r="BR519" s="455"/>
      <c r="BS519" s="455"/>
      <c r="BT519" s="455"/>
      <c r="BU519" s="455"/>
      <c r="BV519" s="455"/>
      <c r="BW519" s="455"/>
      <c r="BX519" s="455"/>
      <c r="BY519" s="455"/>
      <c r="BZ519" s="455"/>
      <c r="CA519" s="455"/>
      <c r="CB519" s="455"/>
      <c r="CC519" s="455"/>
      <c r="CD519" s="455"/>
      <c r="CE519" s="455"/>
      <c r="CF519" s="455"/>
      <c r="CG519" s="455"/>
      <c r="CH519" s="455"/>
      <c r="CI519" s="455"/>
      <c r="CJ519" s="455"/>
      <c r="CK519" s="455"/>
      <c r="CL519" s="455"/>
      <c r="CM519" s="455"/>
      <c r="CN519" s="455"/>
      <c r="CO519" s="455"/>
      <c r="CP519" s="455"/>
      <c r="CQ519" s="455"/>
      <c r="CR519" s="455"/>
      <c r="CS519" s="455"/>
      <c r="CT519" s="455"/>
      <c r="CU519" s="455"/>
      <c r="CV519" s="455"/>
      <c r="CW519" s="455"/>
      <c r="CX519" s="455"/>
      <c r="CY519" s="455"/>
      <c r="CZ519" s="455"/>
      <c r="DA519" s="455"/>
      <c r="DB519" s="455"/>
      <c r="DC519" s="455"/>
      <c r="DD519" s="455"/>
      <c r="DE519" s="455"/>
      <c r="DF519" s="455"/>
      <c r="DG519" s="455"/>
      <c r="DH519" s="455"/>
      <c r="DI519" s="455"/>
      <c r="DJ519" s="455"/>
      <c r="DK519" s="455"/>
      <c r="DL519" s="455"/>
      <c r="DM519" s="455"/>
      <c r="DN519" s="455"/>
      <c r="DO519" s="455"/>
      <c r="DP519" s="455"/>
      <c r="DQ519" s="455"/>
      <c r="DR519" s="455"/>
      <c r="DS519" s="455"/>
      <c r="DT519" s="455"/>
      <c r="DU519" s="455"/>
      <c r="DV519" s="455"/>
      <c r="DW519" s="455"/>
      <c r="DX519" s="455"/>
      <c r="DY519" s="455"/>
      <c r="DZ519" s="455"/>
      <c r="EA519" s="455"/>
      <c r="EB519" s="455"/>
      <c r="EC519" s="455"/>
      <c r="ED519" s="455"/>
      <c r="EE519" s="455"/>
      <c r="EF519" s="455"/>
      <c r="EG519" s="455"/>
      <c r="EH519" s="455"/>
      <c r="EI519" s="455"/>
      <c r="EJ519" s="455"/>
      <c r="EK519" s="455"/>
      <c r="EL519" s="455"/>
      <c r="EM519" s="455"/>
      <c r="EN519" s="455"/>
      <c r="EO519" s="455"/>
      <c r="EP519" s="455"/>
      <c r="EQ519" s="455"/>
      <c r="ER519" s="455"/>
      <c r="ES519" s="455"/>
      <c r="ET519" s="455"/>
      <c r="EU519" s="455"/>
      <c r="EV519" s="455"/>
      <c r="EW519" s="455"/>
      <c r="EX519" s="455"/>
      <c r="EY519" s="455"/>
      <c r="EZ519" s="455"/>
      <c r="FA519" s="455"/>
      <c r="FB519" s="455"/>
      <c r="FC519" s="455"/>
      <c r="FD519" s="455"/>
      <c r="FE519" s="455"/>
      <c r="FF519" s="455"/>
      <c r="FG519" s="455"/>
      <c r="FH519" s="455"/>
      <c r="FI519" s="455"/>
      <c r="FJ519" s="455"/>
      <c r="FK519" s="455"/>
      <c r="FL519" s="455"/>
      <c r="FM519" s="455"/>
      <c r="FN519" s="455"/>
      <c r="FO519" s="455"/>
      <c r="FP519" s="455"/>
      <c r="FQ519" s="455"/>
      <c r="FR519" s="455"/>
      <c r="FS519" s="455"/>
      <c r="FT519" s="455"/>
      <c r="FU519" s="455"/>
      <c r="FV519" s="455"/>
      <c r="FW519" s="455"/>
      <c r="FX519" s="455"/>
      <c r="FY519" s="455"/>
      <c r="FZ519" s="455"/>
      <c r="GA519" s="455"/>
      <c r="GB519" s="455"/>
      <c r="GC519" s="455"/>
      <c r="GD519" s="455"/>
      <c r="GE519" s="455"/>
      <c r="GF519" s="455"/>
      <c r="GG519" s="455"/>
      <c r="GH519" s="455"/>
      <c r="GI519" s="455"/>
      <c r="GJ519" s="455"/>
      <c r="GK519" s="455"/>
      <c r="GL519" s="455"/>
      <c r="GM519" s="455"/>
      <c r="GN519" s="455"/>
      <c r="GO519" s="455"/>
      <c r="GP519" s="455"/>
      <c r="GQ519" s="455"/>
      <c r="GR519" s="455"/>
      <c r="GS519" s="455"/>
      <c r="GT519" s="455"/>
      <c r="GU519" s="455"/>
      <c r="GV519" s="455"/>
      <c r="GW519" s="455"/>
      <c r="GX519" s="455"/>
      <c r="GY519" s="455"/>
      <c r="GZ519" s="455"/>
      <c r="HA519" s="455"/>
      <c r="HB519" s="455"/>
      <c r="HC519" s="455"/>
      <c r="HD519" s="455"/>
      <c r="HE519" s="455"/>
      <c r="HF519" s="455"/>
      <c r="HG519" s="455"/>
      <c r="HH519" s="455"/>
      <c r="HI519" s="455"/>
      <c r="HJ519" s="455"/>
      <c r="HK519" s="455"/>
      <c r="HL519" s="455"/>
      <c r="HM519" s="455"/>
      <c r="HN519" s="455"/>
      <c r="HO519" s="455"/>
      <c r="HP519" s="455"/>
      <c r="HQ519" s="455"/>
      <c r="HR519" s="455"/>
      <c r="HS519" s="455"/>
      <c r="HT519" s="455"/>
      <c r="HU519" s="455"/>
      <c r="HV519" s="455"/>
      <c r="HW519" s="455"/>
      <c r="HX519" s="455"/>
      <c r="HY519" s="455"/>
      <c r="HZ519" s="455"/>
      <c r="IA519" s="455"/>
      <c r="IB519" s="455"/>
      <c r="IC519" s="455"/>
      <c r="ID519" s="455"/>
      <c r="IE519" s="455"/>
      <c r="IF519" s="455"/>
      <c r="IG519" s="455"/>
      <c r="IH519" s="455"/>
      <c r="II519" s="455"/>
      <c r="IJ519" s="455"/>
      <c r="IK519" s="455"/>
      <c r="IL519" s="455"/>
      <c r="IM519" s="455"/>
      <c r="IN519" s="455"/>
      <c r="IO519" s="455"/>
      <c r="IP519" s="455"/>
      <c r="IQ519" s="455"/>
      <c r="IR519" s="455"/>
      <c r="IS519" s="455"/>
    </row>
    <row r="520" spans="1:253" s="458" customFormat="1" ht="45" x14ac:dyDescent="0.2">
      <c r="A520" s="444">
        <v>11739</v>
      </c>
      <c r="B520" s="445" t="s">
        <v>51</v>
      </c>
      <c r="C520" s="445" t="s">
        <v>52</v>
      </c>
      <c r="D520" s="445"/>
      <c r="E520" s="445" t="s">
        <v>286</v>
      </c>
      <c r="F520" s="470"/>
      <c r="G520" s="445" t="s">
        <v>1565</v>
      </c>
      <c r="H520" s="445">
        <v>500</v>
      </c>
      <c r="I520" s="445"/>
      <c r="J520" s="445">
        <v>14</v>
      </c>
      <c r="K520" s="447">
        <v>30</v>
      </c>
      <c r="L520" s="445" t="s">
        <v>767</v>
      </c>
      <c r="M520" s="445">
        <v>1</v>
      </c>
      <c r="N520" s="445" t="s">
        <v>425</v>
      </c>
      <c r="O520" s="464" t="s">
        <v>1582</v>
      </c>
      <c r="P520" s="450">
        <v>12.156000000000001</v>
      </c>
      <c r="Q520" s="451">
        <f t="shared" si="15"/>
        <v>12.156000000000001</v>
      </c>
      <c r="R520" s="451">
        <f>SUMIF('Wege im Detail'!$A:$A,"11739",'Wege im Detail'!$P:$P)</f>
        <v>225.90599999999998</v>
      </c>
      <c r="S520" s="452" t="s">
        <v>1567</v>
      </c>
      <c r="T520" s="453">
        <v>42887</v>
      </c>
      <c r="U520" s="448"/>
      <c r="W520" s="448"/>
    </row>
    <row r="521" spans="1:253" s="458" customFormat="1" ht="45" x14ac:dyDescent="0.2">
      <c r="A521" s="444">
        <v>11739</v>
      </c>
      <c r="B521" s="445" t="s">
        <v>51</v>
      </c>
      <c r="C521" s="445" t="s">
        <v>52</v>
      </c>
      <c r="D521" s="445"/>
      <c r="E521" s="445" t="s">
        <v>286</v>
      </c>
      <c r="F521" s="470"/>
      <c r="G521" s="445" t="s">
        <v>1565</v>
      </c>
      <c r="H521" s="445">
        <v>500</v>
      </c>
      <c r="I521" s="445"/>
      <c r="J521" s="445">
        <v>15</v>
      </c>
      <c r="K521" s="447">
        <v>30</v>
      </c>
      <c r="L521" s="445" t="s">
        <v>767</v>
      </c>
      <c r="M521" s="445">
        <v>2</v>
      </c>
      <c r="N521" s="445" t="s">
        <v>67</v>
      </c>
      <c r="O521" s="461" t="s">
        <v>1583</v>
      </c>
      <c r="P521" s="450">
        <v>12.763</v>
      </c>
      <c r="Q521" s="451">
        <f t="shared" si="15"/>
        <v>12.763</v>
      </c>
      <c r="R521" s="451">
        <f>SUMIF('Wege im Detail'!$A:$A,"11739",'Wege im Detail'!$P:$P)</f>
        <v>225.90599999999998</v>
      </c>
      <c r="S521" s="452" t="s">
        <v>1567</v>
      </c>
      <c r="T521" s="453">
        <v>42887</v>
      </c>
      <c r="U521" s="448"/>
      <c r="W521" s="448"/>
    </row>
    <row r="522" spans="1:253" s="458" customFormat="1" ht="33.75" x14ac:dyDescent="0.2">
      <c r="A522" s="444">
        <v>11739</v>
      </c>
      <c r="B522" s="445" t="s">
        <v>51</v>
      </c>
      <c r="C522" s="445" t="s">
        <v>52</v>
      </c>
      <c r="D522" s="445"/>
      <c r="E522" s="445" t="s">
        <v>286</v>
      </c>
      <c r="F522" s="470"/>
      <c r="G522" s="445" t="s">
        <v>1565</v>
      </c>
      <c r="H522" s="445">
        <v>500</v>
      </c>
      <c r="I522" s="445"/>
      <c r="J522" s="445">
        <v>16</v>
      </c>
      <c r="K522" s="447">
        <v>30</v>
      </c>
      <c r="L522" s="445" t="s">
        <v>767</v>
      </c>
      <c r="M522" s="445">
        <v>2</v>
      </c>
      <c r="N522" s="445" t="s">
        <v>433</v>
      </c>
      <c r="O522" s="461" t="s">
        <v>1584</v>
      </c>
      <c r="P522" s="450">
        <v>8.5030000000000001</v>
      </c>
      <c r="Q522" s="451">
        <f t="shared" si="15"/>
        <v>8.5030000000000001</v>
      </c>
      <c r="R522" s="451">
        <f>SUMIF('Wege im Detail'!$A:$A,"11739",'Wege im Detail'!$P:$P)</f>
        <v>225.90599999999998</v>
      </c>
      <c r="S522" s="452" t="s">
        <v>1567</v>
      </c>
      <c r="T522" s="453">
        <v>42887</v>
      </c>
      <c r="U522" s="448"/>
      <c r="W522" s="448"/>
    </row>
    <row r="523" spans="1:253" s="458" customFormat="1" ht="33.75" x14ac:dyDescent="0.2">
      <c r="A523" s="444">
        <v>11739</v>
      </c>
      <c r="B523" s="445" t="s">
        <v>51</v>
      </c>
      <c r="C523" s="445" t="s">
        <v>52</v>
      </c>
      <c r="D523" s="445"/>
      <c r="E523" s="445" t="s">
        <v>286</v>
      </c>
      <c r="F523" s="470"/>
      <c r="G523" s="445" t="s">
        <v>1565</v>
      </c>
      <c r="H523" s="445">
        <v>500</v>
      </c>
      <c r="I523" s="445"/>
      <c r="J523" s="445">
        <v>17</v>
      </c>
      <c r="K523" s="447">
        <v>30</v>
      </c>
      <c r="L523" s="445" t="s">
        <v>767</v>
      </c>
      <c r="M523" s="445">
        <v>2</v>
      </c>
      <c r="N523" s="445" t="s">
        <v>446</v>
      </c>
      <c r="O523" s="461" t="s">
        <v>1585</v>
      </c>
      <c r="P523" s="450">
        <v>9.9969999999999999</v>
      </c>
      <c r="Q523" s="451">
        <f t="shared" si="15"/>
        <v>9.9969999999999999</v>
      </c>
      <c r="R523" s="451">
        <f>SUMIF('Wege im Detail'!$A:$A,"11739",'Wege im Detail'!$P:$P)</f>
        <v>225.90599999999998</v>
      </c>
      <c r="S523" s="452" t="s">
        <v>1567</v>
      </c>
      <c r="T523" s="453">
        <v>42887</v>
      </c>
      <c r="U523" s="448"/>
      <c r="W523" s="448"/>
    </row>
    <row r="524" spans="1:253" s="458" customFormat="1" ht="45" x14ac:dyDescent="0.2">
      <c r="A524" s="444">
        <v>11739</v>
      </c>
      <c r="B524" s="445" t="s">
        <v>51</v>
      </c>
      <c r="C524" s="445" t="s">
        <v>52</v>
      </c>
      <c r="D524" s="445"/>
      <c r="E524" s="445" t="s">
        <v>286</v>
      </c>
      <c r="F524" s="470"/>
      <c r="G524" s="445" t="s">
        <v>1565</v>
      </c>
      <c r="H524" s="445">
        <v>500</v>
      </c>
      <c r="I524" s="445"/>
      <c r="J524" s="445">
        <v>18</v>
      </c>
      <c r="K524" s="447">
        <v>30</v>
      </c>
      <c r="L524" s="445" t="s">
        <v>767</v>
      </c>
      <c r="M524" s="445">
        <v>2</v>
      </c>
      <c r="N524" s="445" t="s">
        <v>461</v>
      </c>
      <c r="O524" s="461" t="s">
        <v>1586</v>
      </c>
      <c r="P524" s="450">
        <v>5.9470000000000001</v>
      </c>
      <c r="Q524" s="451">
        <f t="shared" si="15"/>
        <v>5.9470000000000001</v>
      </c>
      <c r="R524" s="451">
        <f>SUMIF('Wege im Detail'!$A:$A,"11739",'Wege im Detail'!$P:$P)</f>
        <v>225.90599999999998</v>
      </c>
      <c r="S524" s="452" t="s">
        <v>1567</v>
      </c>
      <c r="T524" s="453">
        <v>42887</v>
      </c>
      <c r="U524" s="448"/>
      <c r="W524" s="448"/>
      <c r="X524" s="455"/>
      <c r="Y524" s="455"/>
      <c r="Z524" s="455"/>
      <c r="AA524" s="455"/>
      <c r="AB524" s="455"/>
      <c r="AC524" s="455"/>
      <c r="AD524" s="455"/>
      <c r="AE524" s="455"/>
      <c r="AF524" s="455"/>
      <c r="AG524" s="455"/>
      <c r="AH524" s="455"/>
      <c r="AI524" s="455"/>
      <c r="AJ524" s="455"/>
      <c r="AK524" s="455"/>
      <c r="AL524" s="455"/>
      <c r="AM524" s="455"/>
      <c r="AN524" s="455"/>
      <c r="AO524" s="455"/>
      <c r="AP524" s="455"/>
      <c r="AQ524" s="455"/>
      <c r="AR524" s="455"/>
      <c r="AS524" s="455"/>
      <c r="AT524" s="455"/>
      <c r="AU524" s="455"/>
      <c r="AV524" s="455"/>
      <c r="AW524" s="455"/>
      <c r="AX524" s="455"/>
      <c r="AY524" s="455"/>
      <c r="AZ524" s="455"/>
      <c r="BA524" s="455"/>
      <c r="BB524" s="455"/>
      <c r="BC524" s="455"/>
      <c r="BD524" s="455"/>
      <c r="BE524" s="455"/>
      <c r="BF524" s="455"/>
      <c r="BG524" s="455"/>
      <c r="BH524" s="455"/>
      <c r="BI524" s="455"/>
      <c r="BJ524" s="455"/>
      <c r="BK524" s="455"/>
      <c r="BL524" s="455"/>
      <c r="BM524" s="455"/>
      <c r="BN524" s="455"/>
      <c r="BO524" s="455"/>
      <c r="BP524" s="455"/>
      <c r="BQ524" s="455"/>
      <c r="BR524" s="455"/>
      <c r="BS524" s="455"/>
      <c r="BT524" s="455"/>
      <c r="BU524" s="455"/>
      <c r="BV524" s="455"/>
      <c r="BW524" s="455"/>
      <c r="BX524" s="455"/>
      <c r="BY524" s="455"/>
      <c r="BZ524" s="455"/>
      <c r="CA524" s="455"/>
      <c r="CB524" s="455"/>
      <c r="CC524" s="455"/>
      <c r="CD524" s="455"/>
      <c r="CE524" s="455"/>
      <c r="CF524" s="455"/>
      <c r="CG524" s="455"/>
      <c r="CH524" s="455"/>
      <c r="CI524" s="455"/>
      <c r="CJ524" s="455"/>
      <c r="CK524" s="455"/>
      <c r="CL524" s="455"/>
      <c r="CM524" s="455"/>
      <c r="CN524" s="455"/>
      <c r="CO524" s="455"/>
      <c r="CP524" s="455"/>
      <c r="CQ524" s="455"/>
      <c r="CR524" s="455"/>
      <c r="CS524" s="455"/>
      <c r="CT524" s="455"/>
      <c r="CU524" s="455"/>
      <c r="CV524" s="455"/>
      <c r="CW524" s="455"/>
      <c r="CX524" s="455"/>
      <c r="CY524" s="455"/>
      <c r="CZ524" s="455"/>
      <c r="DA524" s="455"/>
      <c r="DB524" s="455"/>
      <c r="DC524" s="455"/>
      <c r="DD524" s="455"/>
      <c r="DE524" s="455"/>
      <c r="DF524" s="455"/>
      <c r="DG524" s="455"/>
      <c r="DH524" s="455"/>
      <c r="DI524" s="455"/>
      <c r="DJ524" s="455"/>
      <c r="DK524" s="455"/>
      <c r="DL524" s="455"/>
      <c r="DM524" s="455"/>
      <c r="DN524" s="455"/>
      <c r="DO524" s="455"/>
      <c r="DP524" s="455"/>
      <c r="DQ524" s="455"/>
      <c r="DR524" s="455"/>
      <c r="DS524" s="455"/>
      <c r="DT524" s="455"/>
      <c r="DU524" s="455"/>
      <c r="DV524" s="455"/>
      <c r="DW524" s="455"/>
      <c r="DX524" s="455"/>
      <c r="DY524" s="455"/>
      <c r="DZ524" s="455"/>
      <c r="EA524" s="455"/>
      <c r="EB524" s="455"/>
      <c r="EC524" s="455"/>
      <c r="ED524" s="455"/>
      <c r="EE524" s="455"/>
      <c r="EF524" s="455"/>
      <c r="EG524" s="455"/>
      <c r="EH524" s="455"/>
      <c r="EI524" s="455"/>
      <c r="EJ524" s="455"/>
      <c r="EK524" s="455"/>
      <c r="EL524" s="455"/>
      <c r="EM524" s="455"/>
      <c r="EN524" s="455"/>
      <c r="EO524" s="455"/>
      <c r="EP524" s="455"/>
      <c r="EQ524" s="455"/>
      <c r="ER524" s="455"/>
      <c r="ES524" s="455"/>
      <c r="ET524" s="455"/>
      <c r="EU524" s="455"/>
      <c r="EV524" s="455"/>
      <c r="EW524" s="455"/>
      <c r="EX524" s="455"/>
      <c r="EY524" s="455"/>
      <c r="EZ524" s="455"/>
      <c r="FA524" s="455"/>
      <c r="FB524" s="455"/>
      <c r="FC524" s="455"/>
      <c r="FD524" s="455"/>
      <c r="FE524" s="455"/>
      <c r="FF524" s="455"/>
      <c r="FG524" s="455"/>
      <c r="FH524" s="455"/>
      <c r="FI524" s="455"/>
      <c r="FJ524" s="455"/>
      <c r="FK524" s="455"/>
      <c r="FL524" s="455"/>
      <c r="FM524" s="455"/>
      <c r="FN524" s="455"/>
      <c r="FO524" s="455"/>
      <c r="FP524" s="455"/>
      <c r="FQ524" s="455"/>
      <c r="FR524" s="455"/>
      <c r="FS524" s="455"/>
      <c r="FT524" s="455"/>
      <c r="FU524" s="455"/>
      <c r="FV524" s="455"/>
      <c r="FW524" s="455"/>
      <c r="FX524" s="455"/>
      <c r="FY524" s="455"/>
      <c r="FZ524" s="455"/>
      <c r="GA524" s="455"/>
      <c r="GB524" s="455"/>
      <c r="GC524" s="455"/>
      <c r="GD524" s="455"/>
      <c r="GE524" s="455"/>
      <c r="GF524" s="455"/>
      <c r="GG524" s="455"/>
      <c r="GH524" s="455"/>
      <c r="GI524" s="455"/>
      <c r="GJ524" s="455"/>
      <c r="GK524" s="455"/>
      <c r="GL524" s="455"/>
      <c r="GM524" s="455"/>
      <c r="GN524" s="455"/>
      <c r="GO524" s="455"/>
      <c r="GP524" s="455"/>
      <c r="GQ524" s="455"/>
      <c r="GR524" s="455"/>
      <c r="GS524" s="455"/>
      <c r="GT524" s="455"/>
      <c r="GU524" s="455"/>
      <c r="GV524" s="455"/>
      <c r="GW524" s="455"/>
      <c r="GX524" s="455"/>
      <c r="GY524" s="455"/>
      <c r="GZ524" s="455"/>
      <c r="HA524" s="455"/>
      <c r="HB524" s="455"/>
      <c r="HC524" s="455"/>
      <c r="HD524" s="455"/>
      <c r="HE524" s="455"/>
      <c r="HF524" s="455"/>
      <c r="HG524" s="455"/>
      <c r="HH524" s="455"/>
      <c r="HI524" s="455"/>
      <c r="HJ524" s="455"/>
      <c r="HK524" s="455"/>
      <c r="HL524" s="455"/>
      <c r="HM524" s="455"/>
      <c r="HN524" s="455"/>
      <c r="HO524" s="455"/>
      <c r="HP524" s="455"/>
      <c r="HQ524" s="455"/>
      <c r="HR524" s="455"/>
      <c r="HS524" s="455"/>
      <c r="HT524" s="455"/>
      <c r="HU524" s="455"/>
      <c r="HV524" s="455"/>
      <c r="HW524" s="455"/>
      <c r="HX524" s="455"/>
      <c r="HY524" s="455"/>
      <c r="HZ524" s="455"/>
      <c r="IA524" s="455"/>
      <c r="IB524" s="455"/>
      <c r="IC524" s="455"/>
      <c r="ID524" s="455"/>
      <c r="IE524" s="455"/>
      <c r="IF524" s="455"/>
      <c r="IG524" s="455"/>
      <c r="IH524" s="455"/>
      <c r="II524" s="455"/>
      <c r="IJ524" s="455"/>
      <c r="IK524" s="455"/>
      <c r="IL524" s="455"/>
      <c r="IM524" s="455"/>
      <c r="IN524" s="455"/>
      <c r="IO524" s="455"/>
      <c r="IP524" s="455"/>
      <c r="IQ524" s="455"/>
      <c r="IR524" s="455"/>
      <c r="IS524" s="455"/>
    </row>
    <row r="525" spans="1:253" s="455" customFormat="1" ht="45" x14ac:dyDescent="0.2">
      <c r="A525" s="444">
        <v>11739</v>
      </c>
      <c r="B525" s="445" t="s">
        <v>51</v>
      </c>
      <c r="C525" s="445" t="s">
        <v>52</v>
      </c>
      <c r="D525" s="445"/>
      <c r="E525" s="445" t="s">
        <v>286</v>
      </c>
      <c r="F525" s="470"/>
      <c r="G525" s="445" t="s">
        <v>1565</v>
      </c>
      <c r="H525" s="445">
        <v>500</v>
      </c>
      <c r="I525" s="445"/>
      <c r="J525" s="445">
        <v>19</v>
      </c>
      <c r="K525" s="447">
        <v>30</v>
      </c>
      <c r="L525" s="445" t="s">
        <v>767</v>
      </c>
      <c r="M525" s="445">
        <v>2</v>
      </c>
      <c r="N525" s="445" t="s">
        <v>63</v>
      </c>
      <c r="O525" s="461" t="s">
        <v>1587</v>
      </c>
      <c r="P525" s="450">
        <v>4.0199999999999996</v>
      </c>
      <c r="Q525" s="451">
        <f t="shared" si="15"/>
        <v>4.0199999999999996</v>
      </c>
      <c r="R525" s="451">
        <f>SUMIF('Wege im Detail'!$A:$A,"11739",'Wege im Detail'!$P:$P)</f>
        <v>225.90599999999998</v>
      </c>
      <c r="S525" s="452" t="s">
        <v>1567</v>
      </c>
      <c r="T525" s="453">
        <v>42887</v>
      </c>
      <c r="U525" s="448"/>
      <c r="V525" s="458"/>
      <c r="W525" s="448"/>
    </row>
    <row r="526" spans="1:253" s="458" customFormat="1" ht="56.25" x14ac:dyDescent="0.2">
      <c r="A526" s="444">
        <v>11739</v>
      </c>
      <c r="B526" s="445" t="s">
        <v>51</v>
      </c>
      <c r="C526" s="445" t="s">
        <v>52</v>
      </c>
      <c r="D526" s="445"/>
      <c r="E526" s="445" t="s">
        <v>286</v>
      </c>
      <c r="F526" s="470"/>
      <c r="G526" s="445" t="s">
        <v>1565</v>
      </c>
      <c r="H526" s="445">
        <v>500</v>
      </c>
      <c r="I526" s="445"/>
      <c r="J526" s="445">
        <v>20</v>
      </c>
      <c r="K526" s="447">
        <v>30</v>
      </c>
      <c r="L526" s="445" t="s">
        <v>767</v>
      </c>
      <c r="M526" s="445">
        <v>5</v>
      </c>
      <c r="N526" s="445" t="s">
        <v>181</v>
      </c>
      <c r="O526" s="461" t="s">
        <v>1588</v>
      </c>
      <c r="P526" s="450">
        <v>8.452</v>
      </c>
      <c r="Q526" s="451">
        <f t="shared" si="15"/>
        <v>8.452</v>
      </c>
      <c r="R526" s="451">
        <f>SUMIF('Wege im Detail'!$A:$A,"11739",'Wege im Detail'!$P:$P)</f>
        <v>225.90599999999998</v>
      </c>
      <c r="S526" s="452" t="s">
        <v>1567</v>
      </c>
      <c r="T526" s="453">
        <v>42887</v>
      </c>
      <c r="U526" s="448"/>
      <c r="W526" s="448"/>
      <c r="X526" s="455"/>
      <c r="Y526" s="455"/>
      <c r="Z526" s="455"/>
      <c r="AA526" s="455"/>
      <c r="AB526" s="455"/>
      <c r="AC526" s="455"/>
      <c r="AD526" s="455"/>
      <c r="AE526" s="455"/>
      <c r="AF526" s="455"/>
      <c r="AG526" s="455"/>
      <c r="AH526" s="455"/>
      <c r="AI526" s="455"/>
      <c r="AJ526" s="455"/>
      <c r="AK526" s="455"/>
      <c r="AL526" s="455"/>
      <c r="AM526" s="455"/>
      <c r="AN526" s="455"/>
      <c r="AO526" s="455"/>
      <c r="AP526" s="455"/>
      <c r="AQ526" s="455"/>
      <c r="AR526" s="455"/>
      <c r="AS526" s="455"/>
      <c r="AT526" s="455"/>
      <c r="AU526" s="455"/>
      <c r="AV526" s="455"/>
      <c r="AW526" s="455"/>
      <c r="AX526" s="455"/>
      <c r="AY526" s="455"/>
      <c r="AZ526" s="455"/>
      <c r="BA526" s="455"/>
      <c r="BB526" s="455"/>
      <c r="BC526" s="455"/>
      <c r="BD526" s="455"/>
      <c r="BE526" s="455"/>
      <c r="BF526" s="455"/>
      <c r="BG526" s="455"/>
      <c r="BH526" s="455"/>
      <c r="BI526" s="455"/>
      <c r="BJ526" s="455"/>
      <c r="BK526" s="455"/>
      <c r="BL526" s="455"/>
      <c r="BM526" s="455"/>
      <c r="BN526" s="455"/>
      <c r="BO526" s="455"/>
      <c r="BP526" s="455"/>
      <c r="BQ526" s="455"/>
      <c r="BR526" s="455"/>
      <c r="BS526" s="455"/>
      <c r="BT526" s="455"/>
      <c r="BU526" s="455"/>
      <c r="BV526" s="455"/>
      <c r="BW526" s="455"/>
      <c r="BX526" s="455"/>
      <c r="BY526" s="455"/>
      <c r="BZ526" s="455"/>
      <c r="CA526" s="455"/>
      <c r="CB526" s="455"/>
      <c r="CC526" s="455"/>
      <c r="CD526" s="455"/>
      <c r="CE526" s="455"/>
      <c r="CF526" s="455"/>
      <c r="CG526" s="455"/>
      <c r="CH526" s="455"/>
      <c r="CI526" s="455"/>
      <c r="CJ526" s="455"/>
      <c r="CK526" s="455"/>
      <c r="CL526" s="455"/>
      <c r="CM526" s="455"/>
      <c r="CN526" s="455"/>
      <c r="CO526" s="455"/>
      <c r="CP526" s="455"/>
      <c r="CQ526" s="455"/>
      <c r="CR526" s="455"/>
      <c r="CS526" s="455"/>
      <c r="CT526" s="455"/>
      <c r="CU526" s="455"/>
      <c r="CV526" s="455"/>
      <c r="CW526" s="455"/>
      <c r="CX526" s="455"/>
      <c r="CY526" s="455"/>
      <c r="CZ526" s="455"/>
      <c r="DA526" s="455"/>
      <c r="DB526" s="455"/>
      <c r="DC526" s="455"/>
      <c r="DD526" s="455"/>
      <c r="DE526" s="455"/>
      <c r="DF526" s="455"/>
      <c r="DG526" s="455"/>
      <c r="DH526" s="455"/>
      <c r="DI526" s="455"/>
      <c r="DJ526" s="455"/>
      <c r="DK526" s="455"/>
      <c r="DL526" s="455"/>
      <c r="DM526" s="455"/>
      <c r="DN526" s="455"/>
      <c r="DO526" s="455"/>
      <c r="DP526" s="455"/>
      <c r="DQ526" s="455"/>
      <c r="DR526" s="455"/>
      <c r="DS526" s="455"/>
      <c r="DT526" s="455"/>
      <c r="DU526" s="455"/>
      <c r="DV526" s="455"/>
      <c r="DW526" s="455"/>
      <c r="DX526" s="455"/>
      <c r="DY526" s="455"/>
      <c r="DZ526" s="455"/>
      <c r="EA526" s="455"/>
      <c r="EB526" s="455"/>
      <c r="EC526" s="455"/>
      <c r="ED526" s="455"/>
      <c r="EE526" s="455"/>
      <c r="EF526" s="455"/>
      <c r="EG526" s="455"/>
      <c r="EH526" s="455"/>
      <c r="EI526" s="455"/>
      <c r="EJ526" s="455"/>
      <c r="EK526" s="455"/>
      <c r="EL526" s="455"/>
      <c r="EM526" s="455"/>
      <c r="EN526" s="455"/>
      <c r="EO526" s="455"/>
      <c r="EP526" s="455"/>
      <c r="EQ526" s="455"/>
      <c r="ER526" s="455"/>
      <c r="ES526" s="455"/>
      <c r="ET526" s="455"/>
      <c r="EU526" s="455"/>
      <c r="EV526" s="455"/>
      <c r="EW526" s="455"/>
      <c r="EX526" s="455"/>
      <c r="EY526" s="455"/>
      <c r="EZ526" s="455"/>
      <c r="FA526" s="455"/>
      <c r="FB526" s="455"/>
      <c r="FC526" s="455"/>
      <c r="FD526" s="455"/>
      <c r="FE526" s="455"/>
      <c r="FF526" s="455"/>
      <c r="FG526" s="455"/>
      <c r="FH526" s="455"/>
      <c r="FI526" s="455"/>
      <c r="FJ526" s="455"/>
      <c r="FK526" s="455"/>
      <c r="FL526" s="455"/>
      <c r="FM526" s="455"/>
      <c r="FN526" s="455"/>
      <c r="FO526" s="455"/>
      <c r="FP526" s="455"/>
      <c r="FQ526" s="455"/>
      <c r="FR526" s="455"/>
      <c r="FS526" s="455"/>
      <c r="FT526" s="455"/>
      <c r="FU526" s="455"/>
      <c r="FV526" s="455"/>
      <c r="FW526" s="455"/>
      <c r="FX526" s="455"/>
      <c r="FY526" s="455"/>
      <c r="FZ526" s="455"/>
      <c r="GA526" s="455"/>
      <c r="GB526" s="455"/>
      <c r="GC526" s="455"/>
      <c r="GD526" s="455"/>
      <c r="GE526" s="455"/>
      <c r="GF526" s="455"/>
      <c r="GG526" s="455"/>
      <c r="GH526" s="455"/>
      <c r="GI526" s="455"/>
      <c r="GJ526" s="455"/>
      <c r="GK526" s="455"/>
      <c r="GL526" s="455"/>
      <c r="GM526" s="455"/>
      <c r="GN526" s="455"/>
      <c r="GO526" s="455"/>
      <c r="GP526" s="455"/>
      <c r="GQ526" s="455"/>
      <c r="GR526" s="455"/>
      <c r="GS526" s="455"/>
      <c r="GT526" s="455"/>
      <c r="GU526" s="455"/>
      <c r="GV526" s="455"/>
      <c r="GW526" s="455"/>
      <c r="GX526" s="455"/>
      <c r="GY526" s="455"/>
      <c r="GZ526" s="455"/>
      <c r="HA526" s="455"/>
      <c r="HB526" s="455"/>
      <c r="HC526" s="455"/>
      <c r="HD526" s="455"/>
      <c r="HE526" s="455"/>
      <c r="HF526" s="455"/>
      <c r="HG526" s="455"/>
      <c r="HH526" s="455"/>
      <c r="HI526" s="455"/>
      <c r="HJ526" s="455"/>
      <c r="HK526" s="455"/>
      <c r="HL526" s="455"/>
      <c r="HM526" s="455"/>
      <c r="HN526" s="455"/>
      <c r="HO526" s="455"/>
      <c r="HP526" s="455"/>
      <c r="HQ526" s="455"/>
      <c r="HR526" s="455"/>
      <c r="HS526" s="455"/>
      <c r="HT526" s="455"/>
      <c r="HU526" s="455"/>
      <c r="HV526" s="455"/>
      <c r="HW526" s="455"/>
      <c r="HX526" s="455"/>
      <c r="HY526" s="455"/>
      <c r="HZ526" s="455"/>
      <c r="IA526" s="455"/>
      <c r="IB526" s="455"/>
      <c r="IC526" s="455"/>
      <c r="ID526" s="455"/>
      <c r="IE526" s="455"/>
      <c r="IF526" s="455"/>
      <c r="IG526" s="455"/>
      <c r="IH526" s="455"/>
      <c r="II526" s="455"/>
      <c r="IJ526" s="455"/>
      <c r="IK526" s="455"/>
      <c r="IL526" s="455"/>
      <c r="IM526" s="455"/>
      <c r="IN526" s="455"/>
      <c r="IO526" s="455"/>
      <c r="IP526" s="455"/>
      <c r="IQ526" s="455"/>
      <c r="IR526" s="455"/>
      <c r="IS526" s="455"/>
    </row>
    <row r="527" spans="1:253" s="458" customFormat="1" ht="45" x14ac:dyDescent="0.2">
      <c r="A527" s="444">
        <v>11739</v>
      </c>
      <c r="B527" s="445" t="s">
        <v>51</v>
      </c>
      <c r="C527" s="445" t="s">
        <v>52</v>
      </c>
      <c r="D527" s="445"/>
      <c r="E527" s="445" t="s">
        <v>286</v>
      </c>
      <c r="F527" s="470"/>
      <c r="G527" s="445" t="s">
        <v>1565</v>
      </c>
      <c r="H527" s="445">
        <v>500</v>
      </c>
      <c r="I527" s="445"/>
      <c r="J527" s="445">
        <v>21</v>
      </c>
      <c r="K527" s="447">
        <v>30</v>
      </c>
      <c r="L527" s="445" t="s">
        <v>767</v>
      </c>
      <c r="M527" s="445">
        <v>2</v>
      </c>
      <c r="N527" s="445" t="s">
        <v>834</v>
      </c>
      <c r="O527" s="461" t="s">
        <v>1589</v>
      </c>
      <c r="P527" s="450">
        <v>7.0919999999999996</v>
      </c>
      <c r="Q527" s="451">
        <f t="shared" si="15"/>
        <v>7.0919999999999996</v>
      </c>
      <c r="R527" s="451">
        <f>SUMIF('Wege im Detail'!$A:$A,"11739",'Wege im Detail'!$P:$P)</f>
        <v>225.90599999999998</v>
      </c>
      <c r="S527" s="452" t="s">
        <v>1567</v>
      </c>
      <c r="T527" s="453">
        <v>42887</v>
      </c>
      <c r="U527" s="448"/>
      <c r="W527" s="448"/>
      <c r="X527" s="455"/>
      <c r="Y527" s="455"/>
      <c r="Z527" s="455"/>
      <c r="AA527" s="455"/>
      <c r="AB527" s="455"/>
      <c r="AC527" s="455"/>
      <c r="AD527" s="455"/>
      <c r="AE527" s="455"/>
      <c r="AF527" s="455"/>
      <c r="AG527" s="455"/>
      <c r="AH527" s="455"/>
      <c r="AI527" s="455"/>
      <c r="AJ527" s="455"/>
      <c r="AK527" s="455"/>
      <c r="AL527" s="455"/>
      <c r="AM527" s="455"/>
      <c r="AN527" s="455"/>
      <c r="AO527" s="455"/>
      <c r="AP527" s="455"/>
      <c r="AQ527" s="455"/>
      <c r="AR527" s="455"/>
      <c r="AS527" s="455"/>
      <c r="AT527" s="455"/>
      <c r="AU527" s="455"/>
      <c r="AV527" s="455"/>
      <c r="AW527" s="455"/>
      <c r="AX527" s="455"/>
      <c r="AY527" s="455"/>
      <c r="AZ527" s="455"/>
      <c r="BA527" s="455"/>
      <c r="BB527" s="455"/>
      <c r="BC527" s="455"/>
      <c r="BD527" s="455"/>
      <c r="BE527" s="455"/>
      <c r="BF527" s="455"/>
      <c r="BG527" s="455"/>
      <c r="BH527" s="455"/>
      <c r="BI527" s="455"/>
      <c r="BJ527" s="455"/>
      <c r="BK527" s="455"/>
      <c r="BL527" s="455"/>
      <c r="BM527" s="455"/>
      <c r="BN527" s="455"/>
      <c r="BO527" s="455"/>
      <c r="BP527" s="455"/>
      <c r="BQ527" s="455"/>
      <c r="BR527" s="455"/>
      <c r="BS527" s="455"/>
      <c r="BT527" s="455"/>
      <c r="BU527" s="455"/>
      <c r="BV527" s="455"/>
      <c r="BW527" s="455"/>
      <c r="BX527" s="455"/>
      <c r="BY527" s="455"/>
      <c r="BZ527" s="455"/>
      <c r="CA527" s="455"/>
      <c r="CB527" s="455"/>
      <c r="CC527" s="455"/>
      <c r="CD527" s="455"/>
      <c r="CE527" s="455"/>
      <c r="CF527" s="455"/>
      <c r="CG527" s="455"/>
      <c r="CH527" s="455"/>
      <c r="CI527" s="455"/>
      <c r="CJ527" s="455"/>
      <c r="CK527" s="455"/>
      <c r="CL527" s="455"/>
      <c r="CM527" s="455"/>
      <c r="CN527" s="455"/>
      <c r="CO527" s="455"/>
      <c r="CP527" s="455"/>
      <c r="CQ527" s="455"/>
      <c r="CR527" s="455"/>
      <c r="CS527" s="455"/>
      <c r="CT527" s="455"/>
      <c r="CU527" s="455"/>
      <c r="CV527" s="455"/>
      <c r="CW527" s="455"/>
      <c r="CX527" s="455"/>
      <c r="CY527" s="455"/>
      <c r="CZ527" s="455"/>
      <c r="DA527" s="455"/>
      <c r="DB527" s="455"/>
      <c r="DC527" s="455"/>
      <c r="DD527" s="455"/>
      <c r="DE527" s="455"/>
      <c r="DF527" s="455"/>
      <c r="DG527" s="455"/>
      <c r="DH527" s="455"/>
      <c r="DI527" s="455"/>
      <c r="DJ527" s="455"/>
      <c r="DK527" s="455"/>
      <c r="DL527" s="455"/>
      <c r="DM527" s="455"/>
      <c r="DN527" s="455"/>
      <c r="DO527" s="455"/>
      <c r="DP527" s="455"/>
      <c r="DQ527" s="455"/>
      <c r="DR527" s="455"/>
      <c r="DS527" s="455"/>
      <c r="DT527" s="455"/>
      <c r="DU527" s="455"/>
      <c r="DV527" s="455"/>
      <c r="DW527" s="455"/>
      <c r="DX527" s="455"/>
      <c r="DY527" s="455"/>
      <c r="DZ527" s="455"/>
      <c r="EA527" s="455"/>
      <c r="EB527" s="455"/>
      <c r="EC527" s="455"/>
      <c r="ED527" s="455"/>
      <c r="EE527" s="455"/>
      <c r="EF527" s="455"/>
      <c r="EG527" s="455"/>
      <c r="EH527" s="455"/>
      <c r="EI527" s="455"/>
      <c r="EJ527" s="455"/>
      <c r="EK527" s="455"/>
      <c r="EL527" s="455"/>
      <c r="EM527" s="455"/>
      <c r="EN527" s="455"/>
      <c r="EO527" s="455"/>
      <c r="EP527" s="455"/>
      <c r="EQ527" s="455"/>
      <c r="ER527" s="455"/>
      <c r="ES527" s="455"/>
      <c r="ET527" s="455"/>
      <c r="EU527" s="455"/>
      <c r="EV527" s="455"/>
      <c r="EW527" s="455"/>
      <c r="EX527" s="455"/>
      <c r="EY527" s="455"/>
      <c r="EZ527" s="455"/>
      <c r="FA527" s="455"/>
      <c r="FB527" s="455"/>
      <c r="FC527" s="455"/>
      <c r="FD527" s="455"/>
      <c r="FE527" s="455"/>
      <c r="FF527" s="455"/>
      <c r="FG527" s="455"/>
      <c r="FH527" s="455"/>
      <c r="FI527" s="455"/>
      <c r="FJ527" s="455"/>
      <c r="FK527" s="455"/>
      <c r="FL527" s="455"/>
      <c r="FM527" s="455"/>
      <c r="FN527" s="455"/>
      <c r="FO527" s="455"/>
      <c r="FP527" s="455"/>
      <c r="FQ527" s="455"/>
      <c r="FR527" s="455"/>
      <c r="FS527" s="455"/>
      <c r="FT527" s="455"/>
      <c r="FU527" s="455"/>
      <c r="FV527" s="455"/>
      <c r="FW527" s="455"/>
      <c r="FX527" s="455"/>
      <c r="FY527" s="455"/>
      <c r="FZ527" s="455"/>
      <c r="GA527" s="455"/>
      <c r="GB527" s="455"/>
      <c r="GC527" s="455"/>
      <c r="GD527" s="455"/>
      <c r="GE527" s="455"/>
      <c r="GF527" s="455"/>
      <c r="GG527" s="455"/>
      <c r="GH527" s="455"/>
      <c r="GI527" s="455"/>
      <c r="GJ527" s="455"/>
      <c r="GK527" s="455"/>
      <c r="GL527" s="455"/>
      <c r="GM527" s="455"/>
      <c r="GN527" s="455"/>
      <c r="GO527" s="455"/>
      <c r="GP527" s="455"/>
      <c r="GQ527" s="455"/>
      <c r="GR527" s="455"/>
      <c r="GS527" s="455"/>
      <c r="GT527" s="455"/>
      <c r="GU527" s="455"/>
      <c r="GV527" s="455"/>
      <c r="GW527" s="455"/>
      <c r="GX527" s="455"/>
      <c r="GY527" s="455"/>
      <c r="GZ527" s="455"/>
      <c r="HA527" s="455"/>
      <c r="HB527" s="455"/>
      <c r="HC527" s="455"/>
      <c r="HD527" s="455"/>
      <c r="HE527" s="455"/>
      <c r="HF527" s="455"/>
      <c r="HG527" s="455"/>
      <c r="HH527" s="455"/>
      <c r="HI527" s="455"/>
      <c r="HJ527" s="455"/>
      <c r="HK527" s="455"/>
      <c r="HL527" s="455"/>
      <c r="HM527" s="455"/>
      <c r="HN527" s="455"/>
      <c r="HO527" s="455"/>
      <c r="HP527" s="455"/>
      <c r="HQ527" s="455"/>
      <c r="HR527" s="455"/>
      <c r="HS527" s="455"/>
      <c r="HT527" s="455"/>
      <c r="HU527" s="455"/>
      <c r="HV527" s="455"/>
      <c r="HW527" s="455"/>
      <c r="HX527" s="455"/>
      <c r="HY527" s="455"/>
      <c r="HZ527" s="455"/>
      <c r="IA527" s="455"/>
      <c r="IB527" s="455"/>
      <c r="IC527" s="455"/>
      <c r="ID527" s="455"/>
      <c r="IE527" s="455"/>
      <c r="IF527" s="455"/>
      <c r="IG527" s="455"/>
      <c r="IH527" s="455"/>
      <c r="II527" s="455"/>
      <c r="IJ527" s="455"/>
      <c r="IK527" s="455"/>
      <c r="IL527" s="455"/>
      <c r="IM527" s="455"/>
      <c r="IN527" s="455"/>
      <c r="IO527" s="455"/>
      <c r="IP527" s="455"/>
      <c r="IQ527" s="455"/>
      <c r="IR527" s="455"/>
      <c r="IS527" s="455"/>
    </row>
    <row r="528" spans="1:253" s="458" customFormat="1" ht="48.75" customHeight="1" x14ac:dyDescent="0.2">
      <c r="A528" s="444">
        <v>11739</v>
      </c>
      <c r="B528" s="445" t="s">
        <v>51</v>
      </c>
      <c r="C528" s="445" t="s">
        <v>52</v>
      </c>
      <c r="D528" s="445"/>
      <c r="E528" s="445" t="s">
        <v>286</v>
      </c>
      <c r="F528" s="470"/>
      <c r="G528" s="445" t="s">
        <v>1565</v>
      </c>
      <c r="H528" s="445">
        <v>500</v>
      </c>
      <c r="I528" s="445"/>
      <c r="J528" s="445">
        <v>22</v>
      </c>
      <c r="K528" s="447">
        <v>30</v>
      </c>
      <c r="L528" s="445" t="s">
        <v>767</v>
      </c>
      <c r="M528" s="445">
        <v>5</v>
      </c>
      <c r="N528" s="445" t="s">
        <v>208</v>
      </c>
      <c r="O528" s="461" t="s">
        <v>1590</v>
      </c>
      <c r="P528" s="450">
        <v>1.492</v>
      </c>
      <c r="Q528" s="451">
        <f t="shared" si="15"/>
        <v>1.492</v>
      </c>
      <c r="R528" s="451">
        <f>SUMIF('Wege im Detail'!$A:$A,"11739",'Wege im Detail'!$P:$P)</f>
        <v>225.90599999999998</v>
      </c>
      <c r="S528" s="452" t="s">
        <v>1567</v>
      </c>
      <c r="T528" s="453">
        <v>43952</v>
      </c>
      <c r="U528" s="448"/>
      <c r="W528" s="448"/>
    </row>
    <row r="529" spans="1:253" s="455" customFormat="1" ht="45" x14ac:dyDescent="0.2">
      <c r="A529" s="444">
        <v>11739</v>
      </c>
      <c r="B529" s="445" t="s">
        <v>51</v>
      </c>
      <c r="C529" s="445" t="s">
        <v>52</v>
      </c>
      <c r="D529" s="445"/>
      <c r="E529" s="445" t="s">
        <v>286</v>
      </c>
      <c r="F529" s="470"/>
      <c r="G529" s="445" t="s">
        <v>1565</v>
      </c>
      <c r="H529" s="445">
        <v>500</v>
      </c>
      <c r="I529" s="445"/>
      <c r="J529" s="445">
        <v>23</v>
      </c>
      <c r="K529" s="447">
        <v>30</v>
      </c>
      <c r="L529" s="445" t="s">
        <v>767</v>
      </c>
      <c r="M529" s="445">
        <v>5</v>
      </c>
      <c r="N529" s="445" t="s">
        <v>248</v>
      </c>
      <c r="O529" s="461" t="s">
        <v>1591</v>
      </c>
      <c r="P529" s="450">
        <v>8.0269999999999992</v>
      </c>
      <c r="Q529" s="451">
        <f t="shared" si="15"/>
        <v>8.0269999999999992</v>
      </c>
      <c r="R529" s="451">
        <f>SUMIF('Wege im Detail'!$A:$A,"11739",'Wege im Detail'!$P:$P)</f>
        <v>225.90599999999998</v>
      </c>
      <c r="S529" s="452" t="s">
        <v>1567</v>
      </c>
      <c r="T529" s="453">
        <v>42887</v>
      </c>
      <c r="U529" s="448"/>
      <c r="V529" s="458"/>
      <c r="W529" s="448"/>
      <c r="X529" s="458"/>
      <c r="Y529" s="458"/>
      <c r="Z529" s="458"/>
      <c r="AA529" s="458"/>
      <c r="AB529" s="458"/>
      <c r="AC529" s="458"/>
      <c r="AD529" s="458"/>
      <c r="AE529" s="458"/>
      <c r="AF529" s="458"/>
      <c r="AG529" s="458"/>
      <c r="AH529" s="458"/>
      <c r="AI529" s="458"/>
      <c r="AJ529" s="458"/>
      <c r="AK529" s="458"/>
      <c r="AL529" s="458"/>
      <c r="AM529" s="458"/>
      <c r="AN529" s="458"/>
      <c r="AO529" s="458"/>
      <c r="AP529" s="458"/>
      <c r="AQ529" s="458"/>
      <c r="AR529" s="458"/>
      <c r="AS529" s="458"/>
      <c r="AT529" s="458"/>
      <c r="AU529" s="458"/>
      <c r="AV529" s="458"/>
      <c r="AW529" s="458"/>
      <c r="AX529" s="458"/>
      <c r="AY529" s="458"/>
      <c r="AZ529" s="458"/>
      <c r="BA529" s="458"/>
      <c r="BB529" s="458"/>
      <c r="BC529" s="458"/>
      <c r="BD529" s="458"/>
      <c r="BE529" s="458"/>
      <c r="BF529" s="458"/>
      <c r="BG529" s="458"/>
      <c r="BH529" s="458"/>
      <c r="BI529" s="458"/>
      <c r="BJ529" s="458"/>
      <c r="BK529" s="458"/>
      <c r="BL529" s="458"/>
      <c r="BM529" s="458"/>
      <c r="BN529" s="458"/>
      <c r="BO529" s="458"/>
      <c r="BP529" s="458"/>
      <c r="BQ529" s="458"/>
      <c r="BR529" s="458"/>
      <c r="BS529" s="458"/>
      <c r="BT529" s="458"/>
      <c r="BU529" s="458"/>
      <c r="BV529" s="458"/>
      <c r="BW529" s="458"/>
      <c r="BX529" s="458"/>
      <c r="BY529" s="458"/>
      <c r="BZ529" s="458"/>
      <c r="CA529" s="458"/>
      <c r="CB529" s="458"/>
      <c r="CC529" s="458"/>
      <c r="CD529" s="458"/>
      <c r="CE529" s="458"/>
      <c r="CF529" s="458"/>
      <c r="CG529" s="458"/>
      <c r="CH529" s="458"/>
      <c r="CI529" s="458"/>
      <c r="CJ529" s="458"/>
      <c r="CK529" s="458"/>
      <c r="CL529" s="458"/>
      <c r="CM529" s="458"/>
      <c r="CN529" s="458"/>
      <c r="CO529" s="458"/>
      <c r="CP529" s="458"/>
      <c r="CQ529" s="458"/>
      <c r="CR529" s="458"/>
      <c r="CS529" s="458"/>
      <c r="CT529" s="458"/>
      <c r="CU529" s="458"/>
      <c r="CV529" s="458"/>
      <c r="CW529" s="458"/>
      <c r="CX529" s="458"/>
      <c r="CY529" s="458"/>
      <c r="CZ529" s="458"/>
      <c r="DA529" s="458"/>
      <c r="DB529" s="458"/>
      <c r="DC529" s="458"/>
      <c r="DD529" s="458"/>
      <c r="DE529" s="458"/>
      <c r="DF529" s="458"/>
      <c r="DG529" s="458"/>
      <c r="DH529" s="458"/>
      <c r="DI529" s="458"/>
      <c r="DJ529" s="458"/>
      <c r="DK529" s="458"/>
      <c r="DL529" s="458"/>
      <c r="DM529" s="458"/>
      <c r="DN529" s="458"/>
      <c r="DO529" s="458"/>
      <c r="DP529" s="458"/>
      <c r="DQ529" s="458"/>
      <c r="DR529" s="458"/>
      <c r="DS529" s="458"/>
      <c r="DT529" s="458"/>
      <c r="DU529" s="458"/>
      <c r="DV529" s="458"/>
      <c r="DW529" s="458"/>
      <c r="DX529" s="458"/>
      <c r="DY529" s="458"/>
      <c r="DZ529" s="458"/>
      <c r="EA529" s="458"/>
      <c r="EB529" s="458"/>
      <c r="EC529" s="458"/>
      <c r="ED529" s="458"/>
      <c r="EE529" s="458"/>
      <c r="EF529" s="458"/>
      <c r="EG529" s="458"/>
      <c r="EH529" s="458"/>
      <c r="EI529" s="458"/>
      <c r="EJ529" s="458"/>
      <c r="EK529" s="458"/>
      <c r="EL529" s="458"/>
      <c r="EM529" s="458"/>
      <c r="EN529" s="458"/>
      <c r="EO529" s="458"/>
      <c r="EP529" s="458"/>
      <c r="EQ529" s="458"/>
      <c r="ER529" s="458"/>
      <c r="ES529" s="458"/>
      <c r="ET529" s="458"/>
      <c r="EU529" s="458"/>
      <c r="EV529" s="458"/>
      <c r="EW529" s="458"/>
      <c r="EX529" s="458"/>
      <c r="EY529" s="458"/>
      <c r="EZ529" s="458"/>
      <c r="FA529" s="458"/>
      <c r="FB529" s="458"/>
      <c r="FC529" s="458"/>
      <c r="FD529" s="458"/>
      <c r="FE529" s="458"/>
      <c r="FF529" s="458"/>
      <c r="FG529" s="458"/>
      <c r="FH529" s="458"/>
      <c r="FI529" s="458"/>
      <c r="FJ529" s="458"/>
      <c r="FK529" s="458"/>
      <c r="FL529" s="458"/>
      <c r="FM529" s="458"/>
      <c r="FN529" s="458"/>
      <c r="FO529" s="458"/>
      <c r="FP529" s="458"/>
      <c r="FQ529" s="458"/>
      <c r="FR529" s="458"/>
      <c r="FS529" s="458"/>
      <c r="FT529" s="458"/>
      <c r="FU529" s="458"/>
      <c r="FV529" s="458"/>
      <c r="FW529" s="458"/>
      <c r="FX529" s="458"/>
      <c r="FY529" s="458"/>
      <c r="FZ529" s="458"/>
      <c r="GA529" s="458"/>
      <c r="GB529" s="458"/>
      <c r="GC529" s="458"/>
      <c r="GD529" s="458"/>
      <c r="GE529" s="458"/>
      <c r="GF529" s="458"/>
      <c r="GG529" s="458"/>
      <c r="GH529" s="458"/>
      <c r="GI529" s="458"/>
      <c r="GJ529" s="458"/>
      <c r="GK529" s="458"/>
      <c r="GL529" s="458"/>
      <c r="GM529" s="458"/>
      <c r="GN529" s="458"/>
      <c r="GO529" s="458"/>
      <c r="GP529" s="458"/>
      <c r="GQ529" s="458"/>
      <c r="GR529" s="458"/>
      <c r="GS529" s="458"/>
      <c r="GT529" s="458"/>
      <c r="GU529" s="458"/>
      <c r="GV529" s="458"/>
      <c r="GW529" s="458"/>
      <c r="GX529" s="458"/>
      <c r="GY529" s="458"/>
      <c r="GZ529" s="458"/>
      <c r="HA529" s="458"/>
      <c r="HB529" s="458"/>
      <c r="HC529" s="458"/>
      <c r="HD529" s="458"/>
      <c r="HE529" s="458"/>
      <c r="HF529" s="458"/>
      <c r="HG529" s="458"/>
      <c r="HH529" s="458"/>
      <c r="HI529" s="458"/>
      <c r="HJ529" s="458"/>
      <c r="HK529" s="458"/>
      <c r="HL529" s="458"/>
      <c r="HM529" s="458"/>
      <c r="HN529" s="458"/>
      <c r="HO529" s="458"/>
      <c r="HP529" s="458"/>
      <c r="HQ529" s="458"/>
      <c r="HR529" s="458"/>
      <c r="HS529" s="458"/>
      <c r="HT529" s="458"/>
      <c r="HU529" s="458"/>
      <c r="HV529" s="458"/>
      <c r="HW529" s="458"/>
      <c r="HX529" s="458"/>
      <c r="HY529" s="458"/>
      <c r="HZ529" s="458"/>
      <c r="IA529" s="458"/>
      <c r="IB529" s="458"/>
      <c r="IC529" s="458"/>
      <c r="ID529" s="458"/>
      <c r="IE529" s="458"/>
      <c r="IF529" s="458"/>
      <c r="IG529" s="458"/>
      <c r="IH529" s="458"/>
      <c r="II529" s="458"/>
      <c r="IJ529" s="458"/>
      <c r="IK529" s="458"/>
      <c r="IL529" s="458"/>
      <c r="IM529" s="458"/>
      <c r="IN529" s="458"/>
      <c r="IO529" s="458"/>
      <c r="IP529" s="458"/>
      <c r="IQ529" s="458"/>
      <c r="IR529" s="458"/>
      <c r="IS529" s="458"/>
    </row>
    <row r="530" spans="1:253" s="455" customFormat="1" ht="45" x14ac:dyDescent="0.2">
      <c r="A530" s="438">
        <v>11739</v>
      </c>
      <c r="B530" s="445" t="s">
        <v>51</v>
      </c>
      <c r="C530" s="445" t="s">
        <v>52</v>
      </c>
      <c r="D530" s="445"/>
      <c r="E530" s="445" t="s">
        <v>286</v>
      </c>
      <c r="F530" s="470"/>
      <c r="G530" s="445" t="s">
        <v>1565</v>
      </c>
      <c r="H530" s="445">
        <v>500</v>
      </c>
      <c r="I530" s="445"/>
      <c r="J530" s="445">
        <v>24</v>
      </c>
      <c r="K530" s="447">
        <v>30</v>
      </c>
      <c r="L530" s="445" t="s">
        <v>767</v>
      </c>
      <c r="M530" s="445">
        <v>3</v>
      </c>
      <c r="N530" s="445" t="s">
        <v>202</v>
      </c>
      <c r="O530" s="461" t="s">
        <v>1592</v>
      </c>
      <c r="P530" s="450">
        <v>10.305</v>
      </c>
      <c r="Q530" s="451">
        <f t="shared" si="15"/>
        <v>10.305</v>
      </c>
      <c r="R530" s="451">
        <f>SUMIF('Wege im Detail'!$A:$A,"11739",'Wege im Detail'!$P:$P)</f>
        <v>225.90599999999998</v>
      </c>
      <c r="S530" s="452" t="s">
        <v>1567</v>
      </c>
      <c r="T530" s="453">
        <v>42887</v>
      </c>
      <c r="U530" s="448" t="s">
        <v>1593</v>
      </c>
      <c r="V530" s="479" t="s">
        <v>1594</v>
      </c>
      <c r="W530" s="448"/>
      <c r="X530" s="458"/>
      <c r="Y530" s="458"/>
      <c r="Z530" s="458"/>
      <c r="AA530" s="458"/>
      <c r="AB530" s="458"/>
      <c r="AC530" s="458"/>
      <c r="AD530" s="458"/>
      <c r="AE530" s="458"/>
      <c r="AF530" s="458"/>
      <c r="AG530" s="458"/>
      <c r="AH530" s="458"/>
      <c r="AI530" s="458"/>
      <c r="AJ530" s="458"/>
      <c r="AK530" s="458"/>
      <c r="AL530" s="458"/>
      <c r="AM530" s="458"/>
      <c r="AN530" s="458"/>
      <c r="AO530" s="458"/>
      <c r="AP530" s="458"/>
      <c r="AQ530" s="458"/>
      <c r="AR530" s="458"/>
      <c r="AS530" s="458"/>
      <c r="AT530" s="458"/>
      <c r="AU530" s="458"/>
      <c r="AV530" s="458"/>
      <c r="AW530" s="458"/>
      <c r="AX530" s="458"/>
      <c r="AY530" s="458"/>
      <c r="AZ530" s="458"/>
      <c r="BA530" s="458"/>
      <c r="BB530" s="458"/>
      <c r="BC530" s="458"/>
      <c r="BD530" s="458"/>
      <c r="BE530" s="458"/>
      <c r="BF530" s="458"/>
      <c r="BG530" s="458"/>
      <c r="BH530" s="458"/>
      <c r="BI530" s="458"/>
      <c r="BJ530" s="458"/>
      <c r="BK530" s="458"/>
      <c r="BL530" s="458"/>
      <c r="BM530" s="458"/>
      <c r="BN530" s="458"/>
      <c r="BO530" s="458"/>
      <c r="BP530" s="458"/>
      <c r="BQ530" s="458"/>
      <c r="BR530" s="458"/>
      <c r="BS530" s="458"/>
      <c r="BT530" s="458"/>
      <c r="BU530" s="458"/>
      <c r="BV530" s="458"/>
      <c r="BW530" s="458"/>
      <c r="BX530" s="458"/>
      <c r="BY530" s="458"/>
      <c r="BZ530" s="458"/>
      <c r="CA530" s="458"/>
      <c r="CB530" s="458"/>
      <c r="CC530" s="458"/>
      <c r="CD530" s="458"/>
      <c r="CE530" s="458"/>
      <c r="CF530" s="458"/>
      <c r="CG530" s="458"/>
      <c r="CH530" s="458"/>
      <c r="CI530" s="458"/>
      <c r="CJ530" s="458"/>
      <c r="CK530" s="458"/>
      <c r="CL530" s="458"/>
      <c r="CM530" s="458"/>
      <c r="CN530" s="458"/>
      <c r="CO530" s="458"/>
      <c r="CP530" s="458"/>
      <c r="CQ530" s="458"/>
      <c r="CR530" s="458"/>
      <c r="CS530" s="458"/>
      <c r="CT530" s="458"/>
      <c r="CU530" s="458"/>
      <c r="CV530" s="458"/>
      <c r="CW530" s="458"/>
      <c r="CX530" s="458"/>
      <c r="CY530" s="458"/>
      <c r="CZ530" s="458"/>
      <c r="DA530" s="458"/>
      <c r="DB530" s="458"/>
      <c r="DC530" s="458"/>
      <c r="DD530" s="458"/>
      <c r="DE530" s="458"/>
      <c r="DF530" s="458"/>
      <c r="DG530" s="458"/>
      <c r="DH530" s="458"/>
      <c r="DI530" s="458"/>
      <c r="DJ530" s="458"/>
      <c r="DK530" s="458"/>
      <c r="DL530" s="458"/>
      <c r="DM530" s="458"/>
      <c r="DN530" s="458"/>
      <c r="DO530" s="458"/>
      <c r="DP530" s="458"/>
      <c r="DQ530" s="458"/>
      <c r="DR530" s="458"/>
      <c r="DS530" s="458"/>
      <c r="DT530" s="458"/>
      <c r="DU530" s="458"/>
      <c r="DV530" s="458"/>
      <c r="DW530" s="458"/>
      <c r="DX530" s="458"/>
      <c r="DY530" s="458"/>
      <c r="DZ530" s="458"/>
      <c r="EA530" s="458"/>
      <c r="EB530" s="458"/>
      <c r="EC530" s="458"/>
      <c r="ED530" s="458"/>
      <c r="EE530" s="458"/>
      <c r="EF530" s="458"/>
      <c r="EG530" s="458"/>
      <c r="EH530" s="458"/>
      <c r="EI530" s="458"/>
      <c r="EJ530" s="458"/>
      <c r="EK530" s="458"/>
      <c r="EL530" s="458"/>
      <c r="EM530" s="458"/>
      <c r="EN530" s="458"/>
      <c r="EO530" s="458"/>
      <c r="EP530" s="458"/>
      <c r="EQ530" s="458"/>
      <c r="ER530" s="458"/>
      <c r="ES530" s="458"/>
      <c r="ET530" s="458"/>
      <c r="EU530" s="458"/>
      <c r="EV530" s="458"/>
      <c r="EW530" s="458"/>
      <c r="EX530" s="458"/>
      <c r="EY530" s="458"/>
      <c r="EZ530" s="458"/>
      <c r="FA530" s="458"/>
      <c r="FB530" s="458"/>
      <c r="FC530" s="458"/>
      <c r="FD530" s="458"/>
      <c r="FE530" s="458"/>
      <c r="FF530" s="458"/>
      <c r="FG530" s="458"/>
      <c r="FH530" s="458"/>
      <c r="FI530" s="458"/>
      <c r="FJ530" s="458"/>
      <c r="FK530" s="458"/>
      <c r="FL530" s="458"/>
      <c r="FM530" s="458"/>
      <c r="FN530" s="458"/>
      <c r="FO530" s="458"/>
      <c r="FP530" s="458"/>
      <c r="FQ530" s="458"/>
      <c r="FR530" s="458"/>
      <c r="FS530" s="458"/>
      <c r="FT530" s="458"/>
      <c r="FU530" s="458"/>
      <c r="FV530" s="458"/>
      <c r="FW530" s="458"/>
      <c r="FX530" s="458"/>
      <c r="FY530" s="458"/>
      <c r="FZ530" s="458"/>
      <c r="GA530" s="458"/>
      <c r="GB530" s="458"/>
      <c r="GC530" s="458"/>
      <c r="GD530" s="458"/>
      <c r="GE530" s="458"/>
      <c r="GF530" s="458"/>
      <c r="GG530" s="458"/>
      <c r="GH530" s="458"/>
      <c r="GI530" s="458"/>
      <c r="GJ530" s="458"/>
      <c r="GK530" s="458"/>
      <c r="GL530" s="458"/>
      <c r="GM530" s="458"/>
      <c r="GN530" s="458"/>
      <c r="GO530" s="458"/>
      <c r="GP530" s="458"/>
      <c r="GQ530" s="458"/>
      <c r="GR530" s="458"/>
      <c r="GS530" s="458"/>
      <c r="GT530" s="458"/>
      <c r="GU530" s="458"/>
      <c r="GV530" s="458"/>
      <c r="GW530" s="458"/>
      <c r="GX530" s="458"/>
      <c r="GY530" s="458"/>
      <c r="GZ530" s="458"/>
      <c r="HA530" s="458"/>
      <c r="HB530" s="458"/>
      <c r="HC530" s="458"/>
      <c r="HD530" s="458"/>
      <c r="HE530" s="458"/>
      <c r="HF530" s="458"/>
      <c r="HG530" s="458"/>
      <c r="HH530" s="458"/>
      <c r="HI530" s="458"/>
      <c r="HJ530" s="458"/>
      <c r="HK530" s="458"/>
      <c r="HL530" s="458"/>
      <c r="HM530" s="458"/>
      <c r="HN530" s="458"/>
      <c r="HO530" s="458"/>
      <c r="HP530" s="458"/>
      <c r="HQ530" s="458"/>
      <c r="HR530" s="458"/>
      <c r="HS530" s="458"/>
      <c r="HT530" s="458"/>
      <c r="HU530" s="458"/>
      <c r="HV530" s="458"/>
      <c r="HW530" s="458"/>
      <c r="HX530" s="458"/>
      <c r="HY530" s="458"/>
      <c r="HZ530" s="458"/>
      <c r="IA530" s="458"/>
      <c r="IB530" s="458"/>
      <c r="IC530" s="458"/>
      <c r="ID530" s="458"/>
      <c r="IE530" s="458"/>
      <c r="IF530" s="458"/>
      <c r="IG530" s="458"/>
      <c r="IH530" s="458"/>
      <c r="II530" s="458"/>
      <c r="IJ530" s="458"/>
      <c r="IK530" s="458"/>
      <c r="IL530" s="458"/>
      <c r="IM530" s="458"/>
      <c r="IN530" s="458"/>
      <c r="IO530" s="458"/>
      <c r="IP530" s="458"/>
      <c r="IQ530" s="458"/>
      <c r="IR530" s="458"/>
      <c r="IS530" s="458"/>
    </row>
    <row r="531" spans="1:253" s="458" customFormat="1" ht="45" x14ac:dyDescent="0.2">
      <c r="A531" s="441">
        <v>11739</v>
      </c>
      <c r="B531" s="445" t="s">
        <v>51</v>
      </c>
      <c r="C531" s="445" t="s">
        <v>52</v>
      </c>
      <c r="D531" s="445"/>
      <c r="E531" s="445" t="s">
        <v>286</v>
      </c>
      <c r="F531" s="470"/>
      <c r="G531" s="445" t="s">
        <v>1565</v>
      </c>
      <c r="H531" s="445">
        <v>500</v>
      </c>
      <c r="I531" s="445"/>
      <c r="J531" s="445">
        <v>25</v>
      </c>
      <c r="K531" s="447">
        <v>30</v>
      </c>
      <c r="L531" s="445" t="s">
        <v>767</v>
      </c>
      <c r="M531" s="445">
        <v>3</v>
      </c>
      <c r="N531" s="445" t="s">
        <v>187</v>
      </c>
      <c r="O531" s="461" t="s">
        <v>1595</v>
      </c>
      <c r="P531" s="450">
        <v>10.201000000000001</v>
      </c>
      <c r="Q531" s="451">
        <f t="shared" si="15"/>
        <v>10.201000000000001</v>
      </c>
      <c r="R531" s="451">
        <f>SUMIF('Wege im Detail'!$A:$A,"11739",'Wege im Detail'!$P:$P)</f>
        <v>225.90599999999998</v>
      </c>
      <c r="S531" s="452" t="s">
        <v>1567</v>
      </c>
      <c r="T531" s="453">
        <v>43952</v>
      </c>
      <c r="U531" s="448"/>
      <c r="V531" s="442" t="s">
        <v>1596</v>
      </c>
      <c r="W531" s="448"/>
    </row>
    <row r="532" spans="1:253" s="458" customFormat="1" ht="45" x14ac:dyDescent="0.2">
      <c r="A532" s="444">
        <v>11739</v>
      </c>
      <c r="B532" s="445" t="s">
        <v>51</v>
      </c>
      <c r="C532" s="445" t="s">
        <v>52</v>
      </c>
      <c r="D532" s="445"/>
      <c r="E532" s="445" t="s">
        <v>286</v>
      </c>
      <c r="F532" s="470"/>
      <c r="G532" s="445" t="s">
        <v>1565</v>
      </c>
      <c r="H532" s="445">
        <v>500</v>
      </c>
      <c r="I532" s="445"/>
      <c r="J532" s="445">
        <v>26</v>
      </c>
      <c r="K532" s="447">
        <v>30</v>
      </c>
      <c r="L532" s="445" t="s">
        <v>767</v>
      </c>
      <c r="M532" s="445">
        <v>3</v>
      </c>
      <c r="N532" s="445" t="s">
        <v>206</v>
      </c>
      <c r="O532" s="461" t="s">
        <v>1597</v>
      </c>
      <c r="P532" s="450">
        <v>1.9870000000000001</v>
      </c>
      <c r="Q532" s="451">
        <f t="shared" si="15"/>
        <v>1.9870000000000001</v>
      </c>
      <c r="R532" s="451">
        <f>SUMIF('Wege im Detail'!$A:$A,"11739",'Wege im Detail'!$P:$P)</f>
        <v>225.90599999999998</v>
      </c>
      <c r="S532" s="452" t="s">
        <v>1567</v>
      </c>
      <c r="T532" s="453">
        <v>42887</v>
      </c>
      <c r="U532" s="448"/>
      <c r="W532" s="448"/>
    </row>
    <row r="533" spans="1:253" s="458" customFormat="1" ht="33.75" x14ac:dyDescent="0.2">
      <c r="A533" s="444">
        <v>11739</v>
      </c>
      <c r="B533" s="445" t="s">
        <v>51</v>
      </c>
      <c r="C533" s="445" t="s">
        <v>52</v>
      </c>
      <c r="D533" s="445"/>
      <c r="E533" s="445" t="s">
        <v>286</v>
      </c>
      <c r="F533" s="470"/>
      <c r="G533" s="445" t="s">
        <v>1565</v>
      </c>
      <c r="H533" s="445">
        <v>500</v>
      </c>
      <c r="I533" s="445"/>
      <c r="J533" s="445">
        <v>27</v>
      </c>
      <c r="K533" s="447">
        <v>30</v>
      </c>
      <c r="L533" s="445" t="s">
        <v>767</v>
      </c>
      <c r="M533" s="445">
        <v>3</v>
      </c>
      <c r="N533" s="445" t="s">
        <v>303</v>
      </c>
      <c r="O533" s="461" t="s">
        <v>1598</v>
      </c>
      <c r="P533" s="450">
        <v>3.0529999999999999</v>
      </c>
      <c r="Q533" s="451">
        <f t="shared" si="15"/>
        <v>3.0529999999999999</v>
      </c>
      <c r="R533" s="451">
        <f>SUMIF('Wege im Detail'!$A:$A,"11739",'Wege im Detail'!$P:$P)</f>
        <v>225.90599999999998</v>
      </c>
      <c r="S533" s="452" t="s">
        <v>1567</v>
      </c>
      <c r="T533" s="453">
        <v>42887</v>
      </c>
      <c r="U533" s="448"/>
      <c r="W533" s="448"/>
    </row>
    <row r="534" spans="1:253" s="458" customFormat="1" ht="45" x14ac:dyDescent="0.2">
      <c r="A534" s="444">
        <v>11739</v>
      </c>
      <c r="B534" s="445" t="s">
        <v>51</v>
      </c>
      <c r="C534" s="445" t="s">
        <v>52</v>
      </c>
      <c r="D534" s="445"/>
      <c r="E534" s="445" t="s">
        <v>286</v>
      </c>
      <c r="F534" s="470"/>
      <c r="G534" s="445" t="s">
        <v>1565</v>
      </c>
      <c r="H534" s="445">
        <v>500</v>
      </c>
      <c r="I534" s="445"/>
      <c r="J534" s="445">
        <v>28</v>
      </c>
      <c r="K534" s="447">
        <v>30</v>
      </c>
      <c r="L534" s="445" t="s">
        <v>767</v>
      </c>
      <c r="M534" s="445">
        <v>3</v>
      </c>
      <c r="N534" s="445" t="s">
        <v>351</v>
      </c>
      <c r="O534" s="461" t="s">
        <v>1599</v>
      </c>
      <c r="P534" s="450">
        <v>7.2</v>
      </c>
      <c r="Q534" s="451">
        <f t="shared" si="15"/>
        <v>7.2</v>
      </c>
      <c r="R534" s="451">
        <f>SUMIF('Wege im Detail'!$A:$A,"11739",'Wege im Detail'!$P:$P)</f>
        <v>225.90599999999998</v>
      </c>
      <c r="S534" s="452" t="s">
        <v>1567</v>
      </c>
      <c r="T534" s="453">
        <v>42887</v>
      </c>
      <c r="U534" s="448"/>
      <c r="W534" s="448"/>
    </row>
    <row r="535" spans="1:253" s="458" customFormat="1" ht="33.75" x14ac:dyDescent="0.2">
      <c r="A535" s="444">
        <v>11739</v>
      </c>
      <c r="B535" s="445" t="s">
        <v>51</v>
      </c>
      <c r="C535" s="445" t="s">
        <v>52</v>
      </c>
      <c r="D535" s="445"/>
      <c r="E535" s="445" t="s">
        <v>286</v>
      </c>
      <c r="F535" s="470"/>
      <c r="G535" s="445" t="s">
        <v>1565</v>
      </c>
      <c r="H535" s="445">
        <v>500</v>
      </c>
      <c r="I535" s="445"/>
      <c r="J535" s="445">
        <v>29</v>
      </c>
      <c r="K535" s="447">
        <v>30</v>
      </c>
      <c r="L535" s="445" t="s">
        <v>767</v>
      </c>
      <c r="M535" s="445">
        <v>3</v>
      </c>
      <c r="N535" s="445" t="s">
        <v>466</v>
      </c>
      <c r="O535" s="461" t="s">
        <v>1600</v>
      </c>
      <c r="P535" s="450">
        <v>3.8319999999999999</v>
      </c>
      <c r="Q535" s="451">
        <f t="shared" si="15"/>
        <v>3.8319999999999999</v>
      </c>
      <c r="R535" s="451">
        <f>SUMIF('Wege im Detail'!$A:$A,"11739",'Wege im Detail'!$P:$P)</f>
        <v>225.90599999999998</v>
      </c>
      <c r="S535" s="452" t="s">
        <v>1567</v>
      </c>
      <c r="T535" s="453">
        <v>42887</v>
      </c>
      <c r="U535" s="448"/>
      <c r="W535" s="448"/>
    </row>
    <row r="536" spans="1:253" s="458" customFormat="1" ht="45" x14ac:dyDescent="0.2">
      <c r="A536" s="444">
        <v>11739</v>
      </c>
      <c r="B536" s="445" t="s">
        <v>51</v>
      </c>
      <c r="C536" s="445" t="s">
        <v>52</v>
      </c>
      <c r="D536" s="445"/>
      <c r="E536" s="445" t="s">
        <v>286</v>
      </c>
      <c r="F536" s="470"/>
      <c r="G536" s="445" t="s">
        <v>1565</v>
      </c>
      <c r="H536" s="445">
        <v>500</v>
      </c>
      <c r="I536" s="445"/>
      <c r="J536" s="445">
        <v>30</v>
      </c>
      <c r="K536" s="447">
        <v>30</v>
      </c>
      <c r="L536" s="445" t="s">
        <v>767</v>
      </c>
      <c r="M536" s="445">
        <v>3</v>
      </c>
      <c r="N536" s="445" t="s">
        <v>226</v>
      </c>
      <c r="O536" s="461" t="s">
        <v>1601</v>
      </c>
      <c r="P536" s="450">
        <v>26.785</v>
      </c>
      <c r="Q536" s="451">
        <f t="shared" si="15"/>
        <v>26.785</v>
      </c>
      <c r="R536" s="451">
        <f>SUMIF('Wege im Detail'!$A:$A,"11739",'Wege im Detail'!$P:$P)</f>
        <v>225.90599999999998</v>
      </c>
      <c r="S536" s="452" t="s">
        <v>1567</v>
      </c>
      <c r="T536" s="453">
        <v>42887</v>
      </c>
      <c r="U536" s="448"/>
      <c r="W536" s="448"/>
      <c r="X536" s="455"/>
      <c r="Y536" s="455"/>
      <c r="Z536" s="455"/>
      <c r="AA536" s="455"/>
      <c r="AB536" s="455"/>
      <c r="AC536" s="455"/>
      <c r="AD536" s="455"/>
      <c r="AE536" s="455"/>
      <c r="AF536" s="455"/>
      <c r="AG536" s="455"/>
      <c r="AH536" s="455"/>
      <c r="AI536" s="455"/>
      <c r="AJ536" s="455"/>
      <c r="AK536" s="455"/>
      <c r="AL536" s="455"/>
      <c r="AM536" s="455"/>
      <c r="AN536" s="455"/>
      <c r="AO536" s="455"/>
      <c r="AP536" s="455"/>
      <c r="AQ536" s="455"/>
      <c r="AR536" s="455"/>
      <c r="AS536" s="455"/>
      <c r="AT536" s="455"/>
      <c r="AU536" s="455"/>
      <c r="AV536" s="455"/>
      <c r="AW536" s="455"/>
      <c r="AX536" s="455"/>
      <c r="AY536" s="455"/>
      <c r="AZ536" s="455"/>
      <c r="BA536" s="455"/>
      <c r="BB536" s="455"/>
      <c r="BC536" s="455"/>
      <c r="BD536" s="455"/>
      <c r="BE536" s="455"/>
      <c r="BF536" s="455"/>
      <c r="BG536" s="455"/>
      <c r="BH536" s="455"/>
      <c r="BI536" s="455"/>
      <c r="BJ536" s="455"/>
      <c r="BK536" s="455"/>
      <c r="BL536" s="455"/>
      <c r="BM536" s="455"/>
      <c r="BN536" s="455"/>
      <c r="BO536" s="455"/>
      <c r="BP536" s="455"/>
      <c r="BQ536" s="455"/>
      <c r="BR536" s="455"/>
      <c r="BS536" s="455"/>
      <c r="BT536" s="455"/>
      <c r="BU536" s="455"/>
      <c r="BV536" s="455"/>
      <c r="BW536" s="455"/>
      <c r="BX536" s="455"/>
      <c r="BY536" s="455"/>
      <c r="BZ536" s="455"/>
      <c r="CA536" s="455"/>
      <c r="CB536" s="455"/>
      <c r="CC536" s="455"/>
      <c r="CD536" s="455"/>
      <c r="CE536" s="455"/>
      <c r="CF536" s="455"/>
      <c r="CG536" s="455"/>
      <c r="CH536" s="455"/>
      <c r="CI536" s="455"/>
      <c r="CJ536" s="455"/>
      <c r="CK536" s="455"/>
      <c r="CL536" s="455"/>
      <c r="CM536" s="455"/>
      <c r="CN536" s="455"/>
      <c r="CO536" s="455"/>
      <c r="CP536" s="455"/>
      <c r="CQ536" s="455"/>
      <c r="CR536" s="455"/>
      <c r="CS536" s="455"/>
      <c r="CT536" s="455"/>
      <c r="CU536" s="455"/>
      <c r="CV536" s="455"/>
      <c r="CW536" s="455"/>
      <c r="CX536" s="455"/>
      <c r="CY536" s="455"/>
      <c r="CZ536" s="455"/>
      <c r="DA536" s="455"/>
      <c r="DB536" s="455"/>
      <c r="DC536" s="455"/>
      <c r="DD536" s="455"/>
      <c r="DE536" s="455"/>
      <c r="DF536" s="455"/>
      <c r="DG536" s="455"/>
      <c r="DH536" s="455"/>
      <c r="DI536" s="455"/>
      <c r="DJ536" s="455"/>
      <c r="DK536" s="455"/>
      <c r="DL536" s="455"/>
      <c r="DM536" s="455"/>
      <c r="DN536" s="455"/>
      <c r="DO536" s="455"/>
      <c r="DP536" s="455"/>
      <c r="DQ536" s="455"/>
      <c r="DR536" s="455"/>
      <c r="DS536" s="455"/>
      <c r="DT536" s="455"/>
      <c r="DU536" s="455"/>
      <c r="DV536" s="455"/>
      <c r="DW536" s="455"/>
      <c r="DX536" s="455"/>
      <c r="DY536" s="455"/>
      <c r="DZ536" s="455"/>
      <c r="EA536" s="455"/>
      <c r="EB536" s="455"/>
      <c r="EC536" s="455"/>
      <c r="ED536" s="455"/>
      <c r="EE536" s="455"/>
      <c r="EF536" s="455"/>
      <c r="EG536" s="455"/>
      <c r="EH536" s="455"/>
      <c r="EI536" s="455"/>
      <c r="EJ536" s="455"/>
      <c r="EK536" s="455"/>
      <c r="EL536" s="455"/>
      <c r="EM536" s="455"/>
      <c r="EN536" s="455"/>
      <c r="EO536" s="455"/>
      <c r="EP536" s="455"/>
      <c r="EQ536" s="455"/>
      <c r="ER536" s="455"/>
      <c r="ES536" s="455"/>
      <c r="ET536" s="455"/>
      <c r="EU536" s="455"/>
      <c r="EV536" s="455"/>
      <c r="EW536" s="455"/>
      <c r="EX536" s="455"/>
      <c r="EY536" s="455"/>
      <c r="EZ536" s="455"/>
      <c r="FA536" s="455"/>
      <c r="FB536" s="455"/>
      <c r="FC536" s="455"/>
      <c r="FD536" s="455"/>
      <c r="FE536" s="455"/>
      <c r="FF536" s="455"/>
      <c r="FG536" s="455"/>
      <c r="FH536" s="455"/>
      <c r="FI536" s="455"/>
      <c r="FJ536" s="455"/>
      <c r="FK536" s="455"/>
      <c r="FL536" s="455"/>
      <c r="FM536" s="455"/>
      <c r="FN536" s="455"/>
      <c r="FO536" s="455"/>
      <c r="FP536" s="455"/>
      <c r="FQ536" s="455"/>
      <c r="FR536" s="455"/>
      <c r="FS536" s="455"/>
      <c r="FT536" s="455"/>
      <c r="FU536" s="455"/>
      <c r="FV536" s="455"/>
      <c r="FW536" s="455"/>
      <c r="FX536" s="455"/>
      <c r="FY536" s="455"/>
      <c r="FZ536" s="455"/>
      <c r="GA536" s="455"/>
      <c r="GB536" s="455"/>
      <c r="GC536" s="455"/>
      <c r="GD536" s="455"/>
      <c r="GE536" s="455"/>
      <c r="GF536" s="455"/>
      <c r="GG536" s="455"/>
      <c r="GH536" s="455"/>
      <c r="GI536" s="455"/>
      <c r="GJ536" s="455"/>
      <c r="GK536" s="455"/>
      <c r="GL536" s="455"/>
      <c r="GM536" s="455"/>
      <c r="GN536" s="455"/>
      <c r="GO536" s="455"/>
      <c r="GP536" s="455"/>
      <c r="GQ536" s="455"/>
      <c r="GR536" s="455"/>
      <c r="GS536" s="455"/>
      <c r="GT536" s="455"/>
      <c r="GU536" s="455"/>
      <c r="GV536" s="455"/>
      <c r="GW536" s="455"/>
      <c r="GX536" s="455"/>
      <c r="GY536" s="455"/>
      <c r="GZ536" s="455"/>
      <c r="HA536" s="455"/>
      <c r="HB536" s="455"/>
      <c r="HC536" s="455"/>
      <c r="HD536" s="455"/>
      <c r="HE536" s="455"/>
      <c r="HF536" s="455"/>
      <c r="HG536" s="455"/>
      <c r="HH536" s="455"/>
      <c r="HI536" s="455"/>
      <c r="HJ536" s="455"/>
      <c r="HK536" s="455"/>
      <c r="HL536" s="455"/>
      <c r="HM536" s="455"/>
      <c r="HN536" s="455"/>
      <c r="HO536" s="455"/>
      <c r="HP536" s="455"/>
      <c r="HQ536" s="455"/>
      <c r="HR536" s="455"/>
      <c r="HS536" s="455"/>
      <c r="HT536" s="455"/>
      <c r="HU536" s="455"/>
      <c r="HV536" s="455"/>
      <c r="HW536" s="455"/>
      <c r="HX536" s="455"/>
      <c r="HY536" s="455"/>
      <c r="HZ536" s="455"/>
      <c r="IA536" s="455"/>
      <c r="IB536" s="455"/>
      <c r="IC536" s="455"/>
      <c r="ID536" s="455"/>
      <c r="IE536" s="455"/>
      <c r="IF536" s="455"/>
      <c r="IG536" s="455"/>
      <c r="IH536" s="455"/>
      <c r="II536" s="455"/>
      <c r="IJ536" s="455"/>
      <c r="IK536" s="455"/>
      <c r="IL536" s="455"/>
      <c r="IM536" s="455"/>
      <c r="IN536" s="455"/>
      <c r="IO536" s="455"/>
      <c r="IP536" s="455"/>
      <c r="IQ536" s="455"/>
      <c r="IR536" s="455"/>
      <c r="IS536" s="455"/>
    </row>
    <row r="537" spans="1:253" s="458" customFormat="1" ht="45" x14ac:dyDescent="0.2">
      <c r="A537" s="444">
        <v>13342</v>
      </c>
      <c r="B537" s="445" t="s">
        <v>84</v>
      </c>
      <c r="C537" s="445" t="s">
        <v>85</v>
      </c>
      <c r="D537" s="445"/>
      <c r="E537" s="445"/>
      <c r="F537" s="445"/>
      <c r="G537" s="496">
        <v>218</v>
      </c>
      <c r="H537" s="445" t="s">
        <v>771</v>
      </c>
      <c r="I537" s="445"/>
      <c r="J537" s="445"/>
      <c r="K537" s="447"/>
      <c r="L537" s="445" t="s">
        <v>168</v>
      </c>
      <c r="M537" s="445">
        <v>1</v>
      </c>
      <c r="N537" s="445" t="s">
        <v>384</v>
      </c>
      <c r="O537" s="449" t="s">
        <v>1602</v>
      </c>
      <c r="P537" s="450">
        <v>3.3050000000000002</v>
      </c>
      <c r="Q537" s="451">
        <f t="shared" si="15"/>
        <v>3.3050000000000002</v>
      </c>
      <c r="R537" s="451">
        <f>SUMIF('Wege im Detail'!$A:$A,"13342",'Wege im Detail'!$P:$P)</f>
        <v>3.3050000000000002</v>
      </c>
      <c r="S537" s="452" t="s">
        <v>772</v>
      </c>
      <c r="T537" s="453">
        <v>43922</v>
      </c>
      <c r="U537" s="448"/>
      <c r="W537" s="448"/>
      <c r="X537" s="455"/>
      <c r="Y537" s="455"/>
      <c r="Z537" s="455"/>
      <c r="AA537" s="455"/>
      <c r="AB537" s="455"/>
      <c r="AC537" s="455"/>
      <c r="AD537" s="455"/>
      <c r="AE537" s="455"/>
      <c r="AF537" s="455"/>
      <c r="AG537" s="455"/>
      <c r="AH537" s="455"/>
      <c r="AI537" s="455"/>
      <c r="AJ537" s="455"/>
      <c r="AK537" s="455"/>
      <c r="AL537" s="455"/>
      <c r="AM537" s="455"/>
      <c r="AN537" s="455"/>
      <c r="AO537" s="455"/>
      <c r="AP537" s="455"/>
      <c r="AQ537" s="455"/>
      <c r="AR537" s="455"/>
      <c r="AS537" s="455"/>
      <c r="AT537" s="455"/>
      <c r="AU537" s="455"/>
      <c r="AV537" s="455"/>
      <c r="AW537" s="455"/>
      <c r="AX537" s="455"/>
      <c r="AY537" s="455"/>
      <c r="AZ537" s="455"/>
      <c r="BA537" s="455"/>
      <c r="BB537" s="455"/>
      <c r="BC537" s="455"/>
      <c r="BD537" s="455"/>
      <c r="BE537" s="455"/>
      <c r="BF537" s="455"/>
      <c r="BG537" s="455"/>
      <c r="BH537" s="455"/>
      <c r="BI537" s="455"/>
      <c r="BJ537" s="455"/>
      <c r="BK537" s="455"/>
      <c r="BL537" s="455"/>
      <c r="BM537" s="455"/>
      <c r="BN537" s="455"/>
      <c r="BO537" s="455"/>
      <c r="BP537" s="455"/>
      <c r="BQ537" s="455"/>
      <c r="BR537" s="455"/>
      <c r="BS537" s="455"/>
      <c r="BT537" s="455"/>
      <c r="BU537" s="455"/>
      <c r="BV537" s="455"/>
      <c r="BW537" s="455"/>
      <c r="BX537" s="455"/>
      <c r="BY537" s="455"/>
      <c r="BZ537" s="455"/>
      <c r="CA537" s="455"/>
      <c r="CB537" s="455"/>
      <c r="CC537" s="455"/>
      <c r="CD537" s="455"/>
      <c r="CE537" s="455"/>
      <c r="CF537" s="455"/>
      <c r="CG537" s="455"/>
      <c r="CH537" s="455"/>
      <c r="CI537" s="455"/>
      <c r="CJ537" s="455"/>
      <c r="CK537" s="455"/>
      <c r="CL537" s="455"/>
      <c r="CM537" s="455"/>
      <c r="CN537" s="455"/>
      <c r="CO537" s="455"/>
      <c r="CP537" s="455"/>
      <c r="CQ537" s="455"/>
      <c r="CR537" s="455"/>
      <c r="CS537" s="455"/>
      <c r="CT537" s="455"/>
      <c r="CU537" s="455"/>
      <c r="CV537" s="455"/>
      <c r="CW537" s="455"/>
      <c r="CX537" s="455"/>
      <c r="CY537" s="455"/>
      <c r="CZ537" s="455"/>
      <c r="DA537" s="455"/>
      <c r="DB537" s="455"/>
      <c r="DC537" s="455"/>
      <c r="DD537" s="455"/>
      <c r="DE537" s="455"/>
      <c r="DF537" s="455"/>
      <c r="DG537" s="455"/>
      <c r="DH537" s="455"/>
      <c r="DI537" s="455"/>
      <c r="DJ537" s="455"/>
      <c r="DK537" s="455"/>
      <c r="DL537" s="455"/>
      <c r="DM537" s="455"/>
      <c r="DN537" s="455"/>
      <c r="DO537" s="455"/>
      <c r="DP537" s="455"/>
      <c r="DQ537" s="455"/>
      <c r="DR537" s="455"/>
      <c r="DS537" s="455"/>
      <c r="DT537" s="455"/>
      <c r="DU537" s="455"/>
      <c r="DV537" s="455"/>
      <c r="DW537" s="455"/>
      <c r="DX537" s="455"/>
      <c r="DY537" s="455"/>
      <c r="DZ537" s="455"/>
      <c r="EA537" s="455"/>
      <c r="EB537" s="455"/>
      <c r="EC537" s="455"/>
      <c r="ED537" s="455"/>
      <c r="EE537" s="455"/>
      <c r="EF537" s="455"/>
      <c r="EG537" s="455"/>
      <c r="EH537" s="455"/>
      <c r="EI537" s="455"/>
      <c r="EJ537" s="455"/>
      <c r="EK537" s="455"/>
      <c r="EL537" s="455"/>
      <c r="EM537" s="455"/>
      <c r="EN537" s="455"/>
      <c r="EO537" s="455"/>
      <c r="EP537" s="455"/>
      <c r="EQ537" s="455"/>
      <c r="ER537" s="455"/>
      <c r="ES537" s="455"/>
      <c r="ET537" s="455"/>
      <c r="EU537" s="455"/>
      <c r="EV537" s="455"/>
      <c r="EW537" s="455"/>
      <c r="EX537" s="455"/>
      <c r="EY537" s="455"/>
      <c r="EZ537" s="455"/>
      <c r="FA537" s="455"/>
      <c r="FB537" s="455"/>
      <c r="FC537" s="455"/>
      <c r="FD537" s="455"/>
      <c r="FE537" s="455"/>
      <c r="FF537" s="455"/>
      <c r="FG537" s="455"/>
      <c r="FH537" s="455"/>
      <c r="FI537" s="455"/>
      <c r="FJ537" s="455"/>
      <c r="FK537" s="455"/>
      <c r="FL537" s="455"/>
      <c r="FM537" s="455"/>
      <c r="FN537" s="455"/>
      <c r="FO537" s="455"/>
      <c r="FP537" s="455"/>
      <c r="FQ537" s="455"/>
      <c r="FR537" s="455"/>
      <c r="FS537" s="455"/>
      <c r="FT537" s="455"/>
      <c r="FU537" s="455"/>
      <c r="FV537" s="455"/>
      <c r="FW537" s="455"/>
      <c r="FX537" s="455"/>
      <c r="FY537" s="455"/>
      <c r="FZ537" s="455"/>
      <c r="GA537" s="455"/>
      <c r="GB537" s="455"/>
      <c r="GC537" s="455"/>
      <c r="GD537" s="455"/>
      <c r="GE537" s="455"/>
      <c r="GF537" s="455"/>
      <c r="GG537" s="455"/>
      <c r="GH537" s="455"/>
      <c r="GI537" s="455"/>
      <c r="GJ537" s="455"/>
      <c r="GK537" s="455"/>
      <c r="GL537" s="455"/>
      <c r="GM537" s="455"/>
      <c r="GN537" s="455"/>
      <c r="GO537" s="455"/>
      <c r="GP537" s="455"/>
      <c r="GQ537" s="455"/>
      <c r="GR537" s="455"/>
      <c r="GS537" s="455"/>
      <c r="GT537" s="455"/>
      <c r="GU537" s="455"/>
      <c r="GV537" s="455"/>
      <c r="GW537" s="455"/>
      <c r="GX537" s="455"/>
      <c r="GY537" s="455"/>
      <c r="GZ537" s="455"/>
      <c r="HA537" s="455"/>
      <c r="HB537" s="455"/>
      <c r="HC537" s="455"/>
      <c r="HD537" s="455"/>
      <c r="HE537" s="455"/>
      <c r="HF537" s="455"/>
      <c r="HG537" s="455"/>
      <c r="HH537" s="455"/>
      <c r="HI537" s="455"/>
      <c r="HJ537" s="455"/>
      <c r="HK537" s="455"/>
      <c r="HL537" s="455"/>
      <c r="HM537" s="455"/>
      <c r="HN537" s="455"/>
      <c r="HO537" s="455"/>
      <c r="HP537" s="455"/>
      <c r="HQ537" s="455"/>
      <c r="HR537" s="455"/>
      <c r="HS537" s="455"/>
      <c r="HT537" s="455"/>
      <c r="HU537" s="455"/>
      <c r="HV537" s="455"/>
      <c r="HW537" s="455"/>
      <c r="HX537" s="455"/>
      <c r="HY537" s="455"/>
      <c r="HZ537" s="455"/>
      <c r="IA537" s="455"/>
      <c r="IB537" s="455"/>
      <c r="IC537" s="455"/>
      <c r="ID537" s="455"/>
      <c r="IE537" s="455"/>
      <c r="IF537" s="455"/>
      <c r="IG537" s="455"/>
      <c r="IH537" s="455"/>
      <c r="II537" s="455"/>
      <c r="IJ537" s="455"/>
      <c r="IK537" s="455"/>
      <c r="IL537" s="455"/>
      <c r="IM537" s="455"/>
      <c r="IN537" s="455"/>
      <c r="IO537" s="455"/>
      <c r="IP537" s="455"/>
      <c r="IQ537" s="455"/>
      <c r="IR537" s="455"/>
      <c r="IS537" s="455"/>
    </row>
    <row r="538" spans="1:253" s="458" customFormat="1" ht="56.25" x14ac:dyDescent="0.2">
      <c r="A538" s="444">
        <v>13343</v>
      </c>
      <c r="B538" s="445" t="s">
        <v>84</v>
      </c>
      <c r="C538" s="445" t="s">
        <v>85</v>
      </c>
      <c r="D538" s="445"/>
      <c r="E538" s="445"/>
      <c r="F538" s="445"/>
      <c r="G538" s="446">
        <v>219</v>
      </c>
      <c r="H538" s="445" t="s">
        <v>774</v>
      </c>
      <c r="I538" s="445"/>
      <c r="J538" s="445"/>
      <c r="K538" s="447"/>
      <c r="L538" s="445" t="s">
        <v>273</v>
      </c>
      <c r="M538" s="445">
        <v>1</v>
      </c>
      <c r="N538" s="445" t="s">
        <v>384</v>
      </c>
      <c r="O538" s="449" t="s">
        <v>1603</v>
      </c>
      <c r="P538" s="450">
        <v>5.48</v>
      </c>
      <c r="Q538" s="451">
        <f t="shared" si="15"/>
        <v>5.48</v>
      </c>
      <c r="R538" s="451">
        <f>SUMIF('Wege im Detail'!$A:$A,"13343",'Wege im Detail'!$P:$P)</f>
        <v>5.48</v>
      </c>
      <c r="S538" s="452" t="s">
        <v>775</v>
      </c>
      <c r="T538" s="453">
        <v>43922</v>
      </c>
      <c r="U538" s="448"/>
      <c r="V538" s="476"/>
      <c r="W538" s="448"/>
      <c r="X538" s="455"/>
      <c r="Y538" s="455"/>
      <c r="Z538" s="455"/>
      <c r="AA538" s="455"/>
      <c r="AB538" s="455"/>
      <c r="AC538" s="455"/>
      <c r="AD538" s="455"/>
      <c r="AE538" s="455"/>
      <c r="AF538" s="455"/>
      <c r="AG538" s="455"/>
      <c r="AH538" s="455"/>
      <c r="AI538" s="455"/>
      <c r="AJ538" s="455"/>
      <c r="AK538" s="455"/>
      <c r="AL538" s="455"/>
      <c r="AM538" s="455"/>
      <c r="AN538" s="455"/>
      <c r="AO538" s="455"/>
      <c r="AP538" s="455"/>
      <c r="AQ538" s="455"/>
      <c r="AR538" s="455"/>
      <c r="AS538" s="455"/>
      <c r="AT538" s="455"/>
      <c r="AU538" s="455"/>
      <c r="AV538" s="455"/>
      <c r="AW538" s="455"/>
      <c r="AX538" s="455"/>
      <c r="AY538" s="455"/>
      <c r="AZ538" s="455"/>
      <c r="BA538" s="455"/>
      <c r="BB538" s="455"/>
      <c r="BC538" s="455"/>
      <c r="BD538" s="455"/>
      <c r="BE538" s="455"/>
      <c r="BF538" s="455"/>
      <c r="BG538" s="455"/>
      <c r="BH538" s="455"/>
      <c r="BI538" s="455"/>
      <c r="BJ538" s="455"/>
      <c r="BK538" s="455"/>
      <c r="BL538" s="455"/>
      <c r="BM538" s="455"/>
      <c r="BN538" s="455"/>
      <c r="BO538" s="455"/>
      <c r="BP538" s="455"/>
      <c r="BQ538" s="455"/>
      <c r="BR538" s="455"/>
      <c r="BS538" s="455"/>
      <c r="BT538" s="455"/>
      <c r="BU538" s="455"/>
      <c r="BV538" s="455"/>
      <c r="BW538" s="455"/>
      <c r="BX538" s="455"/>
      <c r="BY538" s="455"/>
      <c r="BZ538" s="455"/>
      <c r="CA538" s="455"/>
      <c r="CB538" s="455"/>
      <c r="CC538" s="455"/>
      <c r="CD538" s="455"/>
      <c r="CE538" s="455"/>
      <c r="CF538" s="455"/>
      <c r="CG538" s="455"/>
      <c r="CH538" s="455"/>
      <c r="CI538" s="455"/>
      <c r="CJ538" s="455"/>
      <c r="CK538" s="455"/>
      <c r="CL538" s="455"/>
      <c r="CM538" s="455"/>
      <c r="CN538" s="455"/>
      <c r="CO538" s="455"/>
      <c r="CP538" s="455"/>
      <c r="CQ538" s="455"/>
      <c r="CR538" s="455"/>
      <c r="CS538" s="455"/>
      <c r="CT538" s="455"/>
      <c r="CU538" s="455"/>
      <c r="CV538" s="455"/>
      <c r="CW538" s="455"/>
      <c r="CX538" s="455"/>
      <c r="CY538" s="455"/>
      <c r="CZ538" s="455"/>
      <c r="DA538" s="455"/>
      <c r="DB538" s="455"/>
      <c r="DC538" s="455"/>
      <c r="DD538" s="455"/>
      <c r="DE538" s="455"/>
      <c r="DF538" s="455"/>
      <c r="DG538" s="455"/>
      <c r="DH538" s="455"/>
      <c r="DI538" s="455"/>
      <c r="DJ538" s="455"/>
      <c r="DK538" s="455"/>
      <c r="DL538" s="455"/>
      <c r="DM538" s="455"/>
      <c r="DN538" s="455"/>
      <c r="DO538" s="455"/>
      <c r="DP538" s="455"/>
      <c r="DQ538" s="455"/>
      <c r="DR538" s="455"/>
      <c r="DS538" s="455"/>
      <c r="DT538" s="455"/>
      <c r="DU538" s="455"/>
      <c r="DV538" s="455"/>
      <c r="DW538" s="455"/>
      <c r="DX538" s="455"/>
      <c r="DY538" s="455"/>
      <c r="DZ538" s="455"/>
      <c r="EA538" s="455"/>
      <c r="EB538" s="455"/>
      <c r="EC538" s="455"/>
      <c r="ED538" s="455"/>
      <c r="EE538" s="455"/>
      <c r="EF538" s="455"/>
      <c r="EG538" s="455"/>
      <c r="EH538" s="455"/>
      <c r="EI538" s="455"/>
      <c r="EJ538" s="455"/>
      <c r="EK538" s="455"/>
      <c r="EL538" s="455"/>
      <c r="EM538" s="455"/>
      <c r="EN538" s="455"/>
      <c r="EO538" s="455"/>
      <c r="EP538" s="455"/>
      <c r="EQ538" s="455"/>
      <c r="ER538" s="455"/>
      <c r="ES538" s="455"/>
      <c r="ET538" s="455"/>
      <c r="EU538" s="455"/>
      <c r="EV538" s="455"/>
      <c r="EW538" s="455"/>
      <c r="EX538" s="455"/>
      <c r="EY538" s="455"/>
      <c r="EZ538" s="455"/>
      <c r="FA538" s="455"/>
      <c r="FB538" s="455"/>
      <c r="FC538" s="455"/>
      <c r="FD538" s="455"/>
      <c r="FE538" s="455"/>
      <c r="FF538" s="455"/>
      <c r="FG538" s="455"/>
      <c r="FH538" s="455"/>
      <c r="FI538" s="455"/>
      <c r="FJ538" s="455"/>
      <c r="FK538" s="455"/>
      <c r="FL538" s="455"/>
      <c r="FM538" s="455"/>
      <c r="FN538" s="455"/>
      <c r="FO538" s="455"/>
      <c r="FP538" s="455"/>
      <c r="FQ538" s="455"/>
      <c r="FR538" s="455"/>
      <c r="FS538" s="455"/>
      <c r="FT538" s="455"/>
      <c r="FU538" s="455"/>
      <c r="FV538" s="455"/>
      <c r="FW538" s="455"/>
      <c r="FX538" s="455"/>
      <c r="FY538" s="455"/>
      <c r="FZ538" s="455"/>
      <c r="GA538" s="455"/>
      <c r="GB538" s="455"/>
      <c r="GC538" s="455"/>
      <c r="GD538" s="455"/>
      <c r="GE538" s="455"/>
      <c r="GF538" s="455"/>
      <c r="GG538" s="455"/>
      <c r="GH538" s="455"/>
      <c r="GI538" s="455"/>
      <c r="GJ538" s="455"/>
      <c r="GK538" s="455"/>
      <c r="GL538" s="455"/>
      <c r="GM538" s="455"/>
      <c r="GN538" s="455"/>
      <c r="GO538" s="455"/>
      <c r="GP538" s="455"/>
      <c r="GQ538" s="455"/>
      <c r="GR538" s="455"/>
      <c r="GS538" s="455"/>
      <c r="GT538" s="455"/>
      <c r="GU538" s="455"/>
      <c r="GV538" s="455"/>
      <c r="GW538" s="455"/>
      <c r="GX538" s="455"/>
      <c r="GY538" s="455"/>
      <c r="GZ538" s="455"/>
      <c r="HA538" s="455"/>
      <c r="HB538" s="455"/>
      <c r="HC538" s="455"/>
      <c r="HD538" s="455"/>
      <c r="HE538" s="455"/>
      <c r="HF538" s="455"/>
      <c r="HG538" s="455"/>
      <c r="HH538" s="455"/>
      <c r="HI538" s="455"/>
      <c r="HJ538" s="455"/>
      <c r="HK538" s="455"/>
      <c r="HL538" s="455"/>
      <c r="HM538" s="455"/>
      <c r="HN538" s="455"/>
      <c r="HO538" s="455"/>
      <c r="HP538" s="455"/>
      <c r="HQ538" s="455"/>
      <c r="HR538" s="455"/>
      <c r="HS538" s="455"/>
      <c r="HT538" s="455"/>
      <c r="HU538" s="455"/>
      <c r="HV538" s="455"/>
      <c r="HW538" s="455"/>
      <c r="HX538" s="455"/>
      <c r="HY538" s="455"/>
      <c r="HZ538" s="455"/>
      <c r="IA538" s="455"/>
      <c r="IB538" s="455"/>
      <c r="IC538" s="455"/>
      <c r="ID538" s="455"/>
      <c r="IE538" s="455"/>
      <c r="IF538" s="455"/>
      <c r="IG538" s="455"/>
      <c r="IH538" s="455"/>
      <c r="II538" s="455"/>
      <c r="IJ538" s="455"/>
      <c r="IK538" s="455"/>
      <c r="IL538" s="455"/>
      <c r="IM538" s="455"/>
      <c r="IN538" s="455"/>
      <c r="IO538" s="455"/>
      <c r="IP538" s="455"/>
      <c r="IQ538" s="455"/>
      <c r="IR538" s="455"/>
      <c r="IS538" s="455"/>
    </row>
    <row r="539" spans="1:253" s="455" customFormat="1" ht="33.75" x14ac:dyDescent="0.2">
      <c r="A539" s="444">
        <v>14123</v>
      </c>
      <c r="B539" s="445" t="s">
        <v>51</v>
      </c>
      <c r="C539" s="445" t="s">
        <v>52</v>
      </c>
      <c r="D539" s="445" t="s">
        <v>91</v>
      </c>
      <c r="E539" s="445"/>
      <c r="F539" s="470"/>
      <c r="G539" s="445" t="s">
        <v>1604</v>
      </c>
      <c r="H539" s="445">
        <v>508</v>
      </c>
      <c r="I539" s="445"/>
      <c r="J539" s="445">
        <v>1</v>
      </c>
      <c r="K539" s="447">
        <v>1</v>
      </c>
      <c r="L539" s="445" t="s">
        <v>1605</v>
      </c>
      <c r="M539" s="445">
        <v>3</v>
      </c>
      <c r="N539" s="445" t="s">
        <v>351</v>
      </c>
      <c r="O539" s="461" t="s">
        <v>1606</v>
      </c>
      <c r="P539" s="450">
        <v>2.5190000000000001</v>
      </c>
      <c r="Q539" s="451">
        <f t="shared" si="15"/>
        <v>2.5190000000000001</v>
      </c>
      <c r="R539" s="451">
        <f>SUMIF('Wege im Detail'!$A:$A,"14123",'Wege im Detail'!$P:$P)</f>
        <v>2.5190000000000001</v>
      </c>
      <c r="S539" s="488" t="s">
        <v>778</v>
      </c>
      <c r="T539" s="453">
        <v>43952</v>
      </c>
      <c r="U539" s="448"/>
      <c r="V539" s="457"/>
      <c r="W539" s="448"/>
      <c r="X539" s="458"/>
      <c r="Y539" s="458"/>
      <c r="Z539" s="458"/>
      <c r="AA539" s="458"/>
      <c r="AB539" s="458"/>
      <c r="AC539" s="458"/>
      <c r="AD539" s="458"/>
      <c r="AE539" s="458"/>
      <c r="AF539" s="458"/>
      <c r="AG539" s="458"/>
      <c r="AH539" s="458"/>
      <c r="AI539" s="458"/>
      <c r="AJ539" s="458"/>
      <c r="AK539" s="458"/>
      <c r="AL539" s="458"/>
      <c r="AM539" s="458"/>
      <c r="AN539" s="458"/>
      <c r="AO539" s="458"/>
      <c r="AP539" s="458"/>
      <c r="AQ539" s="458"/>
      <c r="AR539" s="458"/>
      <c r="AS539" s="458"/>
      <c r="AT539" s="458"/>
      <c r="AU539" s="458"/>
      <c r="AV539" s="458"/>
      <c r="AW539" s="458"/>
      <c r="AX539" s="458"/>
      <c r="AY539" s="458"/>
      <c r="AZ539" s="458"/>
      <c r="BA539" s="458"/>
      <c r="BB539" s="458"/>
      <c r="BC539" s="458"/>
      <c r="BD539" s="458"/>
      <c r="BE539" s="458"/>
      <c r="BF539" s="458"/>
      <c r="BG539" s="458"/>
      <c r="BH539" s="458"/>
      <c r="BI539" s="458"/>
      <c r="BJ539" s="458"/>
      <c r="BK539" s="458"/>
      <c r="BL539" s="458"/>
      <c r="BM539" s="458"/>
      <c r="BN539" s="458"/>
      <c r="BO539" s="458"/>
      <c r="BP539" s="458"/>
      <c r="BQ539" s="458"/>
      <c r="BR539" s="458"/>
      <c r="BS539" s="458"/>
      <c r="BT539" s="458"/>
      <c r="BU539" s="458"/>
      <c r="BV539" s="458"/>
      <c r="BW539" s="458"/>
      <c r="BX539" s="458"/>
      <c r="BY539" s="458"/>
      <c r="BZ539" s="458"/>
      <c r="CA539" s="458"/>
      <c r="CB539" s="458"/>
      <c r="CC539" s="458"/>
      <c r="CD539" s="458"/>
      <c r="CE539" s="458"/>
      <c r="CF539" s="458"/>
      <c r="CG539" s="458"/>
      <c r="CH539" s="458"/>
      <c r="CI539" s="458"/>
      <c r="CJ539" s="458"/>
      <c r="CK539" s="458"/>
      <c r="CL539" s="458"/>
      <c r="CM539" s="458"/>
      <c r="CN539" s="458"/>
      <c r="CO539" s="458"/>
      <c r="CP539" s="458"/>
      <c r="CQ539" s="458"/>
      <c r="CR539" s="458"/>
      <c r="CS539" s="458"/>
      <c r="CT539" s="458"/>
      <c r="CU539" s="458"/>
      <c r="CV539" s="458"/>
      <c r="CW539" s="458"/>
      <c r="CX539" s="458"/>
      <c r="CY539" s="458"/>
      <c r="CZ539" s="458"/>
      <c r="DA539" s="458"/>
      <c r="DB539" s="458"/>
      <c r="DC539" s="458"/>
      <c r="DD539" s="458"/>
      <c r="DE539" s="458"/>
      <c r="DF539" s="458"/>
      <c r="DG539" s="458"/>
      <c r="DH539" s="458"/>
      <c r="DI539" s="458"/>
      <c r="DJ539" s="458"/>
      <c r="DK539" s="458"/>
      <c r="DL539" s="458"/>
      <c r="DM539" s="458"/>
      <c r="DN539" s="458"/>
      <c r="DO539" s="458"/>
      <c r="DP539" s="458"/>
      <c r="DQ539" s="458"/>
      <c r="DR539" s="458"/>
      <c r="DS539" s="458"/>
      <c r="DT539" s="458"/>
      <c r="DU539" s="458"/>
      <c r="DV539" s="458"/>
      <c r="DW539" s="458"/>
      <c r="DX539" s="458"/>
      <c r="DY539" s="458"/>
      <c r="DZ539" s="458"/>
      <c r="EA539" s="458"/>
      <c r="EB539" s="458"/>
      <c r="EC539" s="458"/>
      <c r="ED539" s="458"/>
      <c r="EE539" s="458"/>
      <c r="EF539" s="458"/>
      <c r="EG539" s="458"/>
      <c r="EH539" s="458"/>
      <c r="EI539" s="458"/>
      <c r="EJ539" s="458"/>
      <c r="EK539" s="458"/>
      <c r="EL539" s="458"/>
      <c r="EM539" s="458"/>
      <c r="EN539" s="458"/>
      <c r="EO539" s="458"/>
      <c r="EP539" s="458"/>
      <c r="EQ539" s="458"/>
      <c r="ER539" s="458"/>
      <c r="ES539" s="458"/>
      <c r="ET539" s="458"/>
      <c r="EU539" s="458"/>
      <c r="EV539" s="458"/>
      <c r="EW539" s="458"/>
      <c r="EX539" s="458"/>
      <c r="EY539" s="458"/>
      <c r="EZ539" s="458"/>
      <c r="FA539" s="458"/>
      <c r="FB539" s="458"/>
      <c r="FC539" s="458"/>
      <c r="FD539" s="458"/>
      <c r="FE539" s="458"/>
      <c r="FF539" s="458"/>
      <c r="FG539" s="458"/>
      <c r="FH539" s="458"/>
      <c r="FI539" s="458"/>
      <c r="FJ539" s="458"/>
      <c r="FK539" s="458"/>
      <c r="FL539" s="458"/>
      <c r="FM539" s="458"/>
      <c r="FN539" s="458"/>
      <c r="FO539" s="458"/>
      <c r="FP539" s="458"/>
      <c r="FQ539" s="458"/>
      <c r="FR539" s="458"/>
      <c r="FS539" s="458"/>
      <c r="FT539" s="458"/>
      <c r="FU539" s="458"/>
      <c r="FV539" s="458"/>
      <c r="FW539" s="458"/>
      <c r="FX539" s="458"/>
      <c r="FY539" s="458"/>
      <c r="FZ539" s="458"/>
      <c r="GA539" s="458"/>
      <c r="GB539" s="458"/>
      <c r="GC539" s="458"/>
      <c r="GD539" s="458"/>
      <c r="GE539" s="458"/>
      <c r="GF539" s="458"/>
      <c r="GG539" s="458"/>
      <c r="GH539" s="458"/>
      <c r="GI539" s="458"/>
      <c r="GJ539" s="458"/>
      <c r="GK539" s="458"/>
      <c r="GL539" s="458"/>
      <c r="GM539" s="458"/>
      <c r="GN539" s="458"/>
      <c r="GO539" s="458"/>
      <c r="GP539" s="458"/>
      <c r="GQ539" s="458"/>
      <c r="GR539" s="458"/>
      <c r="GS539" s="458"/>
      <c r="GT539" s="458"/>
      <c r="GU539" s="458"/>
      <c r="GV539" s="458"/>
      <c r="GW539" s="458"/>
      <c r="GX539" s="458"/>
      <c r="GY539" s="458"/>
      <c r="GZ539" s="458"/>
      <c r="HA539" s="458"/>
      <c r="HB539" s="458"/>
      <c r="HC539" s="458"/>
      <c r="HD539" s="458"/>
      <c r="HE539" s="458"/>
      <c r="HF539" s="458"/>
      <c r="HG539" s="458"/>
      <c r="HH539" s="458"/>
      <c r="HI539" s="458"/>
      <c r="HJ539" s="458"/>
      <c r="HK539" s="458"/>
      <c r="HL539" s="458"/>
      <c r="HM539" s="458"/>
      <c r="HN539" s="458"/>
      <c r="HO539" s="458"/>
      <c r="HP539" s="458"/>
      <c r="HQ539" s="458"/>
      <c r="HR539" s="458"/>
      <c r="HS539" s="458"/>
      <c r="HT539" s="458"/>
      <c r="HU539" s="458"/>
      <c r="HV539" s="458"/>
      <c r="HW539" s="458"/>
      <c r="HX539" s="458"/>
      <c r="HY539" s="458"/>
      <c r="HZ539" s="458"/>
      <c r="IA539" s="458"/>
      <c r="IB539" s="458"/>
      <c r="IC539" s="458"/>
      <c r="ID539" s="458"/>
      <c r="IE539" s="458"/>
      <c r="IF539" s="458"/>
      <c r="IG539" s="458"/>
      <c r="IH539" s="458"/>
      <c r="II539" s="458"/>
      <c r="IJ539" s="458"/>
      <c r="IK539" s="458"/>
      <c r="IL539" s="458"/>
      <c r="IM539" s="458"/>
      <c r="IN539" s="458"/>
      <c r="IO539" s="458"/>
      <c r="IP539" s="458"/>
      <c r="IQ539" s="458"/>
      <c r="IR539" s="458"/>
      <c r="IS539" s="458"/>
    </row>
    <row r="540" spans="1:253" s="455" customFormat="1" ht="33.75" x14ac:dyDescent="0.2">
      <c r="A540" s="444">
        <v>14124</v>
      </c>
      <c r="B540" s="445" t="s">
        <v>51</v>
      </c>
      <c r="C540" s="445" t="s">
        <v>52</v>
      </c>
      <c r="D540" s="445" t="s">
        <v>91</v>
      </c>
      <c r="E540" s="445"/>
      <c r="F540" s="470"/>
      <c r="G540" s="445" t="s">
        <v>1604</v>
      </c>
      <c r="H540" s="445">
        <v>509</v>
      </c>
      <c r="I540" s="445"/>
      <c r="J540" s="445">
        <v>1</v>
      </c>
      <c r="K540" s="447">
        <v>1</v>
      </c>
      <c r="L540" s="445" t="s">
        <v>1605</v>
      </c>
      <c r="M540" s="445">
        <v>3</v>
      </c>
      <c r="N540" s="445" t="s">
        <v>93</v>
      </c>
      <c r="O540" s="461" t="s">
        <v>1607</v>
      </c>
      <c r="P540" s="450">
        <v>5.81</v>
      </c>
      <c r="Q540" s="451">
        <f t="shared" si="15"/>
        <v>5.81</v>
      </c>
      <c r="R540" s="451">
        <f>SUMIF('Wege im Detail'!$A:$A,"14124",'Wege im Detail'!$P:$P)</f>
        <v>5.81</v>
      </c>
      <c r="S540" s="488" t="s">
        <v>779</v>
      </c>
      <c r="T540" s="453">
        <v>43952</v>
      </c>
      <c r="U540" s="448"/>
      <c r="V540" s="458"/>
      <c r="W540" s="448"/>
      <c r="X540" s="458"/>
      <c r="Y540" s="458"/>
      <c r="Z540" s="458"/>
      <c r="AA540" s="458"/>
      <c r="AB540" s="458"/>
      <c r="AC540" s="458"/>
      <c r="AD540" s="458"/>
      <c r="AE540" s="458"/>
      <c r="AF540" s="458"/>
      <c r="AG540" s="458"/>
      <c r="AH540" s="458"/>
      <c r="AI540" s="458"/>
      <c r="AJ540" s="458"/>
      <c r="AK540" s="458"/>
      <c r="AL540" s="458"/>
      <c r="AM540" s="458"/>
      <c r="AN540" s="458"/>
      <c r="AO540" s="458"/>
      <c r="AP540" s="458"/>
      <c r="AQ540" s="458"/>
      <c r="AR540" s="458"/>
      <c r="AS540" s="458"/>
      <c r="AT540" s="458"/>
      <c r="AU540" s="458"/>
      <c r="AV540" s="458"/>
      <c r="AW540" s="458"/>
      <c r="AX540" s="458"/>
      <c r="AY540" s="458"/>
      <c r="AZ540" s="458"/>
      <c r="BA540" s="458"/>
      <c r="BB540" s="458"/>
      <c r="BC540" s="458"/>
      <c r="BD540" s="458"/>
      <c r="BE540" s="458"/>
      <c r="BF540" s="458"/>
      <c r="BG540" s="458"/>
      <c r="BH540" s="458"/>
      <c r="BI540" s="458"/>
      <c r="BJ540" s="458"/>
      <c r="BK540" s="458"/>
      <c r="BL540" s="458"/>
      <c r="BM540" s="458"/>
      <c r="BN540" s="458"/>
      <c r="BO540" s="458"/>
      <c r="BP540" s="458"/>
      <c r="BQ540" s="458"/>
      <c r="BR540" s="458"/>
      <c r="BS540" s="458"/>
      <c r="BT540" s="458"/>
      <c r="BU540" s="458"/>
      <c r="BV540" s="458"/>
      <c r="BW540" s="458"/>
      <c r="BX540" s="458"/>
      <c r="BY540" s="458"/>
      <c r="BZ540" s="458"/>
      <c r="CA540" s="458"/>
      <c r="CB540" s="458"/>
      <c r="CC540" s="458"/>
      <c r="CD540" s="458"/>
      <c r="CE540" s="458"/>
      <c r="CF540" s="458"/>
      <c r="CG540" s="458"/>
      <c r="CH540" s="458"/>
      <c r="CI540" s="458"/>
      <c r="CJ540" s="458"/>
      <c r="CK540" s="458"/>
      <c r="CL540" s="458"/>
      <c r="CM540" s="458"/>
      <c r="CN540" s="458"/>
      <c r="CO540" s="458"/>
      <c r="CP540" s="458"/>
      <c r="CQ540" s="458"/>
      <c r="CR540" s="458"/>
      <c r="CS540" s="458"/>
      <c r="CT540" s="458"/>
      <c r="CU540" s="458"/>
      <c r="CV540" s="458"/>
      <c r="CW540" s="458"/>
      <c r="CX540" s="458"/>
      <c r="CY540" s="458"/>
      <c r="CZ540" s="458"/>
      <c r="DA540" s="458"/>
      <c r="DB540" s="458"/>
      <c r="DC540" s="458"/>
      <c r="DD540" s="458"/>
      <c r="DE540" s="458"/>
      <c r="DF540" s="458"/>
      <c r="DG540" s="458"/>
      <c r="DH540" s="458"/>
      <c r="DI540" s="458"/>
      <c r="DJ540" s="458"/>
      <c r="DK540" s="458"/>
      <c r="DL540" s="458"/>
      <c r="DM540" s="458"/>
      <c r="DN540" s="458"/>
      <c r="DO540" s="458"/>
      <c r="DP540" s="458"/>
      <c r="DQ540" s="458"/>
      <c r="DR540" s="458"/>
      <c r="DS540" s="458"/>
      <c r="DT540" s="458"/>
      <c r="DU540" s="458"/>
      <c r="DV540" s="458"/>
      <c r="DW540" s="458"/>
      <c r="DX540" s="458"/>
      <c r="DY540" s="458"/>
      <c r="DZ540" s="458"/>
      <c r="EA540" s="458"/>
      <c r="EB540" s="458"/>
      <c r="EC540" s="458"/>
      <c r="ED540" s="458"/>
      <c r="EE540" s="458"/>
      <c r="EF540" s="458"/>
      <c r="EG540" s="458"/>
      <c r="EH540" s="458"/>
      <c r="EI540" s="458"/>
      <c r="EJ540" s="458"/>
      <c r="EK540" s="458"/>
      <c r="EL540" s="458"/>
      <c r="EM540" s="458"/>
      <c r="EN540" s="458"/>
      <c r="EO540" s="458"/>
      <c r="EP540" s="458"/>
      <c r="EQ540" s="458"/>
      <c r="ER540" s="458"/>
      <c r="ES540" s="458"/>
      <c r="ET540" s="458"/>
      <c r="EU540" s="458"/>
      <c r="EV540" s="458"/>
      <c r="EW540" s="458"/>
      <c r="EX540" s="458"/>
      <c r="EY540" s="458"/>
      <c r="EZ540" s="458"/>
      <c r="FA540" s="458"/>
      <c r="FB540" s="458"/>
      <c r="FC540" s="458"/>
      <c r="FD540" s="458"/>
      <c r="FE540" s="458"/>
      <c r="FF540" s="458"/>
      <c r="FG540" s="458"/>
      <c r="FH540" s="458"/>
      <c r="FI540" s="458"/>
      <c r="FJ540" s="458"/>
      <c r="FK540" s="458"/>
      <c r="FL540" s="458"/>
      <c r="FM540" s="458"/>
      <c r="FN540" s="458"/>
      <c r="FO540" s="458"/>
      <c r="FP540" s="458"/>
      <c r="FQ540" s="458"/>
      <c r="FR540" s="458"/>
      <c r="FS540" s="458"/>
      <c r="FT540" s="458"/>
      <c r="FU540" s="458"/>
      <c r="FV540" s="458"/>
      <c r="FW540" s="458"/>
      <c r="FX540" s="458"/>
      <c r="FY540" s="458"/>
      <c r="FZ540" s="458"/>
      <c r="GA540" s="458"/>
      <c r="GB540" s="458"/>
      <c r="GC540" s="458"/>
      <c r="GD540" s="458"/>
      <c r="GE540" s="458"/>
      <c r="GF540" s="458"/>
      <c r="GG540" s="458"/>
      <c r="GH540" s="458"/>
      <c r="GI540" s="458"/>
      <c r="GJ540" s="458"/>
      <c r="GK540" s="458"/>
      <c r="GL540" s="458"/>
      <c r="GM540" s="458"/>
      <c r="GN540" s="458"/>
      <c r="GO540" s="458"/>
      <c r="GP540" s="458"/>
      <c r="GQ540" s="458"/>
      <c r="GR540" s="458"/>
      <c r="GS540" s="458"/>
      <c r="GT540" s="458"/>
      <c r="GU540" s="458"/>
      <c r="GV540" s="458"/>
      <c r="GW540" s="458"/>
      <c r="GX540" s="458"/>
      <c r="GY540" s="458"/>
      <c r="GZ540" s="458"/>
      <c r="HA540" s="458"/>
      <c r="HB540" s="458"/>
      <c r="HC540" s="458"/>
      <c r="HD540" s="458"/>
      <c r="HE540" s="458"/>
      <c r="HF540" s="458"/>
      <c r="HG540" s="458"/>
      <c r="HH540" s="458"/>
      <c r="HI540" s="458"/>
      <c r="HJ540" s="458"/>
      <c r="HK540" s="458"/>
      <c r="HL540" s="458"/>
      <c r="HM540" s="458"/>
      <c r="HN540" s="458"/>
      <c r="HO540" s="458"/>
      <c r="HP540" s="458"/>
      <c r="HQ540" s="458"/>
      <c r="HR540" s="458"/>
      <c r="HS540" s="458"/>
      <c r="HT540" s="458"/>
      <c r="HU540" s="458"/>
      <c r="HV540" s="458"/>
      <c r="HW540" s="458"/>
      <c r="HX540" s="458"/>
      <c r="HY540" s="458"/>
      <c r="HZ540" s="458"/>
      <c r="IA540" s="458"/>
      <c r="IB540" s="458"/>
      <c r="IC540" s="458"/>
      <c r="ID540" s="458"/>
      <c r="IE540" s="458"/>
      <c r="IF540" s="458"/>
      <c r="IG540" s="458"/>
      <c r="IH540" s="458"/>
      <c r="II540" s="458"/>
      <c r="IJ540" s="458"/>
      <c r="IK540" s="458"/>
      <c r="IL540" s="458"/>
      <c r="IM540" s="458"/>
      <c r="IN540" s="458"/>
      <c r="IO540" s="458"/>
      <c r="IP540" s="458"/>
      <c r="IQ540" s="458"/>
      <c r="IR540" s="458"/>
      <c r="IS540" s="458"/>
    </row>
    <row r="541" spans="1:253" s="455" customFormat="1" ht="45" x14ac:dyDescent="0.2">
      <c r="A541" s="444">
        <v>14160</v>
      </c>
      <c r="B541" s="445" t="s">
        <v>51</v>
      </c>
      <c r="C541" s="445" t="s">
        <v>52</v>
      </c>
      <c r="D541" s="445" t="s">
        <v>91</v>
      </c>
      <c r="E541" s="445"/>
      <c r="F541" s="470"/>
      <c r="G541" s="445" t="s">
        <v>1604</v>
      </c>
      <c r="H541" s="445">
        <v>501</v>
      </c>
      <c r="I541" s="445" t="s">
        <v>117</v>
      </c>
      <c r="J541" s="445">
        <v>1</v>
      </c>
      <c r="K541" s="447">
        <v>1</v>
      </c>
      <c r="L541" s="445" t="s">
        <v>1605</v>
      </c>
      <c r="M541" s="445">
        <v>2</v>
      </c>
      <c r="N541" s="445" t="s">
        <v>433</v>
      </c>
      <c r="O541" s="461" t="s">
        <v>1608</v>
      </c>
      <c r="P541" s="450">
        <v>9.2390000000000008</v>
      </c>
      <c r="Q541" s="451">
        <f t="shared" si="15"/>
        <v>9.2390000000000008</v>
      </c>
      <c r="R541" s="451">
        <f>SUMIF('Wege im Detail'!$A:$A,"14160",'Wege im Detail'!$P:$P)</f>
        <v>11.629000000000001</v>
      </c>
      <c r="S541" s="488" t="s">
        <v>1609</v>
      </c>
      <c r="T541" s="453">
        <v>43952</v>
      </c>
      <c r="U541" s="448"/>
      <c r="V541" s="458"/>
      <c r="W541" s="448"/>
      <c r="X541" s="458"/>
      <c r="Y541" s="458"/>
      <c r="Z541" s="458"/>
      <c r="AA541" s="458"/>
      <c r="AB541" s="458"/>
      <c r="AC541" s="458"/>
      <c r="AD541" s="458"/>
      <c r="AE541" s="458"/>
      <c r="AF541" s="458"/>
      <c r="AG541" s="458"/>
      <c r="AH541" s="458"/>
      <c r="AI541" s="458"/>
      <c r="AJ541" s="458"/>
      <c r="AK541" s="458"/>
      <c r="AL541" s="458"/>
      <c r="AM541" s="458"/>
      <c r="AN541" s="458"/>
      <c r="AO541" s="458"/>
      <c r="AP541" s="458"/>
      <c r="AQ541" s="458"/>
      <c r="AR541" s="458"/>
      <c r="AS541" s="458"/>
      <c r="AT541" s="458"/>
      <c r="AU541" s="458"/>
      <c r="AV541" s="458"/>
      <c r="AW541" s="458"/>
      <c r="AX541" s="458"/>
      <c r="AY541" s="458"/>
      <c r="AZ541" s="458"/>
      <c r="BA541" s="458"/>
      <c r="BB541" s="458"/>
      <c r="BC541" s="458"/>
      <c r="BD541" s="458"/>
      <c r="BE541" s="458"/>
      <c r="BF541" s="458"/>
      <c r="BG541" s="458"/>
      <c r="BH541" s="458"/>
      <c r="BI541" s="458"/>
      <c r="BJ541" s="458"/>
      <c r="BK541" s="458"/>
      <c r="BL541" s="458"/>
      <c r="BM541" s="458"/>
      <c r="BN541" s="458"/>
      <c r="BO541" s="458"/>
      <c r="BP541" s="458"/>
      <c r="BQ541" s="458"/>
      <c r="BR541" s="458"/>
      <c r="BS541" s="458"/>
      <c r="BT541" s="458"/>
      <c r="BU541" s="458"/>
      <c r="BV541" s="458"/>
      <c r="BW541" s="458"/>
      <c r="BX541" s="458"/>
      <c r="BY541" s="458"/>
      <c r="BZ541" s="458"/>
      <c r="CA541" s="458"/>
      <c r="CB541" s="458"/>
      <c r="CC541" s="458"/>
      <c r="CD541" s="458"/>
      <c r="CE541" s="458"/>
      <c r="CF541" s="458"/>
      <c r="CG541" s="458"/>
      <c r="CH541" s="458"/>
      <c r="CI541" s="458"/>
      <c r="CJ541" s="458"/>
      <c r="CK541" s="458"/>
      <c r="CL541" s="458"/>
      <c r="CM541" s="458"/>
      <c r="CN541" s="458"/>
      <c r="CO541" s="458"/>
      <c r="CP541" s="458"/>
      <c r="CQ541" s="458"/>
      <c r="CR541" s="458"/>
      <c r="CS541" s="458"/>
      <c r="CT541" s="458"/>
      <c r="CU541" s="458"/>
      <c r="CV541" s="458"/>
      <c r="CW541" s="458"/>
      <c r="CX541" s="458"/>
      <c r="CY541" s="458"/>
      <c r="CZ541" s="458"/>
      <c r="DA541" s="458"/>
      <c r="DB541" s="458"/>
      <c r="DC541" s="458"/>
      <c r="DD541" s="458"/>
      <c r="DE541" s="458"/>
      <c r="DF541" s="458"/>
      <c r="DG541" s="458"/>
      <c r="DH541" s="458"/>
      <c r="DI541" s="458"/>
      <c r="DJ541" s="458"/>
      <c r="DK541" s="458"/>
      <c r="DL541" s="458"/>
      <c r="DM541" s="458"/>
      <c r="DN541" s="458"/>
      <c r="DO541" s="458"/>
      <c r="DP541" s="458"/>
      <c r="DQ541" s="458"/>
      <c r="DR541" s="458"/>
      <c r="DS541" s="458"/>
      <c r="DT541" s="458"/>
      <c r="DU541" s="458"/>
      <c r="DV541" s="458"/>
      <c r="DW541" s="458"/>
      <c r="DX541" s="458"/>
      <c r="DY541" s="458"/>
      <c r="DZ541" s="458"/>
      <c r="EA541" s="458"/>
      <c r="EB541" s="458"/>
      <c r="EC541" s="458"/>
      <c r="ED541" s="458"/>
      <c r="EE541" s="458"/>
      <c r="EF541" s="458"/>
      <c r="EG541" s="458"/>
      <c r="EH541" s="458"/>
      <c r="EI541" s="458"/>
      <c r="EJ541" s="458"/>
      <c r="EK541" s="458"/>
      <c r="EL541" s="458"/>
      <c r="EM541" s="458"/>
      <c r="EN541" s="458"/>
      <c r="EO541" s="458"/>
      <c r="EP541" s="458"/>
      <c r="EQ541" s="458"/>
      <c r="ER541" s="458"/>
      <c r="ES541" s="458"/>
      <c r="ET541" s="458"/>
      <c r="EU541" s="458"/>
      <c r="EV541" s="458"/>
      <c r="EW541" s="458"/>
      <c r="EX541" s="458"/>
      <c r="EY541" s="458"/>
      <c r="EZ541" s="458"/>
      <c r="FA541" s="458"/>
      <c r="FB541" s="458"/>
      <c r="FC541" s="458"/>
      <c r="FD541" s="458"/>
      <c r="FE541" s="458"/>
      <c r="FF541" s="458"/>
      <c r="FG541" s="458"/>
      <c r="FH541" s="458"/>
      <c r="FI541" s="458"/>
      <c r="FJ541" s="458"/>
      <c r="FK541" s="458"/>
      <c r="FL541" s="458"/>
      <c r="FM541" s="458"/>
      <c r="FN541" s="458"/>
      <c r="FO541" s="458"/>
      <c r="FP541" s="458"/>
      <c r="FQ541" s="458"/>
      <c r="FR541" s="458"/>
      <c r="FS541" s="458"/>
      <c r="FT541" s="458"/>
      <c r="FU541" s="458"/>
      <c r="FV541" s="458"/>
      <c r="FW541" s="458"/>
      <c r="FX541" s="458"/>
      <c r="FY541" s="458"/>
      <c r="FZ541" s="458"/>
      <c r="GA541" s="458"/>
      <c r="GB541" s="458"/>
      <c r="GC541" s="458"/>
      <c r="GD541" s="458"/>
      <c r="GE541" s="458"/>
      <c r="GF541" s="458"/>
      <c r="GG541" s="458"/>
      <c r="GH541" s="458"/>
      <c r="GI541" s="458"/>
      <c r="GJ541" s="458"/>
      <c r="GK541" s="458"/>
      <c r="GL541" s="458"/>
      <c r="GM541" s="458"/>
      <c r="GN541" s="458"/>
      <c r="GO541" s="458"/>
      <c r="GP541" s="458"/>
      <c r="GQ541" s="458"/>
      <c r="GR541" s="458"/>
      <c r="GS541" s="458"/>
      <c r="GT541" s="458"/>
      <c r="GU541" s="458"/>
      <c r="GV541" s="458"/>
      <c r="GW541" s="458"/>
      <c r="GX541" s="458"/>
      <c r="GY541" s="458"/>
      <c r="GZ541" s="458"/>
      <c r="HA541" s="458"/>
      <c r="HB541" s="458"/>
      <c r="HC541" s="458"/>
      <c r="HD541" s="458"/>
      <c r="HE541" s="458"/>
      <c r="HF541" s="458"/>
      <c r="HG541" s="458"/>
      <c r="HH541" s="458"/>
      <c r="HI541" s="458"/>
      <c r="HJ541" s="458"/>
      <c r="HK541" s="458"/>
      <c r="HL541" s="458"/>
      <c r="HM541" s="458"/>
      <c r="HN541" s="458"/>
      <c r="HO541" s="458"/>
      <c r="HP541" s="458"/>
      <c r="HQ541" s="458"/>
      <c r="HR541" s="458"/>
      <c r="HS541" s="458"/>
      <c r="HT541" s="458"/>
      <c r="HU541" s="458"/>
      <c r="HV541" s="458"/>
      <c r="HW541" s="458"/>
      <c r="HX541" s="458"/>
      <c r="HY541" s="458"/>
      <c r="HZ541" s="458"/>
      <c r="IA541" s="458"/>
      <c r="IB541" s="458"/>
      <c r="IC541" s="458"/>
      <c r="ID541" s="458"/>
      <c r="IE541" s="458"/>
      <c r="IF541" s="458"/>
      <c r="IG541" s="458"/>
      <c r="IH541" s="458"/>
      <c r="II541" s="458"/>
      <c r="IJ541" s="458"/>
      <c r="IK541" s="458"/>
      <c r="IL541" s="458"/>
      <c r="IM541" s="458"/>
      <c r="IN541" s="458"/>
      <c r="IO541" s="458"/>
      <c r="IP541" s="458"/>
      <c r="IQ541" s="458"/>
      <c r="IR541" s="458"/>
      <c r="IS541" s="458"/>
    </row>
    <row r="542" spans="1:253" s="455" customFormat="1" ht="33.75" x14ac:dyDescent="0.2">
      <c r="A542" s="444">
        <v>14160</v>
      </c>
      <c r="B542" s="445" t="s">
        <v>51</v>
      </c>
      <c r="C542" s="445" t="s">
        <v>52</v>
      </c>
      <c r="D542" s="445" t="s">
        <v>91</v>
      </c>
      <c r="E542" s="445"/>
      <c r="F542" s="470"/>
      <c r="G542" s="445" t="s">
        <v>1604</v>
      </c>
      <c r="H542" s="445">
        <v>501</v>
      </c>
      <c r="I542" s="445" t="s">
        <v>417</v>
      </c>
      <c r="J542" s="445">
        <v>1</v>
      </c>
      <c r="K542" s="447">
        <v>1</v>
      </c>
      <c r="L542" s="445" t="s">
        <v>1605</v>
      </c>
      <c r="M542" s="445">
        <v>2</v>
      </c>
      <c r="N542" s="445" t="s">
        <v>433</v>
      </c>
      <c r="O542" s="461" t="s">
        <v>1610</v>
      </c>
      <c r="P542" s="450">
        <v>2.39</v>
      </c>
      <c r="Q542" s="451">
        <v>4.37</v>
      </c>
      <c r="R542" s="451">
        <f>SUMIF('Wege im Detail'!$A:$A,"14160",'Wege im Detail'!$P:$P)</f>
        <v>11.629000000000001</v>
      </c>
      <c r="S542" s="488" t="s">
        <v>1611</v>
      </c>
      <c r="T542" s="453">
        <v>43952</v>
      </c>
      <c r="U542" s="448"/>
      <c r="V542" s="458"/>
      <c r="W542" s="448"/>
      <c r="X542" s="458"/>
      <c r="Y542" s="458"/>
      <c r="Z542" s="458"/>
      <c r="AA542" s="458"/>
      <c r="AB542" s="458"/>
      <c r="AC542" s="458"/>
      <c r="AD542" s="458"/>
      <c r="AE542" s="458"/>
      <c r="AF542" s="458"/>
      <c r="AG542" s="458"/>
      <c r="AH542" s="458"/>
      <c r="AI542" s="458"/>
      <c r="AJ542" s="458"/>
      <c r="AK542" s="458"/>
      <c r="AL542" s="458"/>
      <c r="AM542" s="458"/>
      <c r="AN542" s="458"/>
      <c r="AO542" s="458"/>
      <c r="AP542" s="458"/>
      <c r="AQ542" s="458"/>
      <c r="AR542" s="458"/>
      <c r="AS542" s="458"/>
      <c r="AT542" s="458"/>
      <c r="AU542" s="458"/>
      <c r="AV542" s="458"/>
      <c r="AW542" s="458"/>
      <c r="AX542" s="458"/>
      <c r="AY542" s="458"/>
      <c r="AZ542" s="458"/>
      <c r="BA542" s="458"/>
      <c r="BB542" s="458"/>
      <c r="BC542" s="458"/>
      <c r="BD542" s="458"/>
      <c r="BE542" s="458"/>
      <c r="BF542" s="458"/>
      <c r="BG542" s="458"/>
      <c r="BH542" s="458"/>
      <c r="BI542" s="458"/>
      <c r="BJ542" s="458"/>
      <c r="BK542" s="458"/>
      <c r="BL542" s="458"/>
      <c r="BM542" s="458"/>
      <c r="BN542" s="458"/>
      <c r="BO542" s="458"/>
      <c r="BP542" s="458"/>
      <c r="BQ542" s="458"/>
      <c r="BR542" s="458"/>
      <c r="BS542" s="458"/>
      <c r="BT542" s="458"/>
      <c r="BU542" s="458"/>
      <c r="BV542" s="458"/>
      <c r="BW542" s="458"/>
      <c r="BX542" s="458"/>
      <c r="BY542" s="458"/>
      <c r="BZ542" s="458"/>
      <c r="CA542" s="458"/>
      <c r="CB542" s="458"/>
      <c r="CC542" s="458"/>
      <c r="CD542" s="458"/>
      <c r="CE542" s="458"/>
      <c r="CF542" s="458"/>
      <c r="CG542" s="458"/>
      <c r="CH542" s="458"/>
      <c r="CI542" s="458"/>
      <c r="CJ542" s="458"/>
      <c r="CK542" s="458"/>
      <c r="CL542" s="458"/>
      <c r="CM542" s="458"/>
      <c r="CN542" s="458"/>
      <c r="CO542" s="458"/>
      <c r="CP542" s="458"/>
      <c r="CQ542" s="458"/>
      <c r="CR542" s="458"/>
      <c r="CS542" s="458"/>
      <c r="CT542" s="458"/>
      <c r="CU542" s="458"/>
      <c r="CV542" s="458"/>
      <c r="CW542" s="458"/>
      <c r="CX542" s="458"/>
      <c r="CY542" s="458"/>
      <c r="CZ542" s="458"/>
      <c r="DA542" s="458"/>
      <c r="DB542" s="458"/>
      <c r="DC542" s="458"/>
      <c r="DD542" s="458"/>
      <c r="DE542" s="458"/>
      <c r="DF542" s="458"/>
      <c r="DG542" s="458"/>
      <c r="DH542" s="458"/>
      <c r="DI542" s="458"/>
      <c r="DJ542" s="458"/>
      <c r="DK542" s="458"/>
      <c r="DL542" s="458"/>
      <c r="DM542" s="458"/>
      <c r="DN542" s="458"/>
      <c r="DO542" s="458"/>
      <c r="DP542" s="458"/>
      <c r="DQ542" s="458"/>
      <c r="DR542" s="458"/>
      <c r="DS542" s="458"/>
      <c r="DT542" s="458"/>
      <c r="DU542" s="458"/>
      <c r="DV542" s="458"/>
      <c r="DW542" s="458"/>
      <c r="DX542" s="458"/>
      <c r="DY542" s="458"/>
      <c r="DZ542" s="458"/>
      <c r="EA542" s="458"/>
      <c r="EB542" s="458"/>
      <c r="EC542" s="458"/>
      <c r="ED542" s="458"/>
      <c r="EE542" s="458"/>
      <c r="EF542" s="458"/>
      <c r="EG542" s="458"/>
      <c r="EH542" s="458"/>
      <c r="EI542" s="458"/>
      <c r="EJ542" s="458"/>
      <c r="EK542" s="458"/>
      <c r="EL542" s="458"/>
      <c r="EM542" s="458"/>
      <c r="EN542" s="458"/>
      <c r="EO542" s="458"/>
      <c r="EP542" s="458"/>
      <c r="EQ542" s="458"/>
      <c r="ER542" s="458"/>
      <c r="ES542" s="458"/>
      <c r="ET542" s="458"/>
      <c r="EU542" s="458"/>
      <c r="EV542" s="458"/>
      <c r="EW542" s="458"/>
      <c r="EX542" s="458"/>
      <c r="EY542" s="458"/>
      <c r="EZ542" s="458"/>
      <c r="FA542" s="458"/>
      <c r="FB542" s="458"/>
      <c r="FC542" s="458"/>
      <c r="FD542" s="458"/>
      <c r="FE542" s="458"/>
      <c r="FF542" s="458"/>
      <c r="FG542" s="458"/>
      <c r="FH542" s="458"/>
      <c r="FI542" s="458"/>
      <c r="FJ542" s="458"/>
      <c r="FK542" s="458"/>
      <c r="FL542" s="458"/>
      <c r="FM542" s="458"/>
      <c r="FN542" s="458"/>
      <c r="FO542" s="458"/>
      <c r="FP542" s="458"/>
      <c r="FQ542" s="458"/>
      <c r="FR542" s="458"/>
      <c r="FS542" s="458"/>
      <c r="FT542" s="458"/>
      <c r="FU542" s="458"/>
      <c r="FV542" s="458"/>
      <c r="FW542" s="458"/>
      <c r="FX542" s="458"/>
      <c r="FY542" s="458"/>
      <c r="FZ542" s="458"/>
      <c r="GA542" s="458"/>
      <c r="GB542" s="458"/>
      <c r="GC542" s="458"/>
      <c r="GD542" s="458"/>
      <c r="GE542" s="458"/>
      <c r="GF542" s="458"/>
      <c r="GG542" s="458"/>
      <c r="GH542" s="458"/>
      <c r="GI542" s="458"/>
      <c r="GJ542" s="458"/>
      <c r="GK542" s="458"/>
      <c r="GL542" s="458"/>
      <c r="GM542" s="458"/>
      <c r="GN542" s="458"/>
      <c r="GO542" s="458"/>
      <c r="GP542" s="458"/>
      <c r="GQ542" s="458"/>
      <c r="GR542" s="458"/>
      <c r="GS542" s="458"/>
      <c r="GT542" s="458"/>
      <c r="GU542" s="458"/>
      <c r="GV542" s="458"/>
      <c r="GW542" s="458"/>
      <c r="GX542" s="458"/>
      <c r="GY542" s="458"/>
      <c r="GZ542" s="458"/>
      <c r="HA542" s="458"/>
      <c r="HB542" s="458"/>
      <c r="HC542" s="458"/>
      <c r="HD542" s="458"/>
      <c r="HE542" s="458"/>
      <c r="HF542" s="458"/>
      <c r="HG542" s="458"/>
      <c r="HH542" s="458"/>
      <c r="HI542" s="458"/>
      <c r="HJ542" s="458"/>
      <c r="HK542" s="458"/>
      <c r="HL542" s="458"/>
      <c r="HM542" s="458"/>
      <c r="HN542" s="458"/>
      <c r="HO542" s="458"/>
      <c r="HP542" s="458"/>
      <c r="HQ542" s="458"/>
      <c r="HR542" s="458"/>
      <c r="HS542" s="458"/>
      <c r="HT542" s="458"/>
      <c r="HU542" s="458"/>
      <c r="HV542" s="458"/>
      <c r="HW542" s="458"/>
      <c r="HX542" s="458"/>
      <c r="HY542" s="458"/>
      <c r="HZ542" s="458"/>
      <c r="IA542" s="458"/>
      <c r="IB542" s="458"/>
      <c r="IC542" s="458"/>
      <c r="ID542" s="458"/>
      <c r="IE542" s="458"/>
      <c r="IF542" s="458"/>
      <c r="IG542" s="458"/>
      <c r="IH542" s="458"/>
      <c r="II542" s="458"/>
      <c r="IJ542" s="458"/>
      <c r="IK542" s="458"/>
      <c r="IL542" s="458"/>
      <c r="IM542" s="458"/>
      <c r="IN542" s="458"/>
      <c r="IO542" s="458"/>
      <c r="IP542" s="458"/>
      <c r="IQ542" s="458"/>
      <c r="IR542" s="458"/>
      <c r="IS542" s="458"/>
    </row>
    <row r="543" spans="1:253" s="455" customFormat="1" ht="33.75" x14ac:dyDescent="0.2">
      <c r="A543" s="444">
        <v>14192</v>
      </c>
      <c r="B543" s="445" t="s">
        <v>51</v>
      </c>
      <c r="C543" s="445" t="s">
        <v>52</v>
      </c>
      <c r="D543" s="445" t="s">
        <v>91</v>
      </c>
      <c r="E543" s="445"/>
      <c r="F543" s="470"/>
      <c r="G543" s="445" t="s">
        <v>1604</v>
      </c>
      <c r="H543" s="445">
        <v>512</v>
      </c>
      <c r="I543" s="445"/>
      <c r="J543" s="445">
        <v>1</v>
      </c>
      <c r="K543" s="447">
        <v>1</v>
      </c>
      <c r="L543" s="445" t="s">
        <v>1605</v>
      </c>
      <c r="M543" s="445">
        <v>5</v>
      </c>
      <c r="N543" s="445" t="s">
        <v>72</v>
      </c>
      <c r="O543" s="461" t="s">
        <v>1612</v>
      </c>
      <c r="P543" s="450">
        <v>2.4</v>
      </c>
      <c r="Q543" s="451">
        <f>P543</f>
        <v>2.4</v>
      </c>
      <c r="R543" s="451">
        <f>SUMIF('Wege im Detail'!$A:$A,"14192",'Wege im Detail'!$P:$P)</f>
        <v>2.4</v>
      </c>
      <c r="S543" s="488" t="s">
        <v>781</v>
      </c>
      <c r="T543" s="472"/>
      <c r="U543" s="448"/>
      <c r="V543" s="458"/>
      <c r="W543" s="448"/>
      <c r="X543" s="458"/>
      <c r="Y543" s="458"/>
      <c r="Z543" s="458"/>
      <c r="AA543" s="458"/>
      <c r="AB543" s="458"/>
      <c r="AC543" s="458"/>
      <c r="AD543" s="458"/>
      <c r="AE543" s="458"/>
      <c r="AF543" s="458"/>
      <c r="AG543" s="458"/>
      <c r="AH543" s="458"/>
      <c r="AI543" s="458"/>
      <c r="AJ543" s="458"/>
      <c r="AK543" s="458"/>
      <c r="AL543" s="458"/>
      <c r="AM543" s="458"/>
      <c r="AN543" s="458"/>
      <c r="AO543" s="458"/>
      <c r="AP543" s="458"/>
      <c r="AQ543" s="458"/>
      <c r="AR543" s="458"/>
      <c r="AS543" s="458"/>
      <c r="AT543" s="458"/>
      <c r="AU543" s="458"/>
      <c r="AV543" s="458"/>
      <c r="AW543" s="458"/>
      <c r="AX543" s="458"/>
      <c r="AY543" s="458"/>
      <c r="AZ543" s="458"/>
      <c r="BA543" s="458"/>
      <c r="BB543" s="458"/>
      <c r="BC543" s="458"/>
      <c r="BD543" s="458"/>
      <c r="BE543" s="458"/>
      <c r="BF543" s="458"/>
      <c r="BG543" s="458"/>
      <c r="BH543" s="458"/>
      <c r="BI543" s="458"/>
      <c r="BJ543" s="458"/>
      <c r="BK543" s="458"/>
      <c r="BL543" s="458"/>
      <c r="BM543" s="458"/>
      <c r="BN543" s="458"/>
      <c r="BO543" s="458"/>
      <c r="BP543" s="458"/>
      <c r="BQ543" s="458"/>
      <c r="BR543" s="458"/>
      <c r="BS543" s="458"/>
      <c r="BT543" s="458"/>
      <c r="BU543" s="458"/>
      <c r="BV543" s="458"/>
      <c r="BW543" s="458"/>
      <c r="BX543" s="458"/>
      <c r="BY543" s="458"/>
      <c r="BZ543" s="458"/>
      <c r="CA543" s="458"/>
      <c r="CB543" s="458"/>
      <c r="CC543" s="458"/>
      <c r="CD543" s="458"/>
      <c r="CE543" s="458"/>
      <c r="CF543" s="458"/>
      <c r="CG543" s="458"/>
      <c r="CH543" s="458"/>
      <c r="CI543" s="458"/>
      <c r="CJ543" s="458"/>
      <c r="CK543" s="458"/>
      <c r="CL543" s="458"/>
      <c r="CM543" s="458"/>
      <c r="CN543" s="458"/>
      <c r="CO543" s="458"/>
      <c r="CP543" s="458"/>
      <c r="CQ543" s="458"/>
      <c r="CR543" s="458"/>
      <c r="CS543" s="458"/>
      <c r="CT543" s="458"/>
      <c r="CU543" s="458"/>
      <c r="CV543" s="458"/>
      <c r="CW543" s="458"/>
      <c r="CX543" s="458"/>
      <c r="CY543" s="458"/>
      <c r="CZ543" s="458"/>
      <c r="DA543" s="458"/>
      <c r="DB543" s="458"/>
      <c r="DC543" s="458"/>
      <c r="DD543" s="458"/>
      <c r="DE543" s="458"/>
      <c r="DF543" s="458"/>
      <c r="DG543" s="458"/>
      <c r="DH543" s="458"/>
      <c r="DI543" s="458"/>
      <c r="DJ543" s="458"/>
      <c r="DK543" s="458"/>
      <c r="DL543" s="458"/>
      <c r="DM543" s="458"/>
      <c r="DN543" s="458"/>
      <c r="DO543" s="458"/>
      <c r="DP543" s="458"/>
      <c r="DQ543" s="458"/>
      <c r="DR543" s="458"/>
      <c r="DS543" s="458"/>
      <c r="DT543" s="458"/>
      <c r="DU543" s="458"/>
      <c r="DV543" s="458"/>
      <c r="DW543" s="458"/>
      <c r="DX543" s="458"/>
      <c r="DY543" s="458"/>
      <c r="DZ543" s="458"/>
      <c r="EA543" s="458"/>
      <c r="EB543" s="458"/>
      <c r="EC543" s="458"/>
      <c r="ED543" s="458"/>
      <c r="EE543" s="458"/>
      <c r="EF543" s="458"/>
      <c r="EG543" s="458"/>
      <c r="EH543" s="458"/>
      <c r="EI543" s="458"/>
      <c r="EJ543" s="458"/>
      <c r="EK543" s="458"/>
      <c r="EL543" s="458"/>
      <c r="EM543" s="458"/>
      <c r="EN543" s="458"/>
      <c r="EO543" s="458"/>
      <c r="EP543" s="458"/>
      <c r="EQ543" s="458"/>
      <c r="ER543" s="458"/>
      <c r="ES543" s="458"/>
      <c r="ET543" s="458"/>
      <c r="EU543" s="458"/>
      <c r="EV543" s="458"/>
      <c r="EW543" s="458"/>
      <c r="EX543" s="458"/>
      <c r="EY543" s="458"/>
      <c r="EZ543" s="458"/>
      <c r="FA543" s="458"/>
      <c r="FB543" s="458"/>
      <c r="FC543" s="458"/>
      <c r="FD543" s="458"/>
      <c r="FE543" s="458"/>
      <c r="FF543" s="458"/>
      <c r="FG543" s="458"/>
      <c r="FH543" s="458"/>
      <c r="FI543" s="458"/>
      <c r="FJ543" s="458"/>
      <c r="FK543" s="458"/>
      <c r="FL543" s="458"/>
      <c r="FM543" s="458"/>
      <c r="FN543" s="458"/>
      <c r="FO543" s="458"/>
      <c r="FP543" s="458"/>
      <c r="FQ543" s="458"/>
      <c r="FR543" s="458"/>
      <c r="FS543" s="458"/>
      <c r="FT543" s="458"/>
      <c r="FU543" s="458"/>
      <c r="FV543" s="458"/>
      <c r="FW543" s="458"/>
      <c r="FX543" s="458"/>
      <c r="FY543" s="458"/>
      <c r="FZ543" s="458"/>
      <c r="GA543" s="458"/>
      <c r="GB543" s="458"/>
      <c r="GC543" s="458"/>
      <c r="GD543" s="458"/>
      <c r="GE543" s="458"/>
      <c r="GF543" s="458"/>
      <c r="GG543" s="458"/>
      <c r="GH543" s="458"/>
      <c r="GI543" s="458"/>
      <c r="GJ543" s="458"/>
      <c r="GK543" s="458"/>
      <c r="GL543" s="458"/>
      <c r="GM543" s="458"/>
      <c r="GN543" s="458"/>
      <c r="GO543" s="458"/>
      <c r="GP543" s="458"/>
      <c r="GQ543" s="458"/>
      <c r="GR543" s="458"/>
      <c r="GS543" s="458"/>
      <c r="GT543" s="458"/>
      <c r="GU543" s="458"/>
      <c r="GV543" s="458"/>
      <c r="GW543" s="458"/>
      <c r="GX543" s="458"/>
      <c r="GY543" s="458"/>
      <c r="GZ543" s="458"/>
      <c r="HA543" s="458"/>
      <c r="HB543" s="458"/>
      <c r="HC543" s="458"/>
      <c r="HD543" s="458"/>
      <c r="HE543" s="458"/>
      <c r="HF543" s="458"/>
      <c r="HG543" s="458"/>
      <c r="HH543" s="458"/>
      <c r="HI543" s="458"/>
      <c r="HJ543" s="458"/>
      <c r="HK543" s="458"/>
      <c r="HL543" s="458"/>
      <c r="HM543" s="458"/>
      <c r="HN543" s="458"/>
      <c r="HO543" s="458"/>
      <c r="HP543" s="458"/>
      <c r="HQ543" s="458"/>
      <c r="HR543" s="458"/>
      <c r="HS543" s="458"/>
      <c r="HT543" s="458"/>
      <c r="HU543" s="458"/>
      <c r="HV543" s="458"/>
      <c r="HW543" s="458"/>
      <c r="HX543" s="458"/>
      <c r="HY543" s="458"/>
      <c r="HZ543" s="458"/>
      <c r="IA543" s="458"/>
      <c r="IB543" s="458"/>
      <c r="IC543" s="458"/>
      <c r="ID543" s="458"/>
      <c r="IE543" s="458"/>
      <c r="IF543" s="458"/>
      <c r="IG543" s="458"/>
      <c r="IH543" s="458"/>
      <c r="II543" s="458"/>
      <c r="IJ543" s="458"/>
      <c r="IK543" s="458"/>
      <c r="IL543" s="458"/>
      <c r="IM543" s="458"/>
      <c r="IN543" s="458"/>
      <c r="IO543" s="458"/>
      <c r="IP543" s="458"/>
      <c r="IQ543" s="458"/>
      <c r="IR543" s="458"/>
      <c r="IS543" s="458"/>
    </row>
    <row r="544" spans="1:253" s="455" customFormat="1" ht="33.75" x14ac:dyDescent="0.2">
      <c r="A544" s="444">
        <v>14193</v>
      </c>
      <c r="B544" s="445" t="s">
        <v>51</v>
      </c>
      <c r="C544" s="445" t="s">
        <v>52</v>
      </c>
      <c r="D544" s="445" t="s">
        <v>91</v>
      </c>
      <c r="E544" s="445"/>
      <c r="F544" s="470"/>
      <c r="G544" s="445" t="s">
        <v>1604</v>
      </c>
      <c r="H544" s="445">
        <v>510</v>
      </c>
      <c r="I544" s="445"/>
      <c r="J544" s="445">
        <v>1</v>
      </c>
      <c r="K544" s="447">
        <v>1</v>
      </c>
      <c r="L544" s="445" t="s">
        <v>1605</v>
      </c>
      <c r="M544" s="445">
        <v>1</v>
      </c>
      <c r="N544" s="445" t="s">
        <v>656</v>
      </c>
      <c r="O544" s="461" t="s">
        <v>1613</v>
      </c>
      <c r="P544" s="450">
        <v>2.4129999999999998</v>
      </c>
      <c r="Q544" s="451">
        <f>P544</f>
        <v>2.4129999999999998</v>
      </c>
      <c r="R544" s="451">
        <f>SUMIF('Wege im Detail'!$A:$A,"14193",'Wege im Detail'!$P:$P)</f>
        <v>2.4129999999999998</v>
      </c>
      <c r="S544" s="488" t="s">
        <v>782</v>
      </c>
      <c r="T544" s="453">
        <v>43952</v>
      </c>
      <c r="U544" s="448"/>
      <c r="V544" s="458"/>
      <c r="W544" s="448"/>
      <c r="X544" s="458"/>
      <c r="Y544" s="458"/>
      <c r="Z544" s="458"/>
      <c r="AA544" s="458"/>
      <c r="AB544" s="458"/>
      <c r="AC544" s="458"/>
      <c r="AD544" s="458"/>
      <c r="AE544" s="458"/>
      <c r="AF544" s="458"/>
      <c r="AG544" s="458"/>
      <c r="AH544" s="458"/>
      <c r="AI544" s="458"/>
      <c r="AJ544" s="458"/>
      <c r="AK544" s="458"/>
      <c r="AL544" s="458"/>
      <c r="AM544" s="458"/>
      <c r="AN544" s="458"/>
      <c r="AO544" s="458"/>
      <c r="AP544" s="458"/>
      <c r="AQ544" s="458"/>
      <c r="AR544" s="458"/>
      <c r="AS544" s="458"/>
      <c r="AT544" s="458"/>
      <c r="AU544" s="458"/>
      <c r="AV544" s="458"/>
      <c r="AW544" s="458"/>
      <c r="AX544" s="458"/>
      <c r="AY544" s="458"/>
      <c r="AZ544" s="458"/>
      <c r="BA544" s="458"/>
      <c r="BB544" s="458"/>
      <c r="BC544" s="458"/>
      <c r="BD544" s="458"/>
      <c r="BE544" s="458"/>
      <c r="BF544" s="458"/>
      <c r="BG544" s="458"/>
      <c r="BH544" s="458"/>
      <c r="BI544" s="458"/>
      <c r="BJ544" s="458"/>
      <c r="BK544" s="458"/>
      <c r="BL544" s="458"/>
      <c r="BM544" s="458"/>
      <c r="BN544" s="458"/>
      <c r="BO544" s="458"/>
      <c r="BP544" s="458"/>
      <c r="BQ544" s="458"/>
      <c r="BR544" s="458"/>
      <c r="BS544" s="458"/>
      <c r="BT544" s="458"/>
      <c r="BU544" s="458"/>
      <c r="BV544" s="458"/>
      <c r="BW544" s="458"/>
      <c r="BX544" s="458"/>
      <c r="BY544" s="458"/>
      <c r="BZ544" s="458"/>
      <c r="CA544" s="458"/>
      <c r="CB544" s="458"/>
      <c r="CC544" s="458"/>
      <c r="CD544" s="458"/>
      <c r="CE544" s="458"/>
      <c r="CF544" s="458"/>
      <c r="CG544" s="458"/>
      <c r="CH544" s="458"/>
      <c r="CI544" s="458"/>
      <c r="CJ544" s="458"/>
      <c r="CK544" s="458"/>
      <c r="CL544" s="458"/>
      <c r="CM544" s="458"/>
      <c r="CN544" s="458"/>
      <c r="CO544" s="458"/>
      <c r="CP544" s="458"/>
      <c r="CQ544" s="458"/>
      <c r="CR544" s="458"/>
      <c r="CS544" s="458"/>
      <c r="CT544" s="458"/>
      <c r="CU544" s="458"/>
      <c r="CV544" s="458"/>
      <c r="CW544" s="458"/>
      <c r="CX544" s="458"/>
      <c r="CY544" s="458"/>
      <c r="CZ544" s="458"/>
      <c r="DA544" s="458"/>
      <c r="DB544" s="458"/>
      <c r="DC544" s="458"/>
      <c r="DD544" s="458"/>
      <c r="DE544" s="458"/>
      <c r="DF544" s="458"/>
      <c r="DG544" s="458"/>
      <c r="DH544" s="458"/>
      <c r="DI544" s="458"/>
      <c r="DJ544" s="458"/>
      <c r="DK544" s="458"/>
      <c r="DL544" s="458"/>
      <c r="DM544" s="458"/>
      <c r="DN544" s="458"/>
      <c r="DO544" s="458"/>
      <c r="DP544" s="458"/>
      <c r="DQ544" s="458"/>
      <c r="DR544" s="458"/>
      <c r="DS544" s="458"/>
      <c r="DT544" s="458"/>
      <c r="DU544" s="458"/>
      <c r="DV544" s="458"/>
      <c r="DW544" s="458"/>
      <c r="DX544" s="458"/>
      <c r="DY544" s="458"/>
      <c r="DZ544" s="458"/>
      <c r="EA544" s="458"/>
      <c r="EB544" s="458"/>
      <c r="EC544" s="458"/>
      <c r="ED544" s="458"/>
      <c r="EE544" s="458"/>
      <c r="EF544" s="458"/>
      <c r="EG544" s="458"/>
      <c r="EH544" s="458"/>
      <c r="EI544" s="458"/>
      <c r="EJ544" s="458"/>
      <c r="EK544" s="458"/>
      <c r="EL544" s="458"/>
      <c r="EM544" s="458"/>
      <c r="EN544" s="458"/>
      <c r="EO544" s="458"/>
      <c r="EP544" s="458"/>
      <c r="EQ544" s="458"/>
      <c r="ER544" s="458"/>
      <c r="ES544" s="458"/>
      <c r="ET544" s="458"/>
      <c r="EU544" s="458"/>
      <c r="EV544" s="458"/>
      <c r="EW544" s="458"/>
      <c r="EX544" s="458"/>
      <c r="EY544" s="458"/>
      <c r="EZ544" s="458"/>
      <c r="FA544" s="458"/>
      <c r="FB544" s="458"/>
      <c r="FC544" s="458"/>
      <c r="FD544" s="458"/>
      <c r="FE544" s="458"/>
      <c r="FF544" s="458"/>
      <c r="FG544" s="458"/>
      <c r="FH544" s="458"/>
      <c r="FI544" s="458"/>
      <c r="FJ544" s="458"/>
      <c r="FK544" s="458"/>
      <c r="FL544" s="458"/>
      <c r="FM544" s="458"/>
      <c r="FN544" s="458"/>
      <c r="FO544" s="458"/>
      <c r="FP544" s="458"/>
      <c r="FQ544" s="458"/>
      <c r="FR544" s="458"/>
      <c r="FS544" s="458"/>
      <c r="FT544" s="458"/>
      <c r="FU544" s="458"/>
      <c r="FV544" s="458"/>
      <c r="FW544" s="458"/>
      <c r="FX544" s="458"/>
      <c r="FY544" s="458"/>
      <c r="FZ544" s="458"/>
      <c r="GA544" s="458"/>
      <c r="GB544" s="458"/>
      <c r="GC544" s="458"/>
      <c r="GD544" s="458"/>
      <c r="GE544" s="458"/>
      <c r="GF544" s="458"/>
      <c r="GG544" s="458"/>
      <c r="GH544" s="458"/>
      <c r="GI544" s="458"/>
      <c r="GJ544" s="458"/>
      <c r="GK544" s="458"/>
      <c r="GL544" s="458"/>
      <c r="GM544" s="458"/>
      <c r="GN544" s="458"/>
      <c r="GO544" s="458"/>
      <c r="GP544" s="458"/>
      <c r="GQ544" s="458"/>
      <c r="GR544" s="458"/>
      <c r="GS544" s="458"/>
      <c r="GT544" s="458"/>
      <c r="GU544" s="458"/>
      <c r="GV544" s="458"/>
      <c r="GW544" s="458"/>
      <c r="GX544" s="458"/>
      <c r="GY544" s="458"/>
      <c r="GZ544" s="458"/>
      <c r="HA544" s="458"/>
      <c r="HB544" s="458"/>
      <c r="HC544" s="458"/>
      <c r="HD544" s="458"/>
      <c r="HE544" s="458"/>
      <c r="HF544" s="458"/>
      <c r="HG544" s="458"/>
      <c r="HH544" s="458"/>
      <c r="HI544" s="458"/>
      <c r="HJ544" s="458"/>
      <c r="HK544" s="458"/>
      <c r="HL544" s="458"/>
      <c r="HM544" s="458"/>
      <c r="HN544" s="458"/>
      <c r="HO544" s="458"/>
      <c r="HP544" s="458"/>
      <c r="HQ544" s="458"/>
      <c r="HR544" s="458"/>
      <c r="HS544" s="458"/>
      <c r="HT544" s="458"/>
      <c r="HU544" s="458"/>
      <c r="HV544" s="458"/>
      <c r="HW544" s="458"/>
      <c r="HX544" s="458"/>
      <c r="HY544" s="458"/>
      <c r="HZ544" s="458"/>
      <c r="IA544" s="458"/>
      <c r="IB544" s="458"/>
      <c r="IC544" s="458"/>
      <c r="ID544" s="458"/>
      <c r="IE544" s="458"/>
      <c r="IF544" s="458"/>
      <c r="IG544" s="458"/>
      <c r="IH544" s="458"/>
      <c r="II544" s="458"/>
      <c r="IJ544" s="458"/>
      <c r="IK544" s="458"/>
      <c r="IL544" s="458"/>
      <c r="IM544" s="458"/>
      <c r="IN544" s="458"/>
      <c r="IO544" s="458"/>
      <c r="IP544" s="458"/>
      <c r="IQ544" s="458"/>
      <c r="IR544" s="458"/>
      <c r="IS544" s="458"/>
    </row>
    <row r="545" spans="1:253" s="458" customFormat="1" ht="45" x14ac:dyDescent="0.2">
      <c r="A545" s="444">
        <v>14194</v>
      </c>
      <c r="B545" s="445" t="s">
        <v>51</v>
      </c>
      <c r="C545" s="445" t="s">
        <v>52</v>
      </c>
      <c r="D545" s="445" t="s">
        <v>91</v>
      </c>
      <c r="E545" s="445"/>
      <c r="F545" s="470"/>
      <c r="G545" s="445" t="s">
        <v>1604</v>
      </c>
      <c r="H545" s="445">
        <v>516</v>
      </c>
      <c r="I545" s="445"/>
      <c r="J545" s="445">
        <v>1</v>
      </c>
      <c r="K545" s="447">
        <v>1</v>
      </c>
      <c r="L545" s="445" t="s">
        <v>1605</v>
      </c>
      <c r="M545" s="445">
        <v>2</v>
      </c>
      <c r="N545" s="445" t="s">
        <v>461</v>
      </c>
      <c r="O545" s="461" t="s">
        <v>1614</v>
      </c>
      <c r="P545" s="450">
        <v>2.6739999999999999</v>
      </c>
      <c r="Q545" s="451">
        <v>4.6669999999999998</v>
      </c>
      <c r="R545" s="451">
        <f>SUMIF('Wege im Detail'!$A:$A,"14194",'Wege im Detail'!$P:$P)</f>
        <v>2.6739999999999999</v>
      </c>
      <c r="S545" s="488" t="s">
        <v>783</v>
      </c>
      <c r="T545" s="453">
        <v>43952</v>
      </c>
      <c r="U545" s="448"/>
      <c r="W545" s="448"/>
      <c r="X545" s="455"/>
      <c r="Y545" s="455"/>
      <c r="Z545" s="455"/>
      <c r="AA545" s="455"/>
      <c r="AB545" s="455"/>
      <c r="AC545" s="455"/>
      <c r="AD545" s="455"/>
      <c r="AE545" s="455"/>
      <c r="AF545" s="455"/>
      <c r="AG545" s="455"/>
      <c r="AH545" s="455"/>
      <c r="AI545" s="455"/>
      <c r="AJ545" s="455"/>
      <c r="AK545" s="455"/>
      <c r="AL545" s="455"/>
      <c r="AM545" s="455"/>
      <c r="AN545" s="455"/>
      <c r="AO545" s="455"/>
      <c r="AP545" s="455"/>
      <c r="AQ545" s="455"/>
      <c r="AR545" s="455"/>
      <c r="AS545" s="455"/>
      <c r="AT545" s="455"/>
      <c r="AU545" s="455"/>
      <c r="AV545" s="455"/>
      <c r="AW545" s="455"/>
      <c r="AX545" s="455"/>
      <c r="AY545" s="455"/>
      <c r="AZ545" s="455"/>
      <c r="BA545" s="455"/>
      <c r="BB545" s="455"/>
      <c r="BC545" s="455"/>
      <c r="BD545" s="455"/>
      <c r="BE545" s="455"/>
      <c r="BF545" s="455"/>
      <c r="BG545" s="455"/>
      <c r="BH545" s="455"/>
      <c r="BI545" s="455"/>
      <c r="BJ545" s="455"/>
      <c r="BK545" s="455"/>
      <c r="BL545" s="455"/>
      <c r="BM545" s="455"/>
      <c r="BN545" s="455"/>
      <c r="BO545" s="455"/>
      <c r="BP545" s="455"/>
      <c r="BQ545" s="455"/>
      <c r="BR545" s="455"/>
      <c r="BS545" s="455"/>
      <c r="BT545" s="455"/>
      <c r="BU545" s="455"/>
      <c r="BV545" s="455"/>
      <c r="BW545" s="455"/>
      <c r="BX545" s="455"/>
      <c r="BY545" s="455"/>
      <c r="BZ545" s="455"/>
      <c r="CA545" s="455"/>
      <c r="CB545" s="455"/>
      <c r="CC545" s="455"/>
      <c r="CD545" s="455"/>
      <c r="CE545" s="455"/>
      <c r="CF545" s="455"/>
      <c r="CG545" s="455"/>
      <c r="CH545" s="455"/>
      <c r="CI545" s="455"/>
      <c r="CJ545" s="455"/>
      <c r="CK545" s="455"/>
      <c r="CL545" s="455"/>
      <c r="CM545" s="455"/>
      <c r="CN545" s="455"/>
      <c r="CO545" s="455"/>
      <c r="CP545" s="455"/>
      <c r="CQ545" s="455"/>
      <c r="CR545" s="455"/>
      <c r="CS545" s="455"/>
      <c r="CT545" s="455"/>
      <c r="CU545" s="455"/>
      <c r="CV545" s="455"/>
      <c r="CW545" s="455"/>
      <c r="CX545" s="455"/>
      <c r="CY545" s="455"/>
      <c r="CZ545" s="455"/>
      <c r="DA545" s="455"/>
      <c r="DB545" s="455"/>
      <c r="DC545" s="455"/>
      <c r="DD545" s="455"/>
      <c r="DE545" s="455"/>
      <c r="DF545" s="455"/>
      <c r="DG545" s="455"/>
      <c r="DH545" s="455"/>
      <c r="DI545" s="455"/>
      <c r="DJ545" s="455"/>
      <c r="DK545" s="455"/>
      <c r="DL545" s="455"/>
      <c r="DM545" s="455"/>
      <c r="DN545" s="455"/>
      <c r="DO545" s="455"/>
      <c r="DP545" s="455"/>
      <c r="DQ545" s="455"/>
      <c r="DR545" s="455"/>
      <c r="DS545" s="455"/>
      <c r="DT545" s="455"/>
      <c r="DU545" s="455"/>
      <c r="DV545" s="455"/>
      <c r="DW545" s="455"/>
      <c r="DX545" s="455"/>
      <c r="DY545" s="455"/>
      <c r="DZ545" s="455"/>
      <c r="EA545" s="455"/>
      <c r="EB545" s="455"/>
      <c r="EC545" s="455"/>
      <c r="ED545" s="455"/>
      <c r="EE545" s="455"/>
      <c r="EF545" s="455"/>
      <c r="EG545" s="455"/>
      <c r="EH545" s="455"/>
      <c r="EI545" s="455"/>
      <c r="EJ545" s="455"/>
      <c r="EK545" s="455"/>
      <c r="EL545" s="455"/>
      <c r="EM545" s="455"/>
      <c r="EN545" s="455"/>
      <c r="EO545" s="455"/>
      <c r="EP545" s="455"/>
      <c r="EQ545" s="455"/>
      <c r="ER545" s="455"/>
      <c r="ES545" s="455"/>
      <c r="ET545" s="455"/>
      <c r="EU545" s="455"/>
      <c r="EV545" s="455"/>
      <c r="EW545" s="455"/>
      <c r="EX545" s="455"/>
      <c r="EY545" s="455"/>
      <c r="EZ545" s="455"/>
      <c r="FA545" s="455"/>
      <c r="FB545" s="455"/>
      <c r="FC545" s="455"/>
      <c r="FD545" s="455"/>
      <c r="FE545" s="455"/>
      <c r="FF545" s="455"/>
      <c r="FG545" s="455"/>
      <c r="FH545" s="455"/>
      <c r="FI545" s="455"/>
      <c r="FJ545" s="455"/>
      <c r="FK545" s="455"/>
      <c r="FL545" s="455"/>
      <c r="FM545" s="455"/>
      <c r="FN545" s="455"/>
      <c r="FO545" s="455"/>
      <c r="FP545" s="455"/>
      <c r="FQ545" s="455"/>
      <c r="FR545" s="455"/>
      <c r="FS545" s="455"/>
      <c r="FT545" s="455"/>
      <c r="FU545" s="455"/>
      <c r="FV545" s="455"/>
      <c r="FW545" s="455"/>
      <c r="FX545" s="455"/>
      <c r="FY545" s="455"/>
      <c r="FZ545" s="455"/>
      <c r="GA545" s="455"/>
      <c r="GB545" s="455"/>
      <c r="GC545" s="455"/>
      <c r="GD545" s="455"/>
      <c r="GE545" s="455"/>
      <c r="GF545" s="455"/>
      <c r="GG545" s="455"/>
      <c r="GH545" s="455"/>
      <c r="GI545" s="455"/>
      <c r="GJ545" s="455"/>
      <c r="GK545" s="455"/>
      <c r="GL545" s="455"/>
      <c r="GM545" s="455"/>
      <c r="GN545" s="455"/>
      <c r="GO545" s="455"/>
      <c r="GP545" s="455"/>
      <c r="GQ545" s="455"/>
      <c r="GR545" s="455"/>
      <c r="GS545" s="455"/>
      <c r="GT545" s="455"/>
      <c r="GU545" s="455"/>
      <c r="GV545" s="455"/>
      <c r="GW545" s="455"/>
      <c r="GX545" s="455"/>
      <c r="GY545" s="455"/>
      <c r="GZ545" s="455"/>
      <c r="HA545" s="455"/>
      <c r="HB545" s="455"/>
      <c r="HC545" s="455"/>
      <c r="HD545" s="455"/>
      <c r="HE545" s="455"/>
      <c r="HF545" s="455"/>
      <c r="HG545" s="455"/>
      <c r="HH545" s="455"/>
      <c r="HI545" s="455"/>
      <c r="HJ545" s="455"/>
      <c r="HK545" s="455"/>
      <c r="HL545" s="455"/>
      <c r="HM545" s="455"/>
      <c r="HN545" s="455"/>
      <c r="HO545" s="455"/>
      <c r="HP545" s="455"/>
      <c r="HQ545" s="455"/>
      <c r="HR545" s="455"/>
      <c r="HS545" s="455"/>
      <c r="HT545" s="455"/>
      <c r="HU545" s="455"/>
      <c r="HV545" s="455"/>
      <c r="HW545" s="455"/>
      <c r="HX545" s="455"/>
      <c r="HY545" s="455"/>
      <c r="HZ545" s="455"/>
      <c r="IA545" s="455"/>
      <c r="IB545" s="455"/>
      <c r="IC545" s="455"/>
      <c r="ID545" s="455"/>
      <c r="IE545" s="455"/>
      <c r="IF545" s="455"/>
      <c r="IG545" s="455"/>
      <c r="IH545" s="455"/>
      <c r="II545" s="455"/>
      <c r="IJ545" s="455"/>
      <c r="IK545" s="455"/>
      <c r="IL545" s="455"/>
      <c r="IM545" s="455"/>
      <c r="IN545" s="455"/>
      <c r="IO545" s="455"/>
      <c r="IP545" s="455"/>
      <c r="IQ545" s="455"/>
      <c r="IR545" s="455"/>
      <c r="IS545" s="455"/>
    </row>
    <row r="546" spans="1:253" s="458" customFormat="1" ht="33.75" x14ac:dyDescent="0.2">
      <c r="A546" s="444">
        <v>14195</v>
      </c>
      <c r="B546" s="445" t="s">
        <v>51</v>
      </c>
      <c r="C546" s="445" t="s">
        <v>52</v>
      </c>
      <c r="D546" s="445" t="s">
        <v>91</v>
      </c>
      <c r="E546" s="445"/>
      <c r="F546" s="470"/>
      <c r="G546" s="445" t="s">
        <v>1604</v>
      </c>
      <c r="H546" s="445">
        <v>518</v>
      </c>
      <c r="I546" s="445" t="s">
        <v>117</v>
      </c>
      <c r="J546" s="445">
        <v>1</v>
      </c>
      <c r="K546" s="447">
        <v>1</v>
      </c>
      <c r="L546" s="445" t="s">
        <v>1605</v>
      </c>
      <c r="M546" s="445">
        <v>5</v>
      </c>
      <c r="N546" s="445" t="s">
        <v>208</v>
      </c>
      <c r="O546" s="461" t="s">
        <v>1615</v>
      </c>
      <c r="P546" s="450">
        <v>5.4370000000000003</v>
      </c>
      <c r="Q546" s="451">
        <f t="shared" ref="Q546:Q554" si="16">P546</f>
        <v>5.4370000000000003</v>
      </c>
      <c r="R546" s="451">
        <f>SUMIF('Wege im Detail'!$A:$A,"14195",'Wege im Detail'!$P:$P)</f>
        <v>13.849</v>
      </c>
      <c r="S546" s="488" t="s">
        <v>784</v>
      </c>
      <c r="T546" s="453">
        <v>43952</v>
      </c>
      <c r="U546" s="448"/>
      <c r="W546" s="448"/>
    </row>
    <row r="547" spans="1:253" s="458" customFormat="1" ht="33.75" x14ac:dyDescent="0.2">
      <c r="A547" s="444">
        <v>14195</v>
      </c>
      <c r="B547" s="445" t="s">
        <v>51</v>
      </c>
      <c r="C547" s="445" t="s">
        <v>52</v>
      </c>
      <c r="D547" s="445" t="s">
        <v>91</v>
      </c>
      <c r="E547" s="445"/>
      <c r="F547" s="470"/>
      <c r="G547" s="445" t="s">
        <v>1604</v>
      </c>
      <c r="H547" s="445">
        <v>518</v>
      </c>
      <c r="I547" s="445" t="s">
        <v>417</v>
      </c>
      <c r="J547" s="445">
        <v>1</v>
      </c>
      <c r="K547" s="447">
        <v>1</v>
      </c>
      <c r="L547" s="445" t="s">
        <v>1605</v>
      </c>
      <c r="M547" s="445">
        <v>5</v>
      </c>
      <c r="N547" s="445" t="s">
        <v>208</v>
      </c>
      <c r="O547" s="461" t="s">
        <v>1616</v>
      </c>
      <c r="P547" s="450">
        <v>5.4210000000000003</v>
      </c>
      <c r="Q547" s="451">
        <f t="shared" si="16"/>
        <v>5.4210000000000003</v>
      </c>
      <c r="R547" s="451">
        <f>SUMIF('Wege im Detail'!$A:$A,"14195",'Wege im Detail'!$P:$P)</f>
        <v>13.849</v>
      </c>
      <c r="S547" s="488" t="s">
        <v>784</v>
      </c>
      <c r="T547" s="453">
        <v>43952</v>
      </c>
      <c r="U547" s="448"/>
      <c r="W547" s="448"/>
    </row>
    <row r="548" spans="1:253" s="458" customFormat="1" ht="33.75" x14ac:dyDescent="0.2">
      <c r="A548" s="444">
        <v>14195</v>
      </c>
      <c r="B548" s="445" t="s">
        <v>51</v>
      </c>
      <c r="C548" s="445" t="s">
        <v>52</v>
      </c>
      <c r="D548" s="445" t="s">
        <v>91</v>
      </c>
      <c r="E548" s="445"/>
      <c r="F548" s="470"/>
      <c r="G548" s="445" t="s">
        <v>1604</v>
      </c>
      <c r="H548" s="445">
        <v>518</v>
      </c>
      <c r="I548" s="445" t="s">
        <v>457</v>
      </c>
      <c r="J548" s="445">
        <v>1</v>
      </c>
      <c r="K548" s="447">
        <v>1</v>
      </c>
      <c r="L548" s="445" t="s">
        <v>1605</v>
      </c>
      <c r="M548" s="445">
        <v>5</v>
      </c>
      <c r="N548" s="445" t="s">
        <v>208</v>
      </c>
      <c r="O548" s="461" t="s">
        <v>1617</v>
      </c>
      <c r="P548" s="450">
        <v>2.9910000000000001</v>
      </c>
      <c r="Q548" s="451">
        <f t="shared" si="16"/>
        <v>2.9910000000000001</v>
      </c>
      <c r="R548" s="451">
        <f>SUMIF('Wege im Detail'!$A:$A,"14195",'Wege im Detail'!$P:$P)</f>
        <v>13.849</v>
      </c>
      <c r="S548" s="488" t="s">
        <v>784</v>
      </c>
      <c r="T548" s="453">
        <v>43952</v>
      </c>
      <c r="U548" s="448"/>
      <c r="W548" s="448"/>
    </row>
    <row r="549" spans="1:253" s="458" customFormat="1" ht="33.75" x14ac:dyDescent="0.2">
      <c r="A549" s="444">
        <v>14196</v>
      </c>
      <c r="B549" s="445" t="s">
        <v>51</v>
      </c>
      <c r="C549" s="445" t="s">
        <v>52</v>
      </c>
      <c r="D549" s="445" t="s">
        <v>91</v>
      </c>
      <c r="E549" s="445"/>
      <c r="F549" s="470"/>
      <c r="G549" s="445" t="s">
        <v>1604</v>
      </c>
      <c r="H549" s="445">
        <v>507</v>
      </c>
      <c r="I549" s="445"/>
      <c r="J549" s="445">
        <v>1</v>
      </c>
      <c r="K549" s="447">
        <v>1</v>
      </c>
      <c r="L549" s="445" t="s">
        <v>1605</v>
      </c>
      <c r="M549" s="445">
        <v>2</v>
      </c>
      <c r="N549" s="445" t="s">
        <v>63</v>
      </c>
      <c r="O549" s="461" t="s">
        <v>1618</v>
      </c>
      <c r="P549" s="450">
        <v>1.0569999999999999</v>
      </c>
      <c r="Q549" s="451">
        <f t="shared" si="16"/>
        <v>1.0569999999999999</v>
      </c>
      <c r="R549" s="451">
        <f>SUMIF('Wege im Detail'!$A:$A,"14196",'Wege im Detail'!$P:$P)</f>
        <v>1.0569999999999999</v>
      </c>
      <c r="S549" s="488" t="s">
        <v>785</v>
      </c>
      <c r="T549" s="453">
        <v>43952</v>
      </c>
      <c r="U549" s="448"/>
      <c r="W549" s="448"/>
      <c r="X549" s="455"/>
      <c r="Y549" s="455"/>
      <c r="Z549" s="455"/>
      <c r="AA549" s="455"/>
      <c r="AB549" s="455"/>
      <c r="AC549" s="455"/>
      <c r="AD549" s="455"/>
      <c r="AE549" s="455"/>
      <c r="AF549" s="455"/>
      <c r="AG549" s="455"/>
      <c r="AH549" s="455"/>
      <c r="AI549" s="455"/>
      <c r="AJ549" s="455"/>
      <c r="AK549" s="455"/>
      <c r="AL549" s="455"/>
      <c r="AM549" s="455"/>
      <c r="AN549" s="455"/>
      <c r="AO549" s="455"/>
      <c r="AP549" s="455"/>
      <c r="AQ549" s="455"/>
      <c r="AR549" s="455"/>
      <c r="AS549" s="455"/>
      <c r="AT549" s="455"/>
      <c r="AU549" s="455"/>
      <c r="AV549" s="455"/>
      <c r="AW549" s="455"/>
      <c r="AX549" s="455"/>
      <c r="AY549" s="455"/>
      <c r="AZ549" s="455"/>
      <c r="BA549" s="455"/>
      <c r="BB549" s="455"/>
      <c r="BC549" s="455"/>
      <c r="BD549" s="455"/>
      <c r="BE549" s="455"/>
      <c r="BF549" s="455"/>
      <c r="BG549" s="455"/>
      <c r="BH549" s="455"/>
      <c r="BI549" s="455"/>
      <c r="BJ549" s="455"/>
      <c r="BK549" s="455"/>
      <c r="BL549" s="455"/>
      <c r="BM549" s="455"/>
      <c r="BN549" s="455"/>
      <c r="BO549" s="455"/>
      <c r="BP549" s="455"/>
      <c r="BQ549" s="455"/>
      <c r="BR549" s="455"/>
      <c r="BS549" s="455"/>
      <c r="BT549" s="455"/>
      <c r="BU549" s="455"/>
      <c r="BV549" s="455"/>
      <c r="BW549" s="455"/>
      <c r="BX549" s="455"/>
      <c r="BY549" s="455"/>
      <c r="BZ549" s="455"/>
      <c r="CA549" s="455"/>
      <c r="CB549" s="455"/>
      <c r="CC549" s="455"/>
      <c r="CD549" s="455"/>
      <c r="CE549" s="455"/>
      <c r="CF549" s="455"/>
      <c r="CG549" s="455"/>
      <c r="CH549" s="455"/>
      <c r="CI549" s="455"/>
      <c r="CJ549" s="455"/>
      <c r="CK549" s="455"/>
      <c r="CL549" s="455"/>
      <c r="CM549" s="455"/>
      <c r="CN549" s="455"/>
      <c r="CO549" s="455"/>
      <c r="CP549" s="455"/>
      <c r="CQ549" s="455"/>
      <c r="CR549" s="455"/>
      <c r="CS549" s="455"/>
      <c r="CT549" s="455"/>
      <c r="CU549" s="455"/>
      <c r="CV549" s="455"/>
      <c r="CW549" s="455"/>
      <c r="CX549" s="455"/>
      <c r="CY549" s="455"/>
      <c r="CZ549" s="455"/>
      <c r="DA549" s="455"/>
      <c r="DB549" s="455"/>
      <c r="DC549" s="455"/>
      <c r="DD549" s="455"/>
      <c r="DE549" s="455"/>
      <c r="DF549" s="455"/>
      <c r="DG549" s="455"/>
      <c r="DH549" s="455"/>
      <c r="DI549" s="455"/>
      <c r="DJ549" s="455"/>
      <c r="DK549" s="455"/>
      <c r="DL549" s="455"/>
      <c r="DM549" s="455"/>
      <c r="DN549" s="455"/>
      <c r="DO549" s="455"/>
      <c r="DP549" s="455"/>
      <c r="DQ549" s="455"/>
      <c r="DR549" s="455"/>
      <c r="DS549" s="455"/>
      <c r="DT549" s="455"/>
      <c r="DU549" s="455"/>
      <c r="DV549" s="455"/>
      <c r="DW549" s="455"/>
      <c r="DX549" s="455"/>
      <c r="DY549" s="455"/>
      <c r="DZ549" s="455"/>
      <c r="EA549" s="455"/>
      <c r="EB549" s="455"/>
      <c r="EC549" s="455"/>
      <c r="ED549" s="455"/>
      <c r="EE549" s="455"/>
      <c r="EF549" s="455"/>
      <c r="EG549" s="455"/>
      <c r="EH549" s="455"/>
      <c r="EI549" s="455"/>
      <c r="EJ549" s="455"/>
      <c r="EK549" s="455"/>
      <c r="EL549" s="455"/>
      <c r="EM549" s="455"/>
      <c r="EN549" s="455"/>
      <c r="EO549" s="455"/>
      <c r="EP549" s="455"/>
      <c r="EQ549" s="455"/>
      <c r="ER549" s="455"/>
      <c r="ES549" s="455"/>
      <c r="ET549" s="455"/>
      <c r="EU549" s="455"/>
      <c r="EV549" s="455"/>
      <c r="EW549" s="455"/>
      <c r="EX549" s="455"/>
      <c r="EY549" s="455"/>
      <c r="EZ549" s="455"/>
      <c r="FA549" s="455"/>
      <c r="FB549" s="455"/>
      <c r="FC549" s="455"/>
      <c r="FD549" s="455"/>
      <c r="FE549" s="455"/>
      <c r="FF549" s="455"/>
      <c r="FG549" s="455"/>
      <c r="FH549" s="455"/>
      <c r="FI549" s="455"/>
      <c r="FJ549" s="455"/>
      <c r="FK549" s="455"/>
      <c r="FL549" s="455"/>
      <c r="FM549" s="455"/>
      <c r="FN549" s="455"/>
      <c r="FO549" s="455"/>
      <c r="FP549" s="455"/>
      <c r="FQ549" s="455"/>
      <c r="FR549" s="455"/>
      <c r="FS549" s="455"/>
      <c r="FT549" s="455"/>
      <c r="FU549" s="455"/>
      <c r="FV549" s="455"/>
      <c r="FW549" s="455"/>
      <c r="FX549" s="455"/>
      <c r="FY549" s="455"/>
      <c r="FZ549" s="455"/>
      <c r="GA549" s="455"/>
      <c r="GB549" s="455"/>
      <c r="GC549" s="455"/>
      <c r="GD549" s="455"/>
      <c r="GE549" s="455"/>
      <c r="GF549" s="455"/>
      <c r="GG549" s="455"/>
      <c r="GH549" s="455"/>
      <c r="GI549" s="455"/>
      <c r="GJ549" s="455"/>
      <c r="GK549" s="455"/>
      <c r="GL549" s="455"/>
      <c r="GM549" s="455"/>
      <c r="GN549" s="455"/>
      <c r="GO549" s="455"/>
      <c r="GP549" s="455"/>
      <c r="GQ549" s="455"/>
      <c r="GR549" s="455"/>
      <c r="GS549" s="455"/>
      <c r="GT549" s="455"/>
      <c r="GU549" s="455"/>
      <c r="GV549" s="455"/>
      <c r="GW549" s="455"/>
      <c r="GX549" s="455"/>
      <c r="GY549" s="455"/>
      <c r="GZ549" s="455"/>
      <c r="HA549" s="455"/>
      <c r="HB549" s="455"/>
      <c r="HC549" s="455"/>
      <c r="HD549" s="455"/>
      <c r="HE549" s="455"/>
      <c r="HF549" s="455"/>
      <c r="HG549" s="455"/>
      <c r="HH549" s="455"/>
      <c r="HI549" s="455"/>
      <c r="HJ549" s="455"/>
      <c r="HK549" s="455"/>
      <c r="HL549" s="455"/>
      <c r="HM549" s="455"/>
      <c r="HN549" s="455"/>
      <c r="HO549" s="455"/>
      <c r="HP549" s="455"/>
      <c r="HQ549" s="455"/>
      <c r="HR549" s="455"/>
      <c r="HS549" s="455"/>
      <c r="HT549" s="455"/>
      <c r="HU549" s="455"/>
      <c r="HV549" s="455"/>
      <c r="HW549" s="455"/>
      <c r="HX549" s="455"/>
      <c r="HY549" s="455"/>
      <c r="HZ549" s="455"/>
      <c r="IA549" s="455"/>
      <c r="IB549" s="455"/>
      <c r="IC549" s="455"/>
      <c r="ID549" s="455"/>
      <c r="IE549" s="455"/>
      <c r="IF549" s="455"/>
      <c r="IG549" s="455"/>
      <c r="IH549" s="455"/>
      <c r="II549" s="455"/>
      <c r="IJ549" s="455"/>
      <c r="IK549" s="455"/>
      <c r="IL549" s="455"/>
      <c r="IM549" s="455"/>
      <c r="IN549" s="455"/>
      <c r="IO549" s="455"/>
      <c r="IP549" s="455"/>
      <c r="IQ549" s="455"/>
      <c r="IR549" s="455"/>
      <c r="IS549" s="455"/>
    </row>
    <row r="550" spans="1:253" s="458" customFormat="1" ht="33.75" x14ac:dyDescent="0.2">
      <c r="A550" s="444">
        <v>14197</v>
      </c>
      <c r="B550" s="445" t="s">
        <v>51</v>
      </c>
      <c r="C550" s="445" t="s">
        <v>52</v>
      </c>
      <c r="D550" s="445" t="s">
        <v>91</v>
      </c>
      <c r="E550" s="445"/>
      <c r="F550" s="470"/>
      <c r="G550" s="445" t="s">
        <v>1604</v>
      </c>
      <c r="H550" s="445">
        <v>506</v>
      </c>
      <c r="I550" s="445"/>
      <c r="J550" s="445">
        <v>1</v>
      </c>
      <c r="K550" s="447">
        <v>1</v>
      </c>
      <c r="L550" s="445" t="s">
        <v>1605</v>
      </c>
      <c r="M550" s="445">
        <v>2</v>
      </c>
      <c r="N550" s="445" t="s">
        <v>458</v>
      </c>
      <c r="O550" s="461" t="s">
        <v>1619</v>
      </c>
      <c r="P550" s="450">
        <v>3.6890000000000001</v>
      </c>
      <c r="Q550" s="451">
        <f t="shared" si="16"/>
        <v>3.6890000000000001</v>
      </c>
      <c r="R550" s="451">
        <f>SUMIF('Wege im Detail'!$A:$A,"14197",'Wege im Detail'!$P:$P)</f>
        <v>3.6890000000000001</v>
      </c>
      <c r="S550" s="488" t="s">
        <v>786</v>
      </c>
      <c r="T550" s="453">
        <v>43952</v>
      </c>
      <c r="U550" s="448"/>
      <c r="W550" s="448"/>
      <c r="X550" s="455"/>
      <c r="Y550" s="455"/>
      <c r="Z550" s="455"/>
      <c r="AA550" s="455"/>
      <c r="AB550" s="455"/>
      <c r="AC550" s="455"/>
      <c r="AD550" s="455"/>
      <c r="AE550" s="455"/>
      <c r="AF550" s="455"/>
      <c r="AG550" s="455"/>
      <c r="AH550" s="455"/>
      <c r="AI550" s="455"/>
      <c r="AJ550" s="455"/>
      <c r="AK550" s="455"/>
      <c r="AL550" s="455"/>
      <c r="AM550" s="455"/>
      <c r="AN550" s="455"/>
      <c r="AO550" s="455"/>
      <c r="AP550" s="455"/>
      <c r="AQ550" s="455"/>
      <c r="AR550" s="455"/>
      <c r="AS550" s="455"/>
      <c r="AT550" s="455"/>
      <c r="AU550" s="455"/>
      <c r="AV550" s="455"/>
      <c r="AW550" s="455"/>
      <c r="AX550" s="455"/>
      <c r="AY550" s="455"/>
      <c r="AZ550" s="455"/>
      <c r="BA550" s="455"/>
      <c r="BB550" s="455"/>
      <c r="BC550" s="455"/>
      <c r="BD550" s="455"/>
      <c r="BE550" s="455"/>
      <c r="BF550" s="455"/>
      <c r="BG550" s="455"/>
      <c r="BH550" s="455"/>
      <c r="BI550" s="455"/>
      <c r="BJ550" s="455"/>
      <c r="BK550" s="455"/>
      <c r="BL550" s="455"/>
      <c r="BM550" s="455"/>
      <c r="BN550" s="455"/>
      <c r="BO550" s="455"/>
      <c r="BP550" s="455"/>
      <c r="BQ550" s="455"/>
      <c r="BR550" s="455"/>
      <c r="BS550" s="455"/>
      <c r="BT550" s="455"/>
      <c r="BU550" s="455"/>
      <c r="BV550" s="455"/>
      <c r="BW550" s="455"/>
      <c r="BX550" s="455"/>
      <c r="BY550" s="455"/>
      <c r="BZ550" s="455"/>
      <c r="CA550" s="455"/>
      <c r="CB550" s="455"/>
      <c r="CC550" s="455"/>
      <c r="CD550" s="455"/>
      <c r="CE550" s="455"/>
      <c r="CF550" s="455"/>
      <c r="CG550" s="455"/>
      <c r="CH550" s="455"/>
      <c r="CI550" s="455"/>
      <c r="CJ550" s="455"/>
      <c r="CK550" s="455"/>
      <c r="CL550" s="455"/>
      <c r="CM550" s="455"/>
      <c r="CN550" s="455"/>
      <c r="CO550" s="455"/>
      <c r="CP550" s="455"/>
      <c r="CQ550" s="455"/>
      <c r="CR550" s="455"/>
      <c r="CS550" s="455"/>
      <c r="CT550" s="455"/>
      <c r="CU550" s="455"/>
      <c r="CV550" s="455"/>
      <c r="CW550" s="455"/>
      <c r="CX550" s="455"/>
      <c r="CY550" s="455"/>
      <c r="CZ550" s="455"/>
      <c r="DA550" s="455"/>
      <c r="DB550" s="455"/>
      <c r="DC550" s="455"/>
      <c r="DD550" s="455"/>
      <c r="DE550" s="455"/>
      <c r="DF550" s="455"/>
      <c r="DG550" s="455"/>
      <c r="DH550" s="455"/>
      <c r="DI550" s="455"/>
      <c r="DJ550" s="455"/>
      <c r="DK550" s="455"/>
      <c r="DL550" s="455"/>
      <c r="DM550" s="455"/>
      <c r="DN550" s="455"/>
      <c r="DO550" s="455"/>
      <c r="DP550" s="455"/>
      <c r="DQ550" s="455"/>
      <c r="DR550" s="455"/>
      <c r="DS550" s="455"/>
      <c r="DT550" s="455"/>
      <c r="DU550" s="455"/>
      <c r="DV550" s="455"/>
      <c r="DW550" s="455"/>
      <c r="DX550" s="455"/>
      <c r="DY550" s="455"/>
      <c r="DZ550" s="455"/>
      <c r="EA550" s="455"/>
      <c r="EB550" s="455"/>
      <c r="EC550" s="455"/>
      <c r="ED550" s="455"/>
      <c r="EE550" s="455"/>
      <c r="EF550" s="455"/>
      <c r="EG550" s="455"/>
      <c r="EH550" s="455"/>
      <c r="EI550" s="455"/>
      <c r="EJ550" s="455"/>
      <c r="EK550" s="455"/>
      <c r="EL550" s="455"/>
      <c r="EM550" s="455"/>
      <c r="EN550" s="455"/>
      <c r="EO550" s="455"/>
      <c r="EP550" s="455"/>
      <c r="EQ550" s="455"/>
      <c r="ER550" s="455"/>
      <c r="ES550" s="455"/>
      <c r="ET550" s="455"/>
      <c r="EU550" s="455"/>
      <c r="EV550" s="455"/>
      <c r="EW550" s="455"/>
      <c r="EX550" s="455"/>
      <c r="EY550" s="455"/>
      <c r="EZ550" s="455"/>
      <c r="FA550" s="455"/>
      <c r="FB550" s="455"/>
      <c r="FC550" s="455"/>
      <c r="FD550" s="455"/>
      <c r="FE550" s="455"/>
      <c r="FF550" s="455"/>
      <c r="FG550" s="455"/>
      <c r="FH550" s="455"/>
      <c r="FI550" s="455"/>
      <c r="FJ550" s="455"/>
      <c r="FK550" s="455"/>
      <c r="FL550" s="455"/>
      <c r="FM550" s="455"/>
      <c r="FN550" s="455"/>
      <c r="FO550" s="455"/>
      <c r="FP550" s="455"/>
      <c r="FQ550" s="455"/>
      <c r="FR550" s="455"/>
      <c r="FS550" s="455"/>
      <c r="FT550" s="455"/>
      <c r="FU550" s="455"/>
      <c r="FV550" s="455"/>
      <c r="FW550" s="455"/>
      <c r="FX550" s="455"/>
      <c r="FY550" s="455"/>
      <c r="FZ550" s="455"/>
      <c r="GA550" s="455"/>
      <c r="GB550" s="455"/>
      <c r="GC550" s="455"/>
      <c r="GD550" s="455"/>
      <c r="GE550" s="455"/>
      <c r="GF550" s="455"/>
      <c r="GG550" s="455"/>
      <c r="GH550" s="455"/>
      <c r="GI550" s="455"/>
      <c r="GJ550" s="455"/>
      <c r="GK550" s="455"/>
      <c r="GL550" s="455"/>
      <c r="GM550" s="455"/>
      <c r="GN550" s="455"/>
      <c r="GO550" s="455"/>
      <c r="GP550" s="455"/>
      <c r="GQ550" s="455"/>
      <c r="GR550" s="455"/>
      <c r="GS550" s="455"/>
      <c r="GT550" s="455"/>
      <c r="GU550" s="455"/>
      <c r="GV550" s="455"/>
      <c r="GW550" s="455"/>
      <c r="GX550" s="455"/>
      <c r="GY550" s="455"/>
      <c r="GZ550" s="455"/>
      <c r="HA550" s="455"/>
      <c r="HB550" s="455"/>
      <c r="HC550" s="455"/>
      <c r="HD550" s="455"/>
      <c r="HE550" s="455"/>
      <c r="HF550" s="455"/>
      <c r="HG550" s="455"/>
      <c r="HH550" s="455"/>
      <c r="HI550" s="455"/>
      <c r="HJ550" s="455"/>
      <c r="HK550" s="455"/>
      <c r="HL550" s="455"/>
      <c r="HM550" s="455"/>
      <c r="HN550" s="455"/>
      <c r="HO550" s="455"/>
      <c r="HP550" s="455"/>
      <c r="HQ550" s="455"/>
      <c r="HR550" s="455"/>
      <c r="HS550" s="455"/>
      <c r="HT550" s="455"/>
      <c r="HU550" s="455"/>
      <c r="HV550" s="455"/>
      <c r="HW550" s="455"/>
      <c r="HX550" s="455"/>
      <c r="HY550" s="455"/>
      <c r="HZ550" s="455"/>
      <c r="IA550" s="455"/>
      <c r="IB550" s="455"/>
      <c r="IC550" s="455"/>
      <c r="ID550" s="455"/>
      <c r="IE550" s="455"/>
      <c r="IF550" s="455"/>
      <c r="IG550" s="455"/>
      <c r="IH550" s="455"/>
      <c r="II550" s="455"/>
      <c r="IJ550" s="455"/>
      <c r="IK550" s="455"/>
      <c r="IL550" s="455"/>
      <c r="IM550" s="455"/>
      <c r="IN550" s="455"/>
      <c r="IO550" s="455"/>
      <c r="IP550" s="455"/>
      <c r="IQ550" s="455"/>
      <c r="IR550" s="455"/>
      <c r="IS550" s="455"/>
    </row>
    <row r="551" spans="1:253" s="458" customFormat="1" ht="33.75" x14ac:dyDescent="0.2">
      <c r="A551" s="444">
        <v>14225</v>
      </c>
      <c r="B551" s="445" t="s">
        <v>51</v>
      </c>
      <c r="C551" s="445" t="s">
        <v>52</v>
      </c>
      <c r="D551" s="445" t="s">
        <v>91</v>
      </c>
      <c r="E551" s="445"/>
      <c r="F551" s="470"/>
      <c r="G551" s="445" t="s">
        <v>1604</v>
      </c>
      <c r="H551" s="445">
        <v>513</v>
      </c>
      <c r="I551" s="445" t="s">
        <v>417</v>
      </c>
      <c r="J551" s="445">
        <v>1</v>
      </c>
      <c r="K551" s="447">
        <v>3</v>
      </c>
      <c r="L551" s="445" t="s">
        <v>1605</v>
      </c>
      <c r="M551" s="445">
        <v>1</v>
      </c>
      <c r="N551" s="445" t="s">
        <v>436</v>
      </c>
      <c r="O551" s="461" t="s">
        <v>1620</v>
      </c>
      <c r="P551" s="450">
        <v>1.1950000000000001</v>
      </c>
      <c r="Q551" s="451">
        <f t="shared" si="16"/>
        <v>1.1950000000000001</v>
      </c>
      <c r="R551" s="451">
        <f>SUMIF('Wege im Detail'!$A:$A,"14225",'Wege im Detail'!$P:$P)</f>
        <v>12.524000000000001</v>
      </c>
      <c r="S551" s="488" t="s">
        <v>1621</v>
      </c>
      <c r="T551" s="453">
        <v>43952</v>
      </c>
      <c r="U551" s="448"/>
      <c r="W551" s="448"/>
    </row>
    <row r="552" spans="1:253" s="458" customFormat="1" ht="33.75" x14ac:dyDescent="0.2">
      <c r="A552" s="444">
        <v>14225</v>
      </c>
      <c r="B552" s="445" t="s">
        <v>51</v>
      </c>
      <c r="C552" s="445" t="s">
        <v>52</v>
      </c>
      <c r="D552" s="445" t="s">
        <v>91</v>
      </c>
      <c r="E552" s="445"/>
      <c r="F552" s="470"/>
      <c r="G552" s="445" t="s">
        <v>1604</v>
      </c>
      <c r="H552" s="445">
        <v>513</v>
      </c>
      <c r="I552" s="445" t="s">
        <v>417</v>
      </c>
      <c r="J552" s="445">
        <v>2</v>
      </c>
      <c r="K552" s="447">
        <v>3</v>
      </c>
      <c r="L552" s="445" t="s">
        <v>1605</v>
      </c>
      <c r="M552" s="445">
        <v>1</v>
      </c>
      <c r="N552" s="445" t="s">
        <v>230</v>
      </c>
      <c r="O552" s="461" t="s">
        <v>1622</v>
      </c>
      <c r="P552" s="450">
        <v>2.923</v>
      </c>
      <c r="Q552" s="451">
        <f t="shared" si="16"/>
        <v>2.923</v>
      </c>
      <c r="R552" s="451">
        <f>SUMIF('Wege im Detail'!$A:$A,"14225",'Wege im Detail'!$P:$P)</f>
        <v>12.524000000000001</v>
      </c>
      <c r="S552" s="488" t="s">
        <v>1621</v>
      </c>
      <c r="T552" s="453">
        <v>43952</v>
      </c>
      <c r="U552" s="448"/>
      <c r="W552" s="448"/>
    </row>
    <row r="553" spans="1:253" s="458" customFormat="1" ht="33.75" x14ac:dyDescent="0.2">
      <c r="A553" s="444">
        <v>14225</v>
      </c>
      <c r="B553" s="445" t="s">
        <v>51</v>
      </c>
      <c r="C553" s="445" t="s">
        <v>52</v>
      </c>
      <c r="D553" s="445" t="s">
        <v>91</v>
      </c>
      <c r="E553" s="445"/>
      <c r="F553" s="470"/>
      <c r="G553" s="445" t="s">
        <v>1604</v>
      </c>
      <c r="H553" s="445">
        <v>513</v>
      </c>
      <c r="I553" s="445" t="s">
        <v>417</v>
      </c>
      <c r="J553" s="445">
        <v>3</v>
      </c>
      <c r="K553" s="447">
        <v>3</v>
      </c>
      <c r="L553" s="445" t="s">
        <v>1605</v>
      </c>
      <c r="M553" s="445">
        <v>1</v>
      </c>
      <c r="N553" s="445" t="s">
        <v>425</v>
      </c>
      <c r="O553" s="464" t="s">
        <v>1623</v>
      </c>
      <c r="P553" s="450">
        <v>3.516</v>
      </c>
      <c r="Q553" s="451">
        <f t="shared" si="16"/>
        <v>3.516</v>
      </c>
      <c r="R553" s="451">
        <f>SUMIF('Wege im Detail'!$A:$A,"14225",'Wege im Detail'!$P:$P)</f>
        <v>12.524000000000001</v>
      </c>
      <c r="S553" s="488" t="s">
        <v>1621</v>
      </c>
      <c r="T553" s="453">
        <v>43952</v>
      </c>
      <c r="U553" s="448"/>
      <c r="W553" s="448"/>
    </row>
    <row r="554" spans="1:253" s="458" customFormat="1" ht="45" x14ac:dyDescent="0.2">
      <c r="A554" s="444">
        <v>14225</v>
      </c>
      <c r="B554" s="445" t="s">
        <v>51</v>
      </c>
      <c r="C554" s="445" t="s">
        <v>52</v>
      </c>
      <c r="D554" s="445" t="s">
        <v>91</v>
      </c>
      <c r="E554" s="445"/>
      <c r="F554" s="470"/>
      <c r="G554" s="445" t="s">
        <v>1604</v>
      </c>
      <c r="H554" s="445">
        <v>513</v>
      </c>
      <c r="I554" s="445" t="s">
        <v>117</v>
      </c>
      <c r="J554" s="445">
        <v>1</v>
      </c>
      <c r="K554" s="447">
        <v>1</v>
      </c>
      <c r="L554" s="445" t="s">
        <v>1605</v>
      </c>
      <c r="M554" s="445">
        <v>1</v>
      </c>
      <c r="N554" s="445" t="s">
        <v>436</v>
      </c>
      <c r="O554" s="461" t="s">
        <v>1624</v>
      </c>
      <c r="P554" s="450">
        <v>4.8899999999999997</v>
      </c>
      <c r="Q554" s="451">
        <f t="shared" si="16"/>
        <v>4.8899999999999997</v>
      </c>
      <c r="R554" s="451">
        <f>SUMIF('Wege im Detail'!$A:$A,"14225",'Wege im Detail'!$P:$P)</f>
        <v>12.524000000000001</v>
      </c>
      <c r="S554" s="488" t="s">
        <v>1625</v>
      </c>
      <c r="T554" s="453">
        <v>43952</v>
      </c>
      <c r="U554" s="448"/>
      <c r="W554" s="448"/>
      <c r="X554" s="455"/>
      <c r="Y554" s="455"/>
      <c r="Z554" s="455"/>
      <c r="AA554" s="455"/>
      <c r="AB554" s="455"/>
      <c r="AC554" s="455"/>
      <c r="AD554" s="455"/>
      <c r="AE554" s="455"/>
      <c r="AF554" s="455"/>
      <c r="AG554" s="455"/>
      <c r="AH554" s="455"/>
      <c r="AI554" s="455"/>
      <c r="AJ554" s="455"/>
      <c r="AK554" s="455"/>
      <c r="AL554" s="455"/>
      <c r="AM554" s="455"/>
      <c r="AN554" s="455"/>
      <c r="AO554" s="455"/>
      <c r="AP554" s="455"/>
      <c r="AQ554" s="455"/>
      <c r="AR554" s="455"/>
      <c r="AS554" s="455"/>
      <c r="AT554" s="455"/>
      <c r="AU554" s="455"/>
      <c r="AV554" s="455"/>
      <c r="AW554" s="455"/>
      <c r="AX554" s="455"/>
      <c r="AY554" s="455"/>
      <c r="AZ554" s="455"/>
      <c r="BA554" s="455"/>
      <c r="BB554" s="455"/>
      <c r="BC554" s="455"/>
      <c r="BD554" s="455"/>
      <c r="BE554" s="455"/>
      <c r="BF554" s="455"/>
      <c r="BG554" s="455"/>
      <c r="BH554" s="455"/>
      <c r="BI554" s="455"/>
      <c r="BJ554" s="455"/>
      <c r="BK554" s="455"/>
      <c r="BL554" s="455"/>
      <c r="BM554" s="455"/>
      <c r="BN554" s="455"/>
      <c r="BO554" s="455"/>
      <c r="BP554" s="455"/>
      <c r="BQ554" s="455"/>
      <c r="BR554" s="455"/>
      <c r="BS554" s="455"/>
      <c r="BT554" s="455"/>
      <c r="BU554" s="455"/>
      <c r="BV554" s="455"/>
      <c r="BW554" s="455"/>
      <c r="BX554" s="455"/>
      <c r="BY554" s="455"/>
      <c r="BZ554" s="455"/>
      <c r="CA554" s="455"/>
      <c r="CB554" s="455"/>
      <c r="CC554" s="455"/>
      <c r="CD554" s="455"/>
      <c r="CE554" s="455"/>
      <c r="CF554" s="455"/>
      <c r="CG554" s="455"/>
      <c r="CH554" s="455"/>
      <c r="CI554" s="455"/>
      <c r="CJ554" s="455"/>
      <c r="CK554" s="455"/>
      <c r="CL554" s="455"/>
      <c r="CM554" s="455"/>
      <c r="CN554" s="455"/>
      <c r="CO554" s="455"/>
      <c r="CP554" s="455"/>
      <c r="CQ554" s="455"/>
      <c r="CR554" s="455"/>
      <c r="CS554" s="455"/>
      <c r="CT554" s="455"/>
      <c r="CU554" s="455"/>
      <c r="CV554" s="455"/>
      <c r="CW554" s="455"/>
      <c r="CX554" s="455"/>
      <c r="CY554" s="455"/>
      <c r="CZ554" s="455"/>
      <c r="DA554" s="455"/>
      <c r="DB554" s="455"/>
      <c r="DC554" s="455"/>
      <c r="DD554" s="455"/>
      <c r="DE554" s="455"/>
      <c r="DF554" s="455"/>
      <c r="DG554" s="455"/>
      <c r="DH554" s="455"/>
      <c r="DI554" s="455"/>
      <c r="DJ554" s="455"/>
      <c r="DK554" s="455"/>
      <c r="DL554" s="455"/>
      <c r="DM554" s="455"/>
      <c r="DN554" s="455"/>
      <c r="DO554" s="455"/>
      <c r="DP554" s="455"/>
      <c r="DQ554" s="455"/>
      <c r="DR554" s="455"/>
      <c r="DS554" s="455"/>
      <c r="DT554" s="455"/>
      <c r="DU554" s="455"/>
      <c r="DV554" s="455"/>
      <c r="DW554" s="455"/>
      <c r="DX554" s="455"/>
      <c r="DY554" s="455"/>
      <c r="DZ554" s="455"/>
      <c r="EA554" s="455"/>
      <c r="EB554" s="455"/>
      <c r="EC554" s="455"/>
      <c r="ED554" s="455"/>
      <c r="EE554" s="455"/>
      <c r="EF554" s="455"/>
      <c r="EG554" s="455"/>
      <c r="EH554" s="455"/>
      <c r="EI554" s="455"/>
      <c r="EJ554" s="455"/>
      <c r="EK554" s="455"/>
      <c r="EL554" s="455"/>
      <c r="EM554" s="455"/>
      <c r="EN554" s="455"/>
      <c r="EO554" s="455"/>
      <c r="EP554" s="455"/>
      <c r="EQ554" s="455"/>
      <c r="ER554" s="455"/>
      <c r="ES554" s="455"/>
      <c r="ET554" s="455"/>
      <c r="EU554" s="455"/>
      <c r="EV554" s="455"/>
      <c r="EW554" s="455"/>
      <c r="EX554" s="455"/>
      <c r="EY554" s="455"/>
      <c r="EZ554" s="455"/>
      <c r="FA554" s="455"/>
      <c r="FB554" s="455"/>
      <c r="FC554" s="455"/>
      <c r="FD554" s="455"/>
      <c r="FE554" s="455"/>
      <c r="FF554" s="455"/>
      <c r="FG554" s="455"/>
      <c r="FH554" s="455"/>
      <c r="FI554" s="455"/>
      <c r="FJ554" s="455"/>
      <c r="FK554" s="455"/>
      <c r="FL554" s="455"/>
      <c r="FM554" s="455"/>
      <c r="FN554" s="455"/>
      <c r="FO554" s="455"/>
      <c r="FP554" s="455"/>
      <c r="FQ554" s="455"/>
      <c r="FR554" s="455"/>
      <c r="FS554" s="455"/>
      <c r="FT554" s="455"/>
      <c r="FU554" s="455"/>
      <c r="FV554" s="455"/>
      <c r="FW554" s="455"/>
      <c r="FX554" s="455"/>
      <c r="FY554" s="455"/>
      <c r="FZ554" s="455"/>
      <c r="GA554" s="455"/>
      <c r="GB554" s="455"/>
      <c r="GC554" s="455"/>
      <c r="GD554" s="455"/>
      <c r="GE554" s="455"/>
      <c r="GF554" s="455"/>
      <c r="GG554" s="455"/>
      <c r="GH554" s="455"/>
      <c r="GI554" s="455"/>
      <c r="GJ554" s="455"/>
      <c r="GK554" s="455"/>
      <c r="GL554" s="455"/>
      <c r="GM554" s="455"/>
      <c r="GN554" s="455"/>
      <c r="GO554" s="455"/>
      <c r="GP554" s="455"/>
      <c r="GQ554" s="455"/>
      <c r="GR554" s="455"/>
      <c r="GS554" s="455"/>
      <c r="GT554" s="455"/>
      <c r="GU554" s="455"/>
      <c r="GV554" s="455"/>
      <c r="GW554" s="455"/>
      <c r="GX554" s="455"/>
      <c r="GY554" s="455"/>
      <c r="GZ554" s="455"/>
      <c r="HA554" s="455"/>
      <c r="HB554" s="455"/>
      <c r="HC554" s="455"/>
      <c r="HD554" s="455"/>
      <c r="HE554" s="455"/>
      <c r="HF554" s="455"/>
      <c r="HG554" s="455"/>
      <c r="HH554" s="455"/>
      <c r="HI554" s="455"/>
      <c r="HJ554" s="455"/>
      <c r="HK554" s="455"/>
      <c r="HL554" s="455"/>
      <c r="HM554" s="455"/>
      <c r="HN554" s="455"/>
      <c r="HO554" s="455"/>
      <c r="HP554" s="455"/>
      <c r="HQ554" s="455"/>
      <c r="HR554" s="455"/>
      <c r="HS554" s="455"/>
      <c r="HT554" s="455"/>
      <c r="HU554" s="455"/>
      <c r="HV554" s="455"/>
      <c r="HW554" s="455"/>
      <c r="HX554" s="455"/>
      <c r="HY554" s="455"/>
      <c r="HZ554" s="455"/>
      <c r="IA554" s="455"/>
      <c r="IB554" s="455"/>
      <c r="IC554" s="455"/>
      <c r="ID554" s="455"/>
      <c r="IE554" s="455"/>
      <c r="IF554" s="455"/>
      <c r="IG554" s="455"/>
      <c r="IH554" s="455"/>
      <c r="II554" s="455"/>
      <c r="IJ554" s="455"/>
      <c r="IK554" s="455"/>
      <c r="IL554" s="455"/>
      <c r="IM554" s="455"/>
      <c r="IN554" s="455"/>
      <c r="IO554" s="455"/>
      <c r="IP554" s="455"/>
      <c r="IQ554" s="455"/>
      <c r="IR554" s="455"/>
      <c r="IS554" s="455"/>
    </row>
    <row r="555" spans="1:253" s="458" customFormat="1" ht="45" x14ac:dyDescent="0.2">
      <c r="A555" s="444">
        <v>14257</v>
      </c>
      <c r="B555" s="445" t="s">
        <v>51</v>
      </c>
      <c r="C555" s="445" t="s">
        <v>52</v>
      </c>
      <c r="D555" s="445" t="s">
        <v>91</v>
      </c>
      <c r="E555" s="445"/>
      <c r="F555" s="470"/>
      <c r="G555" s="445" t="s">
        <v>1604</v>
      </c>
      <c r="H555" s="445">
        <v>514</v>
      </c>
      <c r="I555" s="445"/>
      <c r="J555" s="445">
        <v>1</v>
      </c>
      <c r="K555" s="447">
        <v>1</v>
      </c>
      <c r="L555" s="445" t="s">
        <v>1605</v>
      </c>
      <c r="M555" s="445">
        <v>5</v>
      </c>
      <c r="N555" s="445" t="s">
        <v>164</v>
      </c>
      <c r="O555" s="461" t="s">
        <v>1626</v>
      </c>
      <c r="P555" s="450">
        <v>5.9619999999999997</v>
      </c>
      <c r="Q555" s="451">
        <v>6.82</v>
      </c>
      <c r="R555" s="451">
        <f>SUMIF('Wege im Detail'!$A:$A,"14257",'Wege im Detail'!$P:$P)</f>
        <v>5.9619999999999997</v>
      </c>
      <c r="S555" s="488" t="s">
        <v>788</v>
      </c>
      <c r="T555" s="453">
        <v>43952</v>
      </c>
      <c r="U555" s="448"/>
      <c r="W555" s="448"/>
      <c r="X555" s="455"/>
      <c r="Y555" s="455"/>
      <c r="Z555" s="455"/>
      <c r="AA555" s="455"/>
      <c r="AB555" s="455"/>
      <c r="AC555" s="455"/>
      <c r="AD555" s="455"/>
      <c r="AE555" s="455"/>
      <c r="AF555" s="455"/>
      <c r="AG555" s="455"/>
      <c r="AH555" s="455"/>
      <c r="AI555" s="455"/>
      <c r="AJ555" s="455"/>
      <c r="AK555" s="455"/>
      <c r="AL555" s="455"/>
      <c r="AM555" s="455"/>
      <c r="AN555" s="455"/>
      <c r="AO555" s="455"/>
      <c r="AP555" s="455"/>
      <c r="AQ555" s="455"/>
      <c r="AR555" s="455"/>
      <c r="AS555" s="455"/>
      <c r="AT555" s="455"/>
      <c r="AU555" s="455"/>
      <c r="AV555" s="455"/>
      <c r="AW555" s="455"/>
      <c r="AX555" s="455"/>
      <c r="AY555" s="455"/>
      <c r="AZ555" s="455"/>
      <c r="BA555" s="455"/>
      <c r="BB555" s="455"/>
      <c r="BC555" s="455"/>
      <c r="BD555" s="455"/>
      <c r="BE555" s="455"/>
      <c r="BF555" s="455"/>
      <c r="BG555" s="455"/>
      <c r="BH555" s="455"/>
      <c r="BI555" s="455"/>
      <c r="BJ555" s="455"/>
      <c r="BK555" s="455"/>
      <c r="BL555" s="455"/>
      <c r="BM555" s="455"/>
      <c r="BN555" s="455"/>
      <c r="BO555" s="455"/>
      <c r="BP555" s="455"/>
      <c r="BQ555" s="455"/>
      <c r="BR555" s="455"/>
      <c r="BS555" s="455"/>
      <c r="BT555" s="455"/>
      <c r="BU555" s="455"/>
      <c r="BV555" s="455"/>
      <c r="BW555" s="455"/>
      <c r="BX555" s="455"/>
      <c r="BY555" s="455"/>
      <c r="BZ555" s="455"/>
      <c r="CA555" s="455"/>
      <c r="CB555" s="455"/>
      <c r="CC555" s="455"/>
      <c r="CD555" s="455"/>
      <c r="CE555" s="455"/>
      <c r="CF555" s="455"/>
      <c r="CG555" s="455"/>
      <c r="CH555" s="455"/>
      <c r="CI555" s="455"/>
      <c r="CJ555" s="455"/>
      <c r="CK555" s="455"/>
      <c r="CL555" s="455"/>
      <c r="CM555" s="455"/>
      <c r="CN555" s="455"/>
      <c r="CO555" s="455"/>
      <c r="CP555" s="455"/>
      <c r="CQ555" s="455"/>
      <c r="CR555" s="455"/>
      <c r="CS555" s="455"/>
      <c r="CT555" s="455"/>
      <c r="CU555" s="455"/>
      <c r="CV555" s="455"/>
      <c r="CW555" s="455"/>
      <c r="CX555" s="455"/>
      <c r="CY555" s="455"/>
      <c r="CZ555" s="455"/>
      <c r="DA555" s="455"/>
      <c r="DB555" s="455"/>
      <c r="DC555" s="455"/>
      <c r="DD555" s="455"/>
      <c r="DE555" s="455"/>
      <c r="DF555" s="455"/>
      <c r="DG555" s="455"/>
      <c r="DH555" s="455"/>
      <c r="DI555" s="455"/>
      <c r="DJ555" s="455"/>
      <c r="DK555" s="455"/>
      <c r="DL555" s="455"/>
      <c r="DM555" s="455"/>
      <c r="DN555" s="455"/>
      <c r="DO555" s="455"/>
      <c r="DP555" s="455"/>
      <c r="DQ555" s="455"/>
      <c r="DR555" s="455"/>
      <c r="DS555" s="455"/>
      <c r="DT555" s="455"/>
      <c r="DU555" s="455"/>
      <c r="DV555" s="455"/>
      <c r="DW555" s="455"/>
      <c r="DX555" s="455"/>
      <c r="DY555" s="455"/>
      <c r="DZ555" s="455"/>
      <c r="EA555" s="455"/>
      <c r="EB555" s="455"/>
      <c r="EC555" s="455"/>
      <c r="ED555" s="455"/>
      <c r="EE555" s="455"/>
      <c r="EF555" s="455"/>
      <c r="EG555" s="455"/>
      <c r="EH555" s="455"/>
      <c r="EI555" s="455"/>
      <c r="EJ555" s="455"/>
      <c r="EK555" s="455"/>
      <c r="EL555" s="455"/>
      <c r="EM555" s="455"/>
      <c r="EN555" s="455"/>
      <c r="EO555" s="455"/>
      <c r="EP555" s="455"/>
      <c r="EQ555" s="455"/>
      <c r="ER555" s="455"/>
      <c r="ES555" s="455"/>
      <c r="ET555" s="455"/>
      <c r="EU555" s="455"/>
      <c r="EV555" s="455"/>
      <c r="EW555" s="455"/>
      <c r="EX555" s="455"/>
      <c r="EY555" s="455"/>
      <c r="EZ555" s="455"/>
      <c r="FA555" s="455"/>
      <c r="FB555" s="455"/>
      <c r="FC555" s="455"/>
      <c r="FD555" s="455"/>
      <c r="FE555" s="455"/>
      <c r="FF555" s="455"/>
      <c r="FG555" s="455"/>
      <c r="FH555" s="455"/>
      <c r="FI555" s="455"/>
      <c r="FJ555" s="455"/>
      <c r="FK555" s="455"/>
      <c r="FL555" s="455"/>
      <c r="FM555" s="455"/>
      <c r="FN555" s="455"/>
      <c r="FO555" s="455"/>
      <c r="FP555" s="455"/>
      <c r="FQ555" s="455"/>
      <c r="FR555" s="455"/>
      <c r="FS555" s="455"/>
      <c r="FT555" s="455"/>
      <c r="FU555" s="455"/>
      <c r="FV555" s="455"/>
      <c r="FW555" s="455"/>
      <c r="FX555" s="455"/>
      <c r="FY555" s="455"/>
      <c r="FZ555" s="455"/>
      <c r="GA555" s="455"/>
      <c r="GB555" s="455"/>
      <c r="GC555" s="455"/>
      <c r="GD555" s="455"/>
      <c r="GE555" s="455"/>
      <c r="GF555" s="455"/>
      <c r="GG555" s="455"/>
      <c r="GH555" s="455"/>
      <c r="GI555" s="455"/>
      <c r="GJ555" s="455"/>
      <c r="GK555" s="455"/>
      <c r="GL555" s="455"/>
      <c r="GM555" s="455"/>
      <c r="GN555" s="455"/>
      <c r="GO555" s="455"/>
      <c r="GP555" s="455"/>
      <c r="GQ555" s="455"/>
      <c r="GR555" s="455"/>
      <c r="GS555" s="455"/>
      <c r="GT555" s="455"/>
      <c r="GU555" s="455"/>
      <c r="GV555" s="455"/>
      <c r="GW555" s="455"/>
      <c r="GX555" s="455"/>
      <c r="GY555" s="455"/>
      <c r="GZ555" s="455"/>
      <c r="HA555" s="455"/>
      <c r="HB555" s="455"/>
      <c r="HC555" s="455"/>
      <c r="HD555" s="455"/>
      <c r="HE555" s="455"/>
      <c r="HF555" s="455"/>
      <c r="HG555" s="455"/>
      <c r="HH555" s="455"/>
      <c r="HI555" s="455"/>
      <c r="HJ555" s="455"/>
      <c r="HK555" s="455"/>
      <c r="HL555" s="455"/>
      <c r="HM555" s="455"/>
      <c r="HN555" s="455"/>
      <c r="HO555" s="455"/>
      <c r="HP555" s="455"/>
      <c r="HQ555" s="455"/>
      <c r="HR555" s="455"/>
      <c r="HS555" s="455"/>
      <c r="HT555" s="455"/>
      <c r="HU555" s="455"/>
      <c r="HV555" s="455"/>
      <c r="HW555" s="455"/>
      <c r="HX555" s="455"/>
      <c r="HY555" s="455"/>
      <c r="HZ555" s="455"/>
      <c r="IA555" s="455"/>
      <c r="IB555" s="455"/>
      <c r="IC555" s="455"/>
      <c r="ID555" s="455"/>
      <c r="IE555" s="455"/>
      <c r="IF555" s="455"/>
      <c r="IG555" s="455"/>
      <c r="IH555" s="455"/>
      <c r="II555" s="455"/>
      <c r="IJ555" s="455"/>
      <c r="IK555" s="455"/>
      <c r="IL555" s="455"/>
      <c r="IM555" s="455"/>
      <c r="IN555" s="455"/>
      <c r="IO555" s="455"/>
      <c r="IP555" s="455"/>
      <c r="IQ555" s="455"/>
      <c r="IR555" s="455"/>
      <c r="IS555" s="455"/>
    </row>
    <row r="556" spans="1:253" s="458" customFormat="1" ht="45" x14ac:dyDescent="0.2">
      <c r="A556" s="444">
        <v>14258</v>
      </c>
      <c r="B556" s="445" t="s">
        <v>51</v>
      </c>
      <c r="C556" s="445" t="s">
        <v>52</v>
      </c>
      <c r="D556" s="445" t="s">
        <v>91</v>
      </c>
      <c r="E556" s="445"/>
      <c r="F556" s="470"/>
      <c r="G556" s="445" t="s">
        <v>1604</v>
      </c>
      <c r="H556" s="445">
        <v>511</v>
      </c>
      <c r="I556" s="445" t="s">
        <v>117</v>
      </c>
      <c r="J556" s="445">
        <v>1</v>
      </c>
      <c r="K556" s="447">
        <v>1</v>
      </c>
      <c r="L556" s="445" t="s">
        <v>1605</v>
      </c>
      <c r="M556" s="445">
        <v>1</v>
      </c>
      <c r="N556" s="445" t="s">
        <v>79</v>
      </c>
      <c r="O556" s="461" t="s">
        <v>1627</v>
      </c>
      <c r="P556" s="450">
        <v>2.8010000000000002</v>
      </c>
      <c r="Q556" s="451">
        <v>6.82</v>
      </c>
      <c r="R556" s="451">
        <f>SUMIF('Wege im Detail'!$A:$A,"14258",'Wege im Detail'!$P:$P)</f>
        <v>6.83</v>
      </c>
      <c r="S556" s="488" t="s">
        <v>1628</v>
      </c>
      <c r="T556" s="453">
        <v>43952</v>
      </c>
      <c r="U556" s="448"/>
      <c r="W556" s="448"/>
      <c r="X556" s="455"/>
      <c r="Y556" s="455"/>
      <c r="Z556" s="455"/>
      <c r="AA556" s="455"/>
      <c r="AB556" s="455"/>
      <c r="AC556" s="455"/>
      <c r="AD556" s="455"/>
      <c r="AE556" s="455"/>
      <c r="AF556" s="455"/>
      <c r="AG556" s="455"/>
      <c r="AH556" s="455"/>
      <c r="AI556" s="455"/>
      <c r="AJ556" s="455"/>
      <c r="AK556" s="455"/>
      <c r="AL556" s="455"/>
      <c r="AM556" s="455"/>
      <c r="AN556" s="455"/>
      <c r="AO556" s="455"/>
      <c r="AP556" s="455"/>
      <c r="AQ556" s="455"/>
      <c r="AR556" s="455"/>
      <c r="AS556" s="455"/>
      <c r="AT556" s="455"/>
      <c r="AU556" s="455"/>
      <c r="AV556" s="455"/>
      <c r="AW556" s="455"/>
      <c r="AX556" s="455"/>
      <c r="AY556" s="455"/>
      <c r="AZ556" s="455"/>
      <c r="BA556" s="455"/>
      <c r="BB556" s="455"/>
      <c r="BC556" s="455"/>
      <c r="BD556" s="455"/>
      <c r="BE556" s="455"/>
      <c r="BF556" s="455"/>
      <c r="BG556" s="455"/>
      <c r="BH556" s="455"/>
      <c r="BI556" s="455"/>
      <c r="BJ556" s="455"/>
      <c r="BK556" s="455"/>
      <c r="BL556" s="455"/>
      <c r="BM556" s="455"/>
      <c r="BN556" s="455"/>
      <c r="BO556" s="455"/>
      <c r="BP556" s="455"/>
      <c r="BQ556" s="455"/>
      <c r="BR556" s="455"/>
      <c r="BS556" s="455"/>
      <c r="BT556" s="455"/>
      <c r="BU556" s="455"/>
      <c r="BV556" s="455"/>
      <c r="BW556" s="455"/>
      <c r="BX556" s="455"/>
      <c r="BY556" s="455"/>
      <c r="BZ556" s="455"/>
      <c r="CA556" s="455"/>
      <c r="CB556" s="455"/>
      <c r="CC556" s="455"/>
      <c r="CD556" s="455"/>
      <c r="CE556" s="455"/>
      <c r="CF556" s="455"/>
      <c r="CG556" s="455"/>
      <c r="CH556" s="455"/>
      <c r="CI556" s="455"/>
      <c r="CJ556" s="455"/>
      <c r="CK556" s="455"/>
      <c r="CL556" s="455"/>
      <c r="CM556" s="455"/>
      <c r="CN556" s="455"/>
      <c r="CO556" s="455"/>
      <c r="CP556" s="455"/>
      <c r="CQ556" s="455"/>
      <c r="CR556" s="455"/>
      <c r="CS556" s="455"/>
      <c r="CT556" s="455"/>
      <c r="CU556" s="455"/>
      <c r="CV556" s="455"/>
      <c r="CW556" s="455"/>
      <c r="CX556" s="455"/>
      <c r="CY556" s="455"/>
      <c r="CZ556" s="455"/>
      <c r="DA556" s="455"/>
      <c r="DB556" s="455"/>
      <c r="DC556" s="455"/>
      <c r="DD556" s="455"/>
      <c r="DE556" s="455"/>
      <c r="DF556" s="455"/>
      <c r="DG556" s="455"/>
      <c r="DH556" s="455"/>
      <c r="DI556" s="455"/>
      <c r="DJ556" s="455"/>
      <c r="DK556" s="455"/>
      <c r="DL556" s="455"/>
      <c r="DM556" s="455"/>
      <c r="DN556" s="455"/>
      <c r="DO556" s="455"/>
      <c r="DP556" s="455"/>
      <c r="DQ556" s="455"/>
      <c r="DR556" s="455"/>
      <c r="DS556" s="455"/>
      <c r="DT556" s="455"/>
      <c r="DU556" s="455"/>
      <c r="DV556" s="455"/>
      <c r="DW556" s="455"/>
      <c r="DX556" s="455"/>
      <c r="DY556" s="455"/>
      <c r="DZ556" s="455"/>
      <c r="EA556" s="455"/>
      <c r="EB556" s="455"/>
      <c r="EC556" s="455"/>
      <c r="ED556" s="455"/>
      <c r="EE556" s="455"/>
      <c r="EF556" s="455"/>
      <c r="EG556" s="455"/>
      <c r="EH556" s="455"/>
      <c r="EI556" s="455"/>
      <c r="EJ556" s="455"/>
      <c r="EK556" s="455"/>
      <c r="EL556" s="455"/>
      <c r="EM556" s="455"/>
      <c r="EN556" s="455"/>
      <c r="EO556" s="455"/>
      <c r="EP556" s="455"/>
      <c r="EQ556" s="455"/>
      <c r="ER556" s="455"/>
      <c r="ES556" s="455"/>
      <c r="ET556" s="455"/>
      <c r="EU556" s="455"/>
      <c r="EV556" s="455"/>
      <c r="EW556" s="455"/>
      <c r="EX556" s="455"/>
      <c r="EY556" s="455"/>
      <c r="EZ556" s="455"/>
      <c r="FA556" s="455"/>
      <c r="FB556" s="455"/>
      <c r="FC556" s="455"/>
      <c r="FD556" s="455"/>
      <c r="FE556" s="455"/>
      <c r="FF556" s="455"/>
      <c r="FG556" s="455"/>
      <c r="FH556" s="455"/>
      <c r="FI556" s="455"/>
      <c r="FJ556" s="455"/>
      <c r="FK556" s="455"/>
      <c r="FL556" s="455"/>
      <c r="FM556" s="455"/>
      <c r="FN556" s="455"/>
      <c r="FO556" s="455"/>
      <c r="FP556" s="455"/>
      <c r="FQ556" s="455"/>
      <c r="FR556" s="455"/>
      <c r="FS556" s="455"/>
      <c r="FT556" s="455"/>
      <c r="FU556" s="455"/>
      <c r="FV556" s="455"/>
      <c r="FW556" s="455"/>
      <c r="FX556" s="455"/>
      <c r="FY556" s="455"/>
      <c r="FZ556" s="455"/>
      <c r="GA556" s="455"/>
      <c r="GB556" s="455"/>
      <c r="GC556" s="455"/>
      <c r="GD556" s="455"/>
      <c r="GE556" s="455"/>
      <c r="GF556" s="455"/>
      <c r="GG556" s="455"/>
      <c r="GH556" s="455"/>
      <c r="GI556" s="455"/>
      <c r="GJ556" s="455"/>
      <c r="GK556" s="455"/>
      <c r="GL556" s="455"/>
      <c r="GM556" s="455"/>
      <c r="GN556" s="455"/>
      <c r="GO556" s="455"/>
      <c r="GP556" s="455"/>
      <c r="GQ556" s="455"/>
      <c r="GR556" s="455"/>
      <c r="GS556" s="455"/>
      <c r="GT556" s="455"/>
      <c r="GU556" s="455"/>
      <c r="GV556" s="455"/>
      <c r="GW556" s="455"/>
      <c r="GX556" s="455"/>
      <c r="GY556" s="455"/>
      <c r="GZ556" s="455"/>
      <c r="HA556" s="455"/>
      <c r="HB556" s="455"/>
      <c r="HC556" s="455"/>
      <c r="HD556" s="455"/>
      <c r="HE556" s="455"/>
      <c r="HF556" s="455"/>
      <c r="HG556" s="455"/>
      <c r="HH556" s="455"/>
      <c r="HI556" s="455"/>
      <c r="HJ556" s="455"/>
      <c r="HK556" s="455"/>
      <c r="HL556" s="455"/>
      <c r="HM556" s="455"/>
      <c r="HN556" s="455"/>
      <c r="HO556" s="455"/>
      <c r="HP556" s="455"/>
      <c r="HQ556" s="455"/>
      <c r="HR556" s="455"/>
      <c r="HS556" s="455"/>
      <c r="HT556" s="455"/>
      <c r="HU556" s="455"/>
      <c r="HV556" s="455"/>
      <c r="HW556" s="455"/>
      <c r="HX556" s="455"/>
      <c r="HY556" s="455"/>
      <c r="HZ556" s="455"/>
      <c r="IA556" s="455"/>
      <c r="IB556" s="455"/>
      <c r="IC556" s="455"/>
      <c r="ID556" s="455"/>
      <c r="IE556" s="455"/>
      <c r="IF556" s="455"/>
      <c r="IG556" s="455"/>
      <c r="IH556" s="455"/>
      <c r="II556" s="455"/>
      <c r="IJ556" s="455"/>
      <c r="IK556" s="455"/>
      <c r="IL556" s="455"/>
      <c r="IM556" s="455"/>
      <c r="IN556" s="455"/>
      <c r="IO556" s="455"/>
      <c r="IP556" s="455"/>
      <c r="IQ556" s="455"/>
      <c r="IR556" s="455"/>
      <c r="IS556" s="455"/>
    </row>
    <row r="557" spans="1:253" s="458" customFormat="1" ht="45" x14ac:dyDescent="0.2">
      <c r="A557" s="444">
        <v>14258</v>
      </c>
      <c r="B557" s="445" t="s">
        <v>51</v>
      </c>
      <c r="C557" s="445" t="s">
        <v>52</v>
      </c>
      <c r="D557" s="445" t="s">
        <v>91</v>
      </c>
      <c r="E557" s="445"/>
      <c r="F557" s="470"/>
      <c r="G557" s="445" t="s">
        <v>1604</v>
      </c>
      <c r="H557" s="445">
        <v>511</v>
      </c>
      <c r="I557" s="445" t="s">
        <v>417</v>
      </c>
      <c r="J557" s="445">
        <v>1</v>
      </c>
      <c r="K557" s="447">
        <v>1</v>
      </c>
      <c r="L557" s="445" t="s">
        <v>1605</v>
      </c>
      <c r="M557" s="445">
        <v>1</v>
      </c>
      <c r="N557" s="445" t="s">
        <v>79</v>
      </c>
      <c r="O557" s="461" t="s">
        <v>1629</v>
      </c>
      <c r="P557" s="450">
        <v>4.0289999999999999</v>
      </c>
      <c r="Q557" s="451">
        <v>6.82</v>
      </c>
      <c r="R557" s="451">
        <f>SUMIF('Wege im Detail'!$A:$A,"14258",'Wege im Detail'!$P:$P)</f>
        <v>6.83</v>
      </c>
      <c r="S557" s="488" t="s">
        <v>1628</v>
      </c>
      <c r="T557" s="453">
        <v>43952</v>
      </c>
      <c r="U557" s="448"/>
      <c r="W557" s="448"/>
    </row>
    <row r="558" spans="1:253" s="458" customFormat="1" ht="33.75" x14ac:dyDescent="0.2">
      <c r="A558" s="444">
        <v>14259</v>
      </c>
      <c r="B558" s="445" t="s">
        <v>51</v>
      </c>
      <c r="C558" s="445" t="s">
        <v>52</v>
      </c>
      <c r="D558" s="445" t="s">
        <v>91</v>
      </c>
      <c r="E558" s="445"/>
      <c r="F558" s="470"/>
      <c r="G558" s="445" t="s">
        <v>1604</v>
      </c>
      <c r="H558" s="445">
        <v>504</v>
      </c>
      <c r="I558" s="445"/>
      <c r="J558" s="445">
        <v>1</v>
      </c>
      <c r="K558" s="447">
        <v>1</v>
      </c>
      <c r="L558" s="445" t="s">
        <v>1605</v>
      </c>
      <c r="M558" s="445">
        <v>1</v>
      </c>
      <c r="N558" s="445" t="s">
        <v>126</v>
      </c>
      <c r="O558" s="461" t="s">
        <v>1630</v>
      </c>
      <c r="P558" s="450">
        <v>3.504</v>
      </c>
      <c r="Q558" s="451">
        <f t="shared" ref="Q558:Q574" si="17">P558</f>
        <v>3.504</v>
      </c>
      <c r="R558" s="451">
        <f>SUMIF('Wege im Detail'!$A:$A,"14259",'Wege im Detail'!$P:$P)</f>
        <v>3.504</v>
      </c>
      <c r="S558" s="488" t="s">
        <v>791</v>
      </c>
      <c r="T558" s="453">
        <v>43952</v>
      </c>
      <c r="U558" s="448"/>
      <c r="W558" s="448"/>
    </row>
    <row r="559" spans="1:253" s="458" customFormat="1" ht="45" x14ac:dyDescent="0.2">
      <c r="A559" s="444">
        <v>14260</v>
      </c>
      <c r="B559" s="445" t="s">
        <v>51</v>
      </c>
      <c r="C559" s="445" t="s">
        <v>52</v>
      </c>
      <c r="D559" s="445" t="s">
        <v>91</v>
      </c>
      <c r="E559" s="445"/>
      <c r="F559" s="470"/>
      <c r="G559" s="445" t="s">
        <v>1604</v>
      </c>
      <c r="H559" s="445">
        <v>505</v>
      </c>
      <c r="I559" s="445"/>
      <c r="J559" s="445">
        <v>1</v>
      </c>
      <c r="K559" s="447">
        <v>2</v>
      </c>
      <c r="L559" s="445" t="s">
        <v>1605</v>
      </c>
      <c r="M559" s="445">
        <v>4</v>
      </c>
      <c r="N559" s="445" t="s">
        <v>102</v>
      </c>
      <c r="O559" s="461" t="s">
        <v>1631</v>
      </c>
      <c r="P559" s="450">
        <v>9.91</v>
      </c>
      <c r="Q559" s="451">
        <f t="shared" si="17"/>
        <v>9.91</v>
      </c>
      <c r="R559" s="451">
        <f>SUMIF('Wege im Detail'!$A:$A,"14260",'Wege im Detail'!$P:$P)</f>
        <v>10.871</v>
      </c>
      <c r="S559" s="488" t="s">
        <v>792</v>
      </c>
      <c r="T559" s="453">
        <v>43952</v>
      </c>
      <c r="U559" s="448"/>
      <c r="W559" s="448"/>
    </row>
    <row r="560" spans="1:253" s="458" customFormat="1" ht="33.75" x14ac:dyDescent="0.2">
      <c r="A560" s="444">
        <v>14260</v>
      </c>
      <c r="B560" s="445" t="s">
        <v>51</v>
      </c>
      <c r="C560" s="445" t="s">
        <v>52</v>
      </c>
      <c r="D560" s="445" t="s">
        <v>91</v>
      </c>
      <c r="E560" s="445"/>
      <c r="F560" s="470"/>
      <c r="G560" s="445" t="s">
        <v>1604</v>
      </c>
      <c r="H560" s="445">
        <v>505</v>
      </c>
      <c r="I560" s="445"/>
      <c r="J560" s="445">
        <v>2</v>
      </c>
      <c r="K560" s="447">
        <v>2</v>
      </c>
      <c r="L560" s="445" t="s">
        <v>1605</v>
      </c>
      <c r="M560" s="445">
        <v>4</v>
      </c>
      <c r="N560" s="445" t="s">
        <v>1004</v>
      </c>
      <c r="O560" s="461" t="s">
        <v>1632</v>
      </c>
      <c r="P560" s="450">
        <v>0.96099999999999997</v>
      </c>
      <c r="Q560" s="451">
        <f t="shared" si="17"/>
        <v>0.96099999999999997</v>
      </c>
      <c r="R560" s="451">
        <f>SUMIF('Wege im Detail'!$A:$A,"14260",'Wege im Detail'!$P:$P)</f>
        <v>10.871</v>
      </c>
      <c r="S560" s="488" t="s">
        <v>792</v>
      </c>
      <c r="T560" s="453">
        <v>43952</v>
      </c>
      <c r="U560" s="448"/>
      <c r="W560" s="448"/>
      <c r="X560" s="455"/>
      <c r="Y560" s="455"/>
      <c r="Z560" s="455"/>
      <c r="AA560" s="455"/>
      <c r="AB560" s="455"/>
      <c r="AC560" s="455"/>
      <c r="AD560" s="455"/>
      <c r="AE560" s="455"/>
      <c r="AF560" s="455"/>
      <c r="AG560" s="455"/>
      <c r="AH560" s="455"/>
      <c r="AI560" s="455"/>
      <c r="AJ560" s="455"/>
      <c r="AK560" s="455"/>
      <c r="AL560" s="455"/>
      <c r="AM560" s="455"/>
      <c r="AN560" s="455"/>
      <c r="AO560" s="455"/>
      <c r="AP560" s="455"/>
      <c r="AQ560" s="455"/>
      <c r="AR560" s="455"/>
      <c r="AS560" s="455"/>
      <c r="AT560" s="455"/>
      <c r="AU560" s="455"/>
      <c r="AV560" s="455"/>
      <c r="AW560" s="455"/>
      <c r="AX560" s="455"/>
      <c r="AY560" s="455"/>
      <c r="AZ560" s="455"/>
      <c r="BA560" s="455"/>
      <c r="BB560" s="455"/>
      <c r="BC560" s="455"/>
      <c r="BD560" s="455"/>
      <c r="BE560" s="455"/>
      <c r="BF560" s="455"/>
      <c r="BG560" s="455"/>
      <c r="BH560" s="455"/>
      <c r="BI560" s="455"/>
      <c r="BJ560" s="455"/>
      <c r="BK560" s="455"/>
      <c r="BL560" s="455"/>
      <c r="BM560" s="455"/>
      <c r="BN560" s="455"/>
      <c r="BO560" s="455"/>
      <c r="BP560" s="455"/>
      <c r="BQ560" s="455"/>
      <c r="BR560" s="455"/>
      <c r="BS560" s="455"/>
      <c r="BT560" s="455"/>
      <c r="BU560" s="455"/>
      <c r="BV560" s="455"/>
      <c r="BW560" s="455"/>
      <c r="BX560" s="455"/>
      <c r="BY560" s="455"/>
      <c r="BZ560" s="455"/>
      <c r="CA560" s="455"/>
      <c r="CB560" s="455"/>
      <c r="CC560" s="455"/>
      <c r="CD560" s="455"/>
      <c r="CE560" s="455"/>
      <c r="CF560" s="455"/>
      <c r="CG560" s="455"/>
      <c r="CH560" s="455"/>
      <c r="CI560" s="455"/>
      <c r="CJ560" s="455"/>
      <c r="CK560" s="455"/>
      <c r="CL560" s="455"/>
      <c r="CM560" s="455"/>
      <c r="CN560" s="455"/>
      <c r="CO560" s="455"/>
      <c r="CP560" s="455"/>
      <c r="CQ560" s="455"/>
      <c r="CR560" s="455"/>
      <c r="CS560" s="455"/>
      <c r="CT560" s="455"/>
      <c r="CU560" s="455"/>
      <c r="CV560" s="455"/>
      <c r="CW560" s="455"/>
      <c r="CX560" s="455"/>
      <c r="CY560" s="455"/>
      <c r="CZ560" s="455"/>
      <c r="DA560" s="455"/>
      <c r="DB560" s="455"/>
      <c r="DC560" s="455"/>
      <c r="DD560" s="455"/>
      <c r="DE560" s="455"/>
      <c r="DF560" s="455"/>
      <c r="DG560" s="455"/>
      <c r="DH560" s="455"/>
      <c r="DI560" s="455"/>
      <c r="DJ560" s="455"/>
      <c r="DK560" s="455"/>
      <c r="DL560" s="455"/>
      <c r="DM560" s="455"/>
      <c r="DN560" s="455"/>
      <c r="DO560" s="455"/>
      <c r="DP560" s="455"/>
      <c r="DQ560" s="455"/>
      <c r="DR560" s="455"/>
      <c r="DS560" s="455"/>
      <c r="DT560" s="455"/>
      <c r="DU560" s="455"/>
      <c r="DV560" s="455"/>
      <c r="DW560" s="455"/>
      <c r="DX560" s="455"/>
      <c r="DY560" s="455"/>
      <c r="DZ560" s="455"/>
      <c r="EA560" s="455"/>
      <c r="EB560" s="455"/>
      <c r="EC560" s="455"/>
      <c r="ED560" s="455"/>
      <c r="EE560" s="455"/>
      <c r="EF560" s="455"/>
      <c r="EG560" s="455"/>
      <c r="EH560" s="455"/>
      <c r="EI560" s="455"/>
      <c r="EJ560" s="455"/>
      <c r="EK560" s="455"/>
      <c r="EL560" s="455"/>
      <c r="EM560" s="455"/>
      <c r="EN560" s="455"/>
      <c r="EO560" s="455"/>
      <c r="EP560" s="455"/>
      <c r="EQ560" s="455"/>
      <c r="ER560" s="455"/>
      <c r="ES560" s="455"/>
      <c r="ET560" s="455"/>
      <c r="EU560" s="455"/>
      <c r="EV560" s="455"/>
      <c r="EW560" s="455"/>
      <c r="EX560" s="455"/>
      <c r="EY560" s="455"/>
      <c r="EZ560" s="455"/>
      <c r="FA560" s="455"/>
      <c r="FB560" s="455"/>
      <c r="FC560" s="455"/>
      <c r="FD560" s="455"/>
      <c r="FE560" s="455"/>
      <c r="FF560" s="455"/>
      <c r="FG560" s="455"/>
      <c r="FH560" s="455"/>
      <c r="FI560" s="455"/>
      <c r="FJ560" s="455"/>
      <c r="FK560" s="455"/>
      <c r="FL560" s="455"/>
      <c r="FM560" s="455"/>
      <c r="FN560" s="455"/>
      <c r="FO560" s="455"/>
      <c r="FP560" s="455"/>
      <c r="FQ560" s="455"/>
      <c r="FR560" s="455"/>
      <c r="FS560" s="455"/>
      <c r="FT560" s="455"/>
      <c r="FU560" s="455"/>
      <c r="FV560" s="455"/>
      <c r="FW560" s="455"/>
      <c r="FX560" s="455"/>
      <c r="FY560" s="455"/>
      <c r="FZ560" s="455"/>
      <c r="GA560" s="455"/>
      <c r="GB560" s="455"/>
      <c r="GC560" s="455"/>
      <c r="GD560" s="455"/>
      <c r="GE560" s="455"/>
      <c r="GF560" s="455"/>
      <c r="GG560" s="455"/>
      <c r="GH560" s="455"/>
      <c r="GI560" s="455"/>
      <c r="GJ560" s="455"/>
      <c r="GK560" s="455"/>
      <c r="GL560" s="455"/>
      <c r="GM560" s="455"/>
      <c r="GN560" s="455"/>
      <c r="GO560" s="455"/>
      <c r="GP560" s="455"/>
      <c r="GQ560" s="455"/>
      <c r="GR560" s="455"/>
      <c r="GS560" s="455"/>
      <c r="GT560" s="455"/>
      <c r="GU560" s="455"/>
      <c r="GV560" s="455"/>
      <c r="GW560" s="455"/>
      <c r="GX560" s="455"/>
      <c r="GY560" s="455"/>
      <c r="GZ560" s="455"/>
      <c r="HA560" s="455"/>
      <c r="HB560" s="455"/>
      <c r="HC560" s="455"/>
      <c r="HD560" s="455"/>
      <c r="HE560" s="455"/>
      <c r="HF560" s="455"/>
      <c r="HG560" s="455"/>
      <c r="HH560" s="455"/>
      <c r="HI560" s="455"/>
      <c r="HJ560" s="455"/>
      <c r="HK560" s="455"/>
      <c r="HL560" s="455"/>
      <c r="HM560" s="455"/>
      <c r="HN560" s="455"/>
      <c r="HO560" s="455"/>
      <c r="HP560" s="455"/>
      <c r="HQ560" s="455"/>
      <c r="HR560" s="455"/>
      <c r="HS560" s="455"/>
      <c r="HT560" s="455"/>
      <c r="HU560" s="455"/>
      <c r="HV560" s="455"/>
      <c r="HW560" s="455"/>
      <c r="HX560" s="455"/>
      <c r="HY560" s="455"/>
      <c r="HZ560" s="455"/>
      <c r="IA560" s="455"/>
      <c r="IB560" s="455"/>
      <c r="IC560" s="455"/>
      <c r="ID560" s="455"/>
      <c r="IE560" s="455"/>
      <c r="IF560" s="455"/>
      <c r="IG560" s="455"/>
      <c r="IH560" s="455"/>
      <c r="II560" s="455"/>
      <c r="IJ560" s="455"/>
      <c r="IK560" s="455"/>
      <c r="IL560" s="455"/>
      <c r="IM560" s="455"/>
      <c r="IN560" s="455"/>
      <c r="IO560" s="455"/>
      <c r="IP560" s="455"/>
      <c r="IQ560" s="455"/>
      <c r="IR560" s="455"/>
      <c r="IS560" s="455"/>
    </row>
    <row r="561" spans="1:253" s="458" customFormat="1" ht="33.75" x14ac:dyDescent="0.2">
      <c r="A561" s="444">
        <v>14263</v>
      </c>
      <c r="B561" s="445" t="s">
        <v>51</v>
      </c>
      <c r="C561" s="445" t="s">
        <v>52</v>
      </c>
      <c r="D561" s="445" t="s">
        <v>91</v>
      </c>
      <c r="E561" s="445"/>
      <c r="F561" s="470"/>
      <c r="G561" s="445" t="s">
        <v>1604</v>
      </c>
      <c r="H561" s="445">
        <v>515</v>
      </c>
      <c r="I561" s="445"/>
      <c r="J561" s="445">
        <v>1</v>
      </c>
      <c r="K561" s="447">
        <v>1</v>
      </c>
      <c r="L561" s="445" t="s">
        <v>1605</v>
      </c>
      <c r="M561" s="445">
        <v>3</v>
      </c>
      <c r="N561" s="445" t="s">
        <v>351</v>
      </c>
      <c r="O561" s="461" t="s">
        <v>1633</v>
      </c>
      <c r="P561" s="450">
        <v>0.85399999999999998</v>
      </c>
      <c r="Q561" s="451">
        <f t="shared" si="17"/>
        <v>0.85399999999999998</v>
      </c>
      <c r="R561" s="451">
        <f>SUMIF('Wege im Detail'!$A:$A,"14263",'Wege im Detail'!$P:$P)</f>
        <v>0.85399999999999998</v>
      </c>
      <c r="S561" s="488" t="s">
        <v>793</v>
      </c>
      <c r="T561" s="453">
        <v>43952</v>
      </c>
      <c r="U561" s="448"/>
      <c r="V561" s="468"/>
      <c r="W561" s="448"/>
    </row>
    <row r="562" spans="1:253" s="458" customFormat="1" ht="45" x14ac:dyDescent="0.2">
      <c r="A562" s="444">
        <v>14265</v>
      </c>
      <c r="B562" s="445" t="s">
        <v>84</v>
      </c>
      <c r="C562" s="445" t="s">
        <v>85</v>
      </c>
      <c r="D562" s="445" t="s">
        <v>320</v>
      </c>
      <c r="E562" s="445"/>
      <c r="F562" s="470"/>
      <c r="G562" s="446">
        <v>102</v>
      </c>
      <c r="H562" s="445" t="s">
        <v>794</v>
      </c>
      <c r="I562" s="445"/>
      <c r="J562" s="445"/>
      <c r="K562" s="447"/>
      <c r="L562" s="445" t="s">
        <v>1634</v>
      </c>
      <c r="M562" s="445">
        <v>5</v>
      </c>
      <c r="N562" s="445" t="s">
        <v>208</v>
      </c>
      <c r="O562" s="464" t="s">
        <v>1635</v>
      </c>
      <c r="P562" s="450">
        <v>1.992</v>
      </c>
      <c r="Q562" s="451">
        <f t="shared" si="17"/>
        <v>1.992</v>
      </c>
      <c r="R562" s="451">
        <f>SUMIF('Wege im Detail'!$A:$A,"14265",'Wege im Detail'!$P:$P)</f>
        <v>1.992</v>
      </c>
      <c r="S562" s="452" t="s">
        <v>796</v>
      </c>
      <c r="T562" s="453">
        <v>43922</v>
      </c>
      <c r="U562" s="448"/>
      <c r="W562" s="448"/>
    </row>
    <row r="563" spans="1:253" s="458" customFormat="1" ht="33.75" x14ac:dyDescent="0.2">
      <c r="A563" s="444">
        <v>14266</v>
      </c>
      <c r="B563" s="445" t="s">
        <v>51</v>
      </c>
      <c r="C563" s="445" t="s">
        <v>52</v>
      </c>
      <c r="D563" s="445" t="s">
        <v>91</v>
      </c>
      <c r="E563" s="445"/>
      <c r="F563" s="470"/>
      <c r="G563" s="445" t="s">
        <v>1604</v>
      </c>
      <c r="H563" s="445">
        <v>503</v>
      </c>
      <c r="I563" s="445"/>
      <c r="J563" s="445">
        <v>1</v>
      </c>
      <c r="K563" s="447">
        <v>1</v>
      </c>
      <c r="L563" s="445" t="s">
        <v>1605</v>
      </c>
      <c r="M563" s="445">
        <v>5</v>
      </c>
      <c r="N563" s="445" t="s">
        <v>248</v>
      </c>
      <c r="O563" s="461" t="s">
        <v>1636</v>
      </c>
      <c r="P563" s="450">
        <v>4.3079999999999998</v>
      </c>
      <c r="Q563" s="451">
        <f t="shared" si="17"/>
        <v>4.3079999999999998</v>
      </c>
      <c r="R563" s="451">
        <f>SUMIF('Wege im Detail'!$A:$A,"14266",'Wege im Detail'!$P:$P)</f>
        <v>4.3079999999999998</v>
      </c>
      <c r="S563" s="488" t="s">
        <v>797</v>
      </c>
      <c r="T563" s="472"/>
      <c r="U563" s="448"/>
      <c r="V563" s="457"/>
      <c r="W563" s="448"/>
    </row>
    <row r="564" spans="1:253" s="458" customFormat="1" ht="45" x14ac:dyDescent="0.2">
      <c r="A564" s="444">
        <v>15525</v>
      </c>
      <c r="B564" s="445" t="s">
        <v>51</v>
      </c>
      <c r="C564" s="445" t="s">
        <v>52</v>
      </c>
      <c r="D564" s="445"/>
      <c r="E564" s="445"/>
      <c r="F564" s="470"/>
      <c r="G564" s="445" t="s">
        <v>2277</v>
      </c>
      <c r="H564" s="445" t="s">
        <v>2272</v>
      </c>
      <c r="I564" s="445"/>
      <c r="J564" s="445"/>
      <c r="K564" s="447"/>
      <c r="L564" s="445" t="s">
        <v>2274</v>
      </c>
      <c r="M564" s="445">
        <v>0</v>
      </c>
      <c r="N564" s="445" t="s">
        <v>2273</v>
      </c>
      <c r="O564" s="708" t="s">
        <v>2275</v>
      </c>
      <c r="P564" s="450">
        <v>70.3</v>
      </c>
      <c r="Q564" s="451">
        <f t="shared" si="17"/>
        <v>70.3</v>
      </c>
      <c r="R564" s="451">
        <f>SUMIF('Wege im Detail'!$A:$A,"15525",'Wege im Detail'!$P:$P)</f>
        <v>70.3</v>
      </c>
      <c r="S564" s="488" t="s">
        <v>2276</v>
      </c>
      <c r="T564" s="453">
        <v>45139</v>
      </c>
      <c r="U564" s="448"/>
      <c r="V564" s="457"/>
      <c r="W564" s="448"/>
    </row>
    <row r="565" spans="1:253" s="458" customFormat="1" ht="56.25" x14ac:dyDescent="0.2">
      <c r="A565" s="444">
        <v>16613</v>
      </c>
      <c r="B565" s="445" t="s">
        <v>84</v>
      </c>
      <c r="C565" s="445" t="s">
        <v>85</v>
      </c>
      <c r="D565" s="445"/>
      <c r="E565" s="445"/>
      <c r="F565" s="479"/>
      <c r="G565" s="446">
        <v>261</v>
      </c>
      <c r="H565" s="445" t="s">
        <v>798</v>
      </c>
      <c r="I565" s="445"/>
      <c r="J565" s="445"/>
      <c r="K565" s="447"/>
      <c r="L565" s="445" t="s">
        <v>142</v>
      </c>
      <c r="M565" s="445">
        <v>5</v>
      </c>
      <c r="N565" s="445" t="s">
        <v>164</v>
      </c>
      <c r="O565" s="449" t="s">
        <v>1637</v>
      </c>
      <c r="P565" s="450">
        <v>4.6060999999999996</v>
      </c>
      <c r="Q565" s="451">
        <f t="shared" si="17"/>
        <v>4.6060999999999996</v>
      </c>
      <c r="R565" s="451">
        <f>SUMIF('Wege im Detail'!$A:$A,"16613",'Wege im Detail'!$P:$P)</f>
        <v>4.6060999999999996</v>
      </c>
      <c r="S565" s="452" t="s">
        <v>799</v>
      </c>
      <c r="T565" s="453">
        <v>43922</v>
      </c>
      <c r="U565" s="448"/>
      <c r="W565" s="448"/>
    </row>
    <row r="566" spans="1:253" s="458" customFormat="1" ht="56.25" x14ac:dyDescent="0.2">
      <c r="A566" s="444">
        <v>16614</v>
      </c>
      <c r="B566" s="445" t="s">
        <v>84</v>
      </c>
      <c r="C566" s="445" t="s">
        <v>85</v>
      </c>
      <c r="D566" s="445"/>
      <c r="E566" s="445"/>
      <c r="F566" s="445"/>
      <c r="G566" s="446">
        <v>216</v>
      </c>
      <c r="H566" s="445" t="s">
        <v>801</v>
      </c>
      <c r="I566" s="445"/>
      <c r="J566" s="445"/>
      <c r="K566" s="447"/>
      <c r="L566" s="445" t="s">
        <v>172</v>
      </c>
      <c r="M566" s="445">
        <v>1</v>
      </c>
      <c r="N566" s="445" t="s">
        <v>384</v>
      </c>
      <c r="O566" s="449" t="s">
        <v>1638</v>
      </c>
      <c r="P566" s="450">
        <v>4.944</v>
      </c>
      <c r="Q566" s="451">
        <f t="shared" si="17"/>
        <v>4.944</v>
      </c>
      <c r="R566" s="451">
        <f>SUMIF('Wege im Detail'!$A:$A,"16614",'Wege im Detail'!$P:$P)</f>
        <v>4.944</v>
      </c>
      <c r="S566" s="452" t="s">
        <v>802</v>
      </c>
      <c r="T566" s="453">
        <v>43922</v>
      </c>
      <c r="U566" s="448"/>
      <c r="V566" s="483"/>
      <c r="W566" s="448"/>
    </row>
    <row r="567" spans="1:253" s="458" customFormat="1" ht="56.25" x14ac:dyDescent="0.2">
      <c r="A567" s="444">
        <v>16615</v>
      </c>
      <c r="B567" s="445" t="s">
        <v>84</v>
      </c>
      <c r="C567" s="445" t="s">
        <v>85</v>
      </c>
      <c r="D567" s="445"/>
      <c r="E567" s="445"/>
      <c r="F567" s="455"/>
      <c r="G567" s="446">
        <v>209</v>
      </c>
      <c r="H567" s="445" t="s">
        <v>804</v>
      </c>
      <c r="I567" s="445"/>
      <c r="J567" s="445"/>
      <c r="K567" s="447"/>
      <c r="L567" s="445" t="s">
        <v>273</v>
      </c>
      <c r="M567" s="445">
        <v>1</v>
      </c>
      <c r="N567" s="445" t="s">
        <v>79</v>
      </c>
      <c r="O567" s="449" t="s">
        <v>1639</v>
      </c>
      <c r="P567" s="450">
        <v>6.5380000000000003</v>
      </c>
      <c r="Q567" s="451">
        <f t="shared" si="17"/>
        <v>6.5380000000000003</v>
      </c>
      <c r="R567" s="451">
        <f>SUMIF('Wege im Detail'!$A:$A,"16615",'Wege im Detail'!$P:$P)</f>
        <v>6.5380000000000003</v>
      </c>
      <c r="S567" s="452" t="s">
        <v>805</v>
      </c>
      <c r="T567" s="453">
        <v>43922</v>
      </c>
      <c r="U567" s="448"/>
      <c r="V567" s="476"/>
      <c r="W567" s="448"/>
      <c r="X567" s="456"/>
      <c r="Y567" s="456"/>
      <c r="Z567" s="456"/>
      <c r="AA567" s="456"/>
      <c r="AB567" s="456"/>
      <c r="AC567" s="456"/>
      <c r="AD567" s="456"/>
      <c r="AE567" s="456"/>
      <c r="AF567" s="456"/>
      <c r="AG567" s="456"/>
      <c r="AH567" s="456"/>
      <c r="AI567" s="456"/>
      <c r="AJ567" s="456"/>
      <c r="AK567" s="456"/>
      <c r="AL567" s="456"/>
      <c r="AM567" s="456"/>
      <c r="AN567" s="456"/>
      <c r="AO567" s="456"/>
      <c r="AP567" s="456"/>
      <c r="AQ567" s="456"/>
      <c r="AR567" s="456"/>
      <c r="AS567" s="456"/>
      <c r="AT567" s="456"/>
      <c r="AU567" s="456"/>
      <c r="AV567" s="456"/>
      <c r="AW567" s="456"/>
      <c r="AX567" s="456"/>
      <c r="AY567" s="456"/>
      <c r="AZ567" s="456"/>
      <c r="BA567" s="456"/>
      <c r="BB567" s="456"/>
      <c r="BC567" s="456"/>
      <c r="BD567" s="456"/>
      <c r="BE567" s="456"/>
      <c r="BF567" s="456"/>
      <c r="BG567" s="456"/>
      <c r="BH567" s="456"/>
      <c r="BI567" s="456"/>
      <c r="BJ567" s="456"/>
      <c r="BK567" s="456"/>
      <c r="BL567" s="456"/>
      <c r="BM567" s="456"/>
      <c r="BN567" s="456"/>
      <c r="BO567" s="456"/>
      <c r="BP567" s="456"/>
      <c r="BQ567" s="456"/>
      <c r="BR567" s="456"/>
      <c r="BS567" s="456"/>
      <c r="BT567" s="456"/>
      <c r="BU567" s="456"/>
      <c r="BV567" s="456"/>
      <c r="BW567" s="456"/>
      <c r="BX567" s="456"/>
      <c r="BY567" s="456"/>
      <c r="BZ567" s="456"/>
      <c r="CA567" s="456"/>
      <c r="CB567" s="456"/>
      <c r="CC567" s="456"/>
      <c r="CD567" s="456"/>
      <c r="CE567" s="456"/>
      <c r="CF567" s="456"/>
      <c r="CG567" s="456"/>
      <c r="CH567" s="456"/>
      <c r="CI567" s="456"/>
      <c r="CJ567" s="456"/>
      <c r="CK567" s="456"/>
      <c r="CL567" s="456"/>
      <c r="CM567" s="456"/>
      <c r="CN567" s="456"/>
      <c r="CO567" s="456"/>
      <c r="CP567" s="456"/>
      <c r="CQ567" s="456"/>
      <c r="CR567" s="456"/>
      <c r="CS567" s="456"/>
      <c r="CT567" s="456"/>
      <c r="CU567" s="456"/>
      <c r="CV567" s="456"/>
      <c r="CW567" s="456"/>
      <c r="CX567" s="456"/>
      <c r="CY567" s="456"/>
      <c r="CZ567" s="456"/>
      <c r="DA567" s="456"/>
      <c r="DB567" s="456"/>
      <c r="DC567" s="456"/>
      <c r="DD567" s="456"/>
      <c r="DE567" s="456"/>
      <c r="DF567" s="456"/>
      <c r="DG567" s="456"/>
      <c r="DH567" s="456"/>
      <c r="DI567" s="456"/>
      <c r="DJ567" s="456"/>
      <c r="DK567" s="456"/>
      <c r="DL567" s="456"/>
      <c r="DM567" s="456"/>
      <c r="DN567" s="456"/>
      <c r="DO567" s="456"/>
      <c r="DP567" s="456"/>
      <c r="DQ567" s="456"/>
      <c r="DR567" s="456"/>
      <c r="DS567" s="456"/>
      <c r="DT567" s="456"/>
      <c r="DU567" s="456"/>
      <c r="DV567" s="456"/>
      <c r="DW567" s="456"/>
      <c r="DX567" s="456"/>
      <c r="DY567" s="456"/>
      <c r="DZ567" s="456"/>
      <c r="EA567" s="456"/>
      <c r="EB567" s="456"/>
      <c r="EC567" s="456"/>
      <c r="ED567" s="456"/>
      <c r="EE567" s="456"/>
      <c r="EF567" s="456"/>
      <c r="EG567" s="456"/>
      <c r="EH567" s="456"/>
      <c r="EI567" s="456"/>
      <c r="EJ567" s="456"/>
      <c r="EK567" s="456"/>
      <c r="EL567" s="456"/>
      <c r="EM567" s="456"/>
      <c r="EN567" s="456"/>
      <c r="EO567" s="456"/>
      <c r="EP567" s="456"/>
      <c r="EQ567" s="456"/>
      <c r="ER567" s="456"/>
      <c r="ES567" s="456"/>
      <c r="ET567" s="456"/>
      <c r="EU567" s="456"/>
      <c r="EV567" s="456"/>
      <c r="EW567" s="456"/>
      <c r="EX567" s="456"/>
      <c r="EY567" s="456"/>
      <c r="EZ567" s="456"/>
      <c r="FA567" s="456"/>
      <c r="FB567" s="456"/>
      <c r="FC567" s="456"/>
      <c r="FD567" s="456"/>
      <c r="FE567" s="456"/>
      <c r="FF567" s="456"/>
      <c r="FG567" s="456"/>
      <c r="FH567" s="456"/>
      <c r="FI567" s="456"/>
      <c r="FJ567" s="456"/>
      <c r="FK567" s="456"/>
      <c r="FL567" s="456"/>
      <c r="FM567" s="456"/>
      <c r="FN567" s="456"/>
      <c r="FO567" s="456"/>
      <c r="FP567" s="456"/>
      <c r="FQ567" s="456"/>
      <c r="FR567" s="456"/>
      <c r="FS567" s="456"/>
      <c r="FT567" s="456"/>
      <c r="FU567" s="456"/>
      <c r="FV567" s="456"/>
      <c r="FW567" s="456"/>
      <c r="FX567" s="456"/>
      <c r="FY567" s="456"/>
      <c r="FZ567" s="456"/>
      <c r="GA567" s="456"/>
      <c r="GB567" s="456"/>
      <c r="GC567" s="456"/>
      <c r="GD567" s="456"/>
      <c r="GE567" s="456"/>
      <c r="GF567" s="456"/>
      <c r="GG567" s="456"/>
      <c r="GH567" s="456"/>
      <c r="GI567" s="456"/>
      <c r="GJ567" s="456"/>
      <c r="GK567" s="456"/>
      <c r="GL567" s="456"/>
      <c r="GM567" s="456"/>
      <c r="GN567" s="456"/>
      <c r="GO567" s="456"/>
      <c r="GP567" s="456"/>
      <c r="GQ567" s="456"/>
      <c r="GR567" s="456"/>
      <c r="GS567" s="456"/>
      <c r="GT567" s="456"/>
      <c r="GU567" s="456"/>
      <c r="GV567" s="456"/>
      <c r="GW567" s="456"/>
      <c r="GX567" s="456"/>
      <c r="GY567" s="456"/>
      <c r="GZ567" s="456"/>
      <c r="HA567" s="456"/>
      <c r="HB567" s="456"/>
      <c r="HC567" s="456"/>
      <c r="HD567" s="456"/>
      <c r="HE567" s="456"/>
      <c r="HF567" s="456"/>
      <c r="HG567" s="456"/>
      <c r="HH567" s="456"/>
      <c r="HI567" s="456"/>
      <c r="HJ567" s="456"/>
      <c r="HK567" s="456"/>
      <c r="HL567" s="456"/>
      <c r="HM567" s="456"/>
      <c r="HN567" s="456"/>
      <c r="HO567" s="456"/>
      <c r="HP567" s="456"/>
      <c r="HQ567" s="456"/>
      <c r="HR567" s="456"/>
      <c r="HS567" s="456"/>
      <c r="HT567" s="456"/>
      <c r="HU567" s="456"/>
      <c r="HV567" s="456"/>
      <c r="HW567" s="456"/>
      <c r="HX567" s="456"/>
      <c r="HY567" s="456"/>
      <c r="HZ567" s="456"/>
      <c r="IA567" s="456"/>
      <c r="IB567" s="456"/>
      <c r="IC567" s="456"/>
      <c r="ID567" s="456"/>
      <c r="IE567" s="456"/>
      <c r="IF567" s="456"/>
      <c r="IG567" s="456"/>
      <c r="IH567" s="456"/>
      <c r="II567" s="456"/>
      <c r="IJ567" s="456"/>
      <c r="IK567" s="456"/>
      <c r="IL567" s="456"/>
      <c r="IM567" s="456"/>
      <c r="IN567" s="456"/>
      <c r="IO567" s="456"/>
      <c r="IP567" s="456"/>
      <c r="IQ567" s="456"/>
      <c r="IR567" s="456"/>
      <c r="IS567" s="456"/>
    </row>
    <row r="568" spans="1:253" s="458" customFormat="1" ht="67.5" x14ac:dyDescent="0.2">
      <c r="A568" s="444">
        <v>16616</v>
      </c>
      <c r="B568" s="445" t="s">
        <v>84</v>
      </c>
      <c r="C568" s="445" t="s">
        <v>85</v>
      </c>
      <c r="D568" s="445"/>
      <c r="E568" s="445"/>
      <c r="F568" s="445"/>
      <c r="G568" s="446">
        <v>251</v>
      </c>
      <c r="H568" s="445" t="s">
        <v>807</v>
      </c>
      <c r="I568" s="445"/>
      <c r="J568" s="445"/>
      <c r="K568" s="447"/>
      <c r="L568" s="445" t="s">
        <v>142</v>
      </c>
      <c r="M568" s="445">
        <v>2</v>
      </c>
      <c r="N568" s="445" t="s">
        <v>67</v>
      </c>
      <c r="O568" s="449" t="s">
        <v>1640</v>
      </c>
      <c r="P568" s="450">
        <v>6.4269999999999996</v>
      </c>
      <c r="Q568" s="451">
        <f t="shared" si="17"/>
        <v>6.4269999999999996</v>
      </c>
      <c r="R568" s="451">
        <f>SUMIF('Wege im Detail'!$A:$A,"16616",'Wege im Detail'!$P:$P)</f>
        <v>6.4269999999999996</v>
      </c>
      <c r="S568" s="452" t="s">
        <v>808</v>
      </c>
      <c r="T568" s="453">
        <v>43891</v>
      </c>
      <c r="U568" s="501"/>
      <c r="W568" s="501"/>
      <c r="X568" s="455"/>
      <c r="Y568" s="455"/>
      <c r="Z568" s="455"/>
      <c r="AA568" s="455"/>
      <c r="AB568" s="455"/>
      <c r="AC568" s="455"/>
      <c r="AD568" s="455"/>
      <c r="AE568" s="455"/>
      <c r="AF568" s="455"/>
      <c r="AG568" s="455"/>
      <c r="AH568" s="455"/>
      <c r="AI568" s="455"/>
      <c r="AJ568" s="455"/>
      <c r="AK568" s="455"/>
      <c r="AL568" s="455"/>
      <c r="AM568" s="455"/>
      <c r="AN568" s="455"/>
      <c r="AO568" s="455"/>
      <c r="AP568" s="455"/>
      <c r="AQ568" s="455"/>
      <c r="AR568" s="455"/>
      <c r="AS568" s="455"/>
      <c r="AT568" s="455"/>
      <c r="AU568" s="455"/>
      <c r="AV568" s="455"/>
      <c r="AW568" s="455"/>
      <c r="AX568" s="455"/>
      <c r="AY568" s="455"/>
      <c r="AZ568" s="455"/>
      <c r="BA568" s="455"/>
      <c r="BB568" s="455"/>
      <c r="BC568" s="455"/>
      <c r="BD568" s="455"/>
      <c r="BE568" s="455"/>
      <c r="BF568" s="455"/>
      <c r="BG568" s="455"/>
      <c r="BH568" s="455"/>
      <c r="BI568" s="455"/>
      <c r="BJ568" s="455"/>
      <c r="BK568" s="455"/>
      <c r="BL568" s="455"/>
      <c r="BM568" s="455"/>
      <c r="BN568" s="455"/>
      <c r="BO568" s="455"/>
      <c r="BP568" s="455"/>
      <c r="BQ568" s="455"/>
      <c r="BR568" s="455"/>
      <c r="BS568" s="455"/>
      <c r="BT568" s="455"/>
      <c r="BU568" s="455"/>
      <c r="BV568" s="455"/>
      <c r="BW568" s="455"/>
      <c r="BX568" s="455"/>
      <c r="BY568" s="455"/>
      <c r="BZ568" s="455"/>
      <c r="CA568" s="455"/>
      <c r="CB568" s="455"/>
      <c r="CC568" s="455"/>
      <c r="CD568" s="455"/>
      <c r="CE568" s="455"/>
      <c r="CF568" s="455"/>
      <c r="CG568" s="455"/>
      <c r="CH568" s="455"/>
      <c r="CI568" s="455"/>
      <c r="CJ568" s="455"/>
      <c r="CK568" s="455"/>
      <c r="CL568" s="455"/>
      <c r="CM568" s="455"/>
      <c r="CN568" s="455"/>
      <c r="CO568" s="455"/>
      <c r="CP568" s="455"/>
      <c r="CQ568" s="455"/>
      <c r="CR568" s="455"/>
      <c r="CS568" s="455"/>
      <c r="CT568" s="455"/>
      <c r="CU568" s="455"/>
      <c r="CV568" s="455"/>
      <c r="CW568" s="455"/>
      <c r="CX568" s="455"/>
      <c r="CY568" s="455"/>
      <c r="CZ568" s="455"/>
      <c r="DA568" s="455"/>
      <c r="DB568" s="455"/>
      <c r="DC568" s="455"/>
      <c r="DD568" s="455"/>
      <c r="DE568" s="455"/>
      <c r="DF568" s="455"/>
      <c r="DG568" s="455"/>
      <c r="DH568" s="455"/>
      <c r="DI568" s="455"/>
      <c r="DJ568" s="455"/>
      <c r="DK568" s="455"/>
      <c r="DL568" s="455"/>
      <c r="DM568" s="455"/>
      <c r="DN568" s="455"/>
      <c r="DO568" s="455"/>
      <c r="DP568" s="455"/>
      <c r="DQ568" s="455"/>
      <c r="DR568" s="455"/>
      <c r="DS568" s="455"/>
      <c r="DT568" s="455"/>
      <c r="DU568" s="455"/>
      <c r="DV568" s="455"/>
      <c r="DW568" s="455"/>
      <c r="DX568" s="455"/>
      <c r="DY568" s="455"/>
      <c r="DZ568" s="455"/>
      <c r="EA568" s="455"/>
      <c r="EB568" s="455"/>
      <c r="EC568" s="455"/>
      <c r="ED568" s="455"/>
      <c r="EE568" s="455"/>
      <c r="EF568" s="455"/>
      <c r="EG568" s="455"/>
      <c r="EH568" s="455"/>
      <c r="EI568" s="455"/>
      <c r="EJ568" s="455"/>
      <c r="EK568" s="455"/>
      <c r="EL568" s="455"/>
      <c r="EM568" s="455"/>
      <c r="EN568" s="455"/>
      <c r="EO568" s="455"/>
      <c r="EP568" s="455"/>
      <c r="EQ568" s="455"/>
      <c r="ER568" s="455"/>
      <c r="ES568" s="455"/>
      <c r="ET568" s="455"/>
      <c r="EU568" s="455"/>
      <c r="EV568" s="455"/>
      <c r="EW568" s="455"/>
      <c r="EX568" s="455"/>
      <c r="EY568" s="455"/>
      <c r="EZ568" s="455"/>
      <c r="FA568" s="455"/>
      <c r="FB568" s="455"/>
      <c r="FC568" s="455"/>
      <c r="FD568" s="455"/>
      <c r="FE568" s="455"/>
      <c r="FF568" s="455"/>
      <c r="FG568" s="455"/>
      <c r="FH568" s="455"/>
      <c r="FI568" s="455"/>
      <c r="FJ568" s="455"/>
      <c r="FK568" s="455"/>
      <c r="FL568" s="455"/>
      <c r="FM568" s="455"/>
      <c r="FN568" s="455"/>
      <c r="FO568" s="455"/>
      <c r="FP568" s="455"/>
      <c r="FQ568" s="455"/>
      <c r="FR568" s="455"/>
      <c r="FS568" s="455"/>
      <c r="FT568" s="455"/>
      <c r="FU568" s="455"/>
      <c r="FV568" s="455"/>
      <c r="FW568" s="455"/>
      <c r="FX568" s="455"/>
      <c r="FY568" s="455"/>
      <c r="FZ568" s="455"/>
      <c r="GA568" s="455"/>
      <c r="GB568" s="455"/>
      <c r="GC568" s="455"/>
      <c r="GD568" s="455"/>
      <c r="GE568" s="455"/>
      <c r="GF568" s="455"/>
      <c r="GG568" s="455"/>
      <c r="GH568" s="455"/>
      <c r="GI568" s="455"/>
      <c r="GJ568" s="455"/>
      <c r="GK568" s="455"/>
      <c r="GL568" s="455"/>
      <c r="GM568" s="455"/>
      <c r="GN568" s="455"/>
      <c r="GO568" s="455"/>
      <c r="GP568" s="455"/>
      <c r="GQ568" s="455"/>
      <c r="GR568" s="455"/>
      <c r="GS568" s="455"/>
      <c r="GT568" s="455"/>
      <c r="GU568" s="455"/>
      <c r="GV568" s="455"/>
      <c r="GW568" s="455"/>
      <c r="GX568" s="455"/>
      <c r="GY568" s="455"/>
      <c r="GZ568" s="455"/>
      <c r="HA568" s="455"/>
      <c r="HB568" s="455"/>
      <c r="HC568" s="455"/>
      <c r="HD568" s="455"/>
      <c r="HE568" s="455"/>
      <c r="HF568" s="455"/>
      <c r="HG568" s="455"/>
      <c r="HH568" s="455"/>
      <c r="HI568" s="455"/>
      <c r="HJ568" s="455"/>
      <c r="HK568" s="455"/>
      <c r="HL568" s="455"/>
      <c r="HM568" s="455"/>
      <c r="HN568" s="455"/>
      <c r="HO568" s="455"/>
      <c r="HP568" s="455"/>
      <c r="HQ568" s="455"/>
      <c r="HR568" s="455"/>
      <c r="HS568" s="455"/>
      <c r="HT568" s="455"/>
      <c r="HU568" s="455"/>
      <c r="HV568" s="455"/>
      <c r="HW568" s="455"/>
      <c r="HX568" s="455"/>
      <c r="HY568" s="455"/>
      <c r="HZ568" s="455"/>
      <c r="IA568" s="455"/>
      <c r="IB568" s="455"/>
      <c r="IC568" s="455"/>
      <c r="ID568" s="455"/>
      <c r="IE568" s="455"/>
      <c r="IF568" s="455"/>
      <c r="IG568" s="455"/>
      <c r="IH568" s="455"/>
      <c r="II568" s="455"/>
      <c r="IJ568" s="455"/>
      <c r="IK568" s="455"/>
      <c r="IL568" s="455"/>
      <c r="IM568" s="455"/>
      <c r="IN568" s="455"/>
      <c r="IO568" s="455"/>
      <c r="IP568" s="455"/>
      <c r="IQ568" s="455"/>
      <c r="IR568" s="455"/>
      <c r="IS568" s="455"/>
    </row>
    <row r="569" spans="1:253" s="458" customFormat="1" ht="56.25" x14ac:dyDescent="0.2">
      <c r="A569" s="444">
        <v>16617</v>
      </c>
      <c r="B569" s="445" t="s">
        <v>84</v>
      </c>
      <c r="C569" s="445" t="s">
        <v>85</v>
      </c>
      <c r="D569" s="445"/>
      <c r="E569" s="445"/>
      <c r="F569" s="445"/>
      <c r="G569" s="446">
        <v>257</v>
      </c>
      <c r="H569" s="445" t="s">
        <v>810</v>
      </c>
      <c r="I569" s="445"/>
      <c r="J569" s="445"/>
      <c r="K569" s="447"/>
      <c r="L569" s="445" t="s">
        <v>163</v>
      </c>
      <c r="M569" s="445">
        <v>2</v>
      </c>
      <c r="N569" s="445" t="s">
        <v>67</v>
      </c>
      <c r="O569" s="449" t="s">
        <v>1641</v>
      </c>
      <c r="P569" s="450">
        <v>6.4329999999999998</v>
      </c>
      <c r="Q569" s="451">
        <f t="shared" si="17"/>
        <v>6.4329999999999998</v>
      </c>
      <c r="R569" s="451">
        <f>SUMIF('Wege im Detail'!$A:$A,"16617",'Wege im Detail'!$P:$P)</f>
        <v>6.4329999999999998</v>
      </c>
      <c r="S569" s="452" t="s">
        <v>811</v>
      </c>
      <c r="T569" s="453">
        <v>43891</v>
      </c>
      <c r="U569" s="448"/>
      <c r="V569" s="476"/>
      <c r="W569" s="448"/>
      <c r="X569" s="455"/>
      <c r="Y569" s="455"/>
      <c r="Z569" s="455"/>
      <c r="AA569" s="455"/>
      <c r="AB569" s="455"/>
      <c r="AC569" s="455"/>
      <c r="AD569" s="455"/>
      <c r="AE569" s="455"/>
      <c r="AF569" s="455"/>
      <c r="AG569" s="455"/>
      <c r="AH569" s="455"/>
      <c r="AI569" s="455"/>
      <c r="AJ569" s="455"/>
      <c r="AK569" s="455"/>
      <c r="AL569" s="455"/>
      <c r="AM569" s="455"/>
      <c r="AN569" s="455"/>
      <c r="AO569" s="455"/>
      <c r="AP569" s="455"/>
      <c r="AQ569" s="455"/>
      <c r="AR569" s="455"/>
      <c r="AS569" s="455"/>
      <c r="AT569" s="455"/>
      <c r="AU569" s="455"/>
      <c r="AV569" s="455"/>
      <c r="AW569" s="455"/>
      <c r="AX569" s="455"/>
      <c r="AY569" s="455"/>
      <c r="AZ569" s="455"/>
      <c r="BA569" s="455"/>
      <c r="BB569" s="455"/>
      <c r="BC569" s="455"/>
      <c r="BD569" s="455"/>
      <c r="BE569" s="455"/>
      <c r="BF569" s="455"/>
      <c r="BG569" s="455"/>
      <c r="BH569" s="455"/>
      <c r="BI569" s="455"/>
      <c r="BJ569" s="455"/>
      <c r="BK569" s="455"/>
      <c r="BL569" s="455"/>
      <c r="BM569" s="455"/>
      <c r="BN569" s="455"/>
      <c r="BO569" s="455"/>
      <c r="BP569" s="455"/>
      <c r="BQ569" s="455"/>
      <c r="BR569" s="455"/>
      <c r="BS569" s="455"/>
      <c r="BT569" s="455"/>
      <c r="BU569" s="455"/>
      <c r="BV569" s="455"/>
      <c r="BW569" s="455"/>
      <c r="BX569" s="455"/>
      <c r="BY569" s="455"/>
      <c r="BZ569" s="455"/>
      <c r="CA569" s="455"/>
      <c r="CB569" s="455"/>
      <c r="CC569" s="455"/>
      <c r="CD569" s="455"/>
      <c r="CE569" s="455"/>
      <c r="CF569" s="455"/>
      <c r="CG569" s="455"/>
      <c r="CH569" s="455"/>
      <c r="CI569" s="455"/>
      <c r="CJ569" s="455"/>
      <c r="CK569" s="455"/>
      <c r="CL569" s="455"/>
      <c r="CM569" s="455"/>
      <c r="CN569" s="455"/>
      <c r="CO569" s="455"/>
      <c r="CP569" s="455"/>
      <c r="CQ569" s="455"/>
      <c r="CR569" s="455"/>
      <c r="CS569" s="455"/>
      <c r="CT569" s="455"/>
      <c r="CU569" s="455"/>
      <c r="CV569" s="455"/>
      <c r="CW569" s="455"/>
      <c r="CX569" s="455"/>
      <c r="CY569" s="455"/>
      <c r="CZ569" s="455"/>
      <c r="DA569" s="455"/>
      <c r="DB569" s="455"/>
      <c r="DC569" s="455"/>
      <c r="DD569" s="455"/>
      <c r="DE569" s="455"/>
      <c r="DF569" s="455"/>
      <c r="DG569" s="455"/>
      <c r="DH569" s="455"/>
      <c r="DI569" s="455"/>
      <c r="DJ569" s="455"/>
      <c r="DK569" s="455"/>
      <c r="DL569" s="455"/>
      <c r="DM569" s="455"/>
      <c r="DN569" s="455"/>
      <c r="DO569" s="455"/>
      <c r="DP569" s="455"/>
      <c r="DQ569" s="455"/>
      <c r="DR569" s="455"/>
      <c r="DS569" s="455"/>
      <c r="DT569" s="455"/>
      <c r="DU569" s="455"/>
      <c r="DV569" s="455"/>
      <c r="DW569" s="455"/>
      <c r="DX569" s="455"/>
      <c r="DY569" s="455"/>
      <c r="DZ569" s="455"/>
      <c r="EA569" s="455"/>
      <c r="EB569" s="455"/>
      <c r="EC569" s="455"/>
      <c r="ED569" s="455"/>
      <c r="EE569" s="455"/>
      <c r="EF569" s="455"/>
      <c r="EG569" s="455"/>
      <c r="EH569" s="455"/>
      <c r="EI569" s="455"/>
      <c r="EJ569" s="455"/>
      <c r="EK569" s="455"/>
      <c r="EL569" s="455"/>
      <c r="EM569" s="455"/>
      <c r="EN569" s="455"/>
      <c r="EO569" s="455"/>
      <c r="EP569" s="455"/>
      <c r="EQ569" s="455"/>
      <c r="ER569" s="455"/>
      <c r="ES569" s="455"/>
      <c r="ET569" s="455"/>
      <c r="EU569" s="455"/>
      <c r="EV569" s="455"/>
      <c r="EW569" s="455"/>
      <c r="EX569" s="455"/>
      <c r="EY569" s="455"/>
      <c r="EZ569" s="455"/>
      <c r="FA569" s="455"/>
      <c r="FB569" s="455"/>
      <c r="FC569" s="455"/>
      <c r="FD569" s="455"/>
      <c r="FE569" s="455"/>
      <c r="FF569" s="455"/>
      <c r="FG569" s="455"/>
      <c r="FH569" s="455"/>
      <c r="FI569" s="455"/>
      <c r="FJ569" s="455"/>
      <c r="FK569" s="455"/>
      <c r="FL569" s="455"/>
      <c r="FM569" s="455"/>
      <c r="FN569" s="455"/>
      <c r="FO569" s="455"/>
      <c r="FP569" s="455"/>
      <c r="FQ569" s="455"/>
      <c r="FR569" s="455"/>
      <c r="FS569" s="455"/>
      <c r="FT569" s="455"/>
      <c r="FU569" s="455"/>
      <c r="FV569" s="455"/>
      <c r="FW569" s="455"/>
      <c r="FX569" s="455"/>
      <c r="FY569" s="455"/>
      <c r="FZ569" s="455"/>
      <c r="GA569" s="455"/>
      <c r="GB569" s="455"/>
      <c r="GC569" s="455"/>
      <c r="GD569" s="455"/>
      <c r="GE569" s="455"/>
      <c r="GF569" s="455"/>
      <c r="GG569" s="455"/>
      <c r="GH569" s="455"/>
      <c r="GI569" s="455"/>
      <c r="GJ569" s="455"/>
      <c r="GK569" s="455"/>
      <c r="GL569" s="455"/>
      <c r="GM569" s="455"/>
      <c r="GN569" s="455"/>
      <c r="GO569" s="455"/>
      <c r="GP569" s="455"/>
      <c r="GQ569" s="455"/>
      <c r="GR569" s="455"/>
      <c r="GS569" s="455"/>
      <c r="GT569" s="455"/>
      <c r="GU569" s="455"/>
      <c r="GV569" s="455"/>
      <c r="GW569" s="455"/>
      <c r="GX569" s="455"/>
      <c r="GY569" s="455"/>
      <c r="GZ569" s="455"/>
      <c r="HA569" s="455"/>
      <c r="HB569" s="455"/>
      <c r="HC569" s="455"/>
      <c r="HD569" s="455"/>
      <c r="HE569" s="455"/>
      <c r="HF569" s="455"/>
      <c r="HG569" s="455"/>
      <c r="HH569" s="455"/>
      <c r="HI569" s="455"/>
      <c r="HJ569" s="455"/>
      <c r="HK569" s="455"/>
      <c r="HL569" s="455"/>
      <c r="HM569" s="455"/>
      <c r="HN569" s="455"/>
      <c r="HO569" s="455"/>
      <c r="HP569" s="455"/>
      <c r="HQ569" s="455"/>
      <c r="HR569" s="455"/>
      <c r="HS569" s="455"/>
      <c r="HT569" s="455"/>
      <c r="HU569" s="455"/>
      <c r="HV569" s="455"/>
      <c r="HW569" s="455"/>
      <c r="HX569" s="455"/>
      <c r="HY569" s="455"/>
      <c r="HZ569" s="455"/>
      <c r="IA569" s="455"/>
      <c r="IB569" s="455"/>
      <c r="IC569" s="455"/>
      <c r="ID569" s="455"/>
      <c r="IE569" s="455"/>
      <c r="IF569" s="455"/>
      <c r="IG569" s="455"/>
      <c r="IH569" s="455"/>
      <c r="II569" s="455"/>
      <c r="IJ569" s="455"/>
      <c r="IK569" s="455"/>
      <c r="IL569" s="455"/>
      <c r="IM569" s="455"/>
      <c r="IN569" s="455"/>
      <c r="IO569" s="455"/>
      <c r="IP569" s="455"/>
      <c r="IQ569" s="455"/>
      <c r="IR569" s="455"/>
      <c r="IS569" s="455"/>
    </row>
    <row r="570" spans="1:253" s="458" customFormat="1" ht="45" x14ac:dyDescent="0.2">
      <c r="A570" s="444">
        <v>16618</v>
      </c>
      <c r="B570" s="445" t="s">
        <v>84</v>
      </c>
      <c r="C570" s="445" t="s">
        <v>85</v>
      </c>
      <c r="D570" s="445"/>
      <c r="E570" s="445"/>
      <c r="F570" s="445"/>
      <c r="G570" s="446">
        <v>235</v>
      </c>
      <c r="H570" s="445" t="s">
        <v>813</v>
      </c>
      <c r="I570" s="445"/>
      <c r="J570" s="445"/>
      <c r="K570" s="447"/>
      <c r="L570" s="445" t="s">
        <v>88</v>
      </c>
      <c r="M570" s="445">
        <v>1</v>
      </c>
      <c r="N570" s="445" t="s">
        <v>656</v>
      </c>
      <c r="O570" s="449" t="s">
        <v>1642</v>
      </c>
      <c r="P570" s="450">
        <v>4.4119999999999999</v>
      </c>
      <c r="Q570" s="451">
        <f t="shared" si="17"/>
        <v>4.4119999999999999</v>
      </c>
      <c r="R570" s="451">
        <f>SUMIF('Wege im Detail'!$A:$A,"16618",'Wege im Detail'!$P:$P)</f>
        <v>4.4119999999999999</v>
      </c>
      <c r="S570" s="452" t="s">
        <v>814</v>
      </c>
      <c r="T570" s="453">
        <v>43922</v>
      </c>
      <c r="U570" s="448"/>
      <c r="V570" s="476"/>
      <c r="W570" s="448"/>
    </row>
    <row r="571" spans="1:253" s="455" customFormat="1" ht="45" x14ac:dyDescent="0.2">
      <c r="A571" s="444">
        <v>16619</v>
      </c>
      <c r="B571" s="445" t="s">
        <v>84</v>
      </c>
      <c r="C571" s="445" t="s">
        <v>85</v>
      </c>
      <c r="D571" s="445"/>
      <c r="E571" s="445"/>
      <c r="F571" s="479"/>
      <c r="G571" s="446">
        <v>211</v>
      </c>
      <c r="H571" s="445" t="s">
        <v>815</v>
      </c>
      <c r="I571" s="445"/>
      <c r="J571" s="445"/>
      <c r="K571" s="447"/>
      <c r="L571" s="445" t="s">
        <v>142</v>
      </c>
      <c r="M571" s="445">
        <v>1</v>
      </c>
      <c r="N571" s="445" t="s">
        <v>230</v>
      </c>
      <c r="O571" s="449" t="s">
        <v>1643</v>
      </c>
      <c r="P571" s="450">
        <v>7.0439999999999996</v>
      </c>
      <c r="Q571" s="451">
        <f t="shared" si="17"/>
        <v>7.0439999999999996</v>
      </c>
      <c r="R571" s="451">
        <f>SUMIF('Wege im Detail'!$A:$A,"16619",'Wege im Detail'!$P:$P)</f>
        <v>7.0439999999999996</v>
      </c>
      <c r="S571" s="452" t="s">
        <v>816</v>
      </c>
      <c r="T571" s="453">
        <v>43922</v>
      </c>
      <c r="U571" s="448"/>
      <c r="V571" s="476"/>
      <c r="W571" s="448"/>
      <c r="X571" s="458"/>
      <c r="Y571" s="458"/>
      <c r="Z571" s="458"/>
      <c r="AA571" s="458"/>
      <c r="AB571" s="458"/>
      <c r="AC571" s="458"/>
      <c r="AD571" s="458"/>
      <c r="AE571" s="458"/>
      <c r="AF571" s="458"/>
      <c r="AG571" s="458"/>
      <c r="AH571" s="458"/>
      <c r="AI571" s="458"/>
      <c r="AJ571" s="458"/>
      <c r="AK571" s="458"/>
      <c r="AL571" s="458"/>
      <c r="AM571" s="458"/>
      <c r="AN571" s="458"/>
      <c r="AO571" s="458"/>
      <c r="AP571" s="458"/>
      <c r="AQ571" s="458"/>
      <c r="AR571" s="458"/>
      <c r="AS571" s="458"/>
      <c r="AT571" s="458"/>
      <c r="AU571" s="458"/>
      <c r="AV571" s="458"/>
      <c r="AW571" s="458"/>
      <c r="AX571" s="458"/>
      <c r="AY571" s="458"/>
      <c r="AZ571" s="458"/>
      <c r="BA571" s="458"/>
      <c r="BB571" s="458"/>
      <c r="BC571" s="458"/>
      <c r="BD571" s="458"/>
      <c r="BE571" s="458"/>
      <c r="BF571" s="458"/>
      <c r="BG571" s="458"/>
      <c r="BH571" s="458"/>
      <c r="BI571" s="458"/>
      <c r="BJ571" s="458"/>
      <c r="BK571" s="458"/>
      <c r="BL571" s="458"/>
      <c r="BM571" s="458"/>
      <c r="BN571" s="458"/>
      <c r="BO571" s="458"/>
      <c r="BP571" s="458"/>
      <c r="BQ571" s="458"/>
      <c r="BR571" s="458"/>
      <c r="BS571" s="458"/>
      <c r="BT571" s="458"/>
      <c r="BU571" s="458"/>
      <c r="BV571" s="458"/>
      <c r="BW571" s="458"/>
      <c r="BX571" s="458"/>
      <c r="BY571" s="458"/>
      <c r="BZ571" s="458"/>
      <c r="CA571" s="458"/>
      <c r="CB571" s="458"/>
      <c r="CC571" s="458"/>
      <c r="CD571" s="458"/>
      <c r="CE571" s="458"/>
      <c r="CF571" s="458"/>
      <c r="CG571" s="458"/>
      <c r="CH571" s="458"/>
      <c r="CI571" s="458"/>
      <c r="CJ571" s="458"/>
      <c r="CK571" s="458"/>
      <c r="CL571" s="458"/>
      <c r="CM571" s="458"/>
      <c r="CN571" s="458"/>
      <c r="CO571" s="458"/>
      <c r="CP571" s="458"/>
      <c r="CQ571" s="458"/>
      <c r="CR571" s="458"/>
      <c r="CS571" s="458"/>
      <c r="CT571" s="458"/>
      <c r="CU571" s="458"/>
      <c r="CV571" s="458"/>
      <c r="CW571" s="458"/>
      <c r="CX571" s="458"/>
      <c r="CY571" s="458"/>
      <c r="CZ571" s="458"/>
      <c r="DA571" s="458"/>
      <c r="DB571" s="458"/>
      <c r="DC571" s="458"/>
      <c r="DD571" s="458"/>
      <c r="DE571" s="458"/>
      <c r="DF571" s="458"/>
      <c r="DG571" s="458"/>
      <c r="DH571" s="458"/>
      <c r="DI571" s="458"/>
      <c r="DJ571" s="458"/>
      <c r="DK571" s="458"/>
      <c r="DL571" s="458"/>
      <c r="DM571" s="458"/>
      <c r="DN571" s="458"/>
      <c r="DO571" s="458"/>
      <c r="DP571" s="458"/>
      <c r="DQ571" s="458"/>
      <c r="DR571" s="458"/>
      <c r="DS571" s="458"/>
      <c r="DT571" s="458"/>
      <c r="DU571" s="458"/>
      <c r="DV571" s="458"/>
      <c r="DW571" s="458"/>
      <c r="DX571" s="458"/>
      <c r="DY571" s="458"/>
      <c r="DZ571" s="458"/>
      <c r="EA571" s="458"/>
      <c r="EB571" s="458"/>
      <c r="EC571" s="458"/>
      <c r="ED571" s="458"/>
      <c r="EE571" s="458"/>
      <c r="EF571" s="458"/>
      <c r="EG571" s="458"/>
      <c r="EH571" s="458"/>
      <c r="EI571" s="458"/>
      <c r="EJ571" s="458"/>
      <c r="EK571" s="458"/>
      <c r="EL571" s="458"/>
      <c r="EM571" s="458"/>
      <c r="EN571" s="458"/>
      <c r="EO571" s="458"/>
      <c r="EP571" s="458"/>
      <c r="EQ571" s="458"/>
      <c r="ER571" s="458"/>
      <c r="ES571" s="458"/>
      <c r="ET571" s="458"/>
      <c r="EU571" s="458"/>
      <c r="EV571" s="458"/>
      <c r="EW571" s="458"/>
      <c r="EX571" s="458"/>
      <c r="EY571" s="458"/>
      <c r="EZ571" s="458"/>
      <c r="FA571" s="458"/>
      <c r="FB571" s="458"/>
      <c r="FC571" s="458"/>
      <c r="FD571" s="458"/>
      <c r="FE571" s="458"/>
      <c r="FF571" s="458"/>
      <c r="FG571" s="458"/>
      <c r="FH571" s="458"/>
      <c r="FI571" s="458"/>
      <c r="FJ571" s="458"/>
      <c r="FK571" s="458"/>
      <c r="FL571" s="458"/>
      <c r="FM571" s="458"/>
      <c r="FN571" s="458"/>
      <c r="FO571" s="458"/>
      <c r="FP571" s="458"/>
      <c r="FQ571" s="458"/>
      <c r="FR571" s="458"/>
      <c r="FS571" s="458"/>
      <c r="FT571" s="458"/>
      <c r="FU571" s="458"/>
      <c r="FV571" s="458"/>
      <c r="FW571" s="458"/>
      <c r="FX571" s="458"/>
      <c r="FY571" s="458"/>
      <c r="FZ571" s="458"/>
      <c r="GA571" s="458"/>
      <c r="GB571" s="458"/>
      <c r="GC571" s="458"/>
      <c r="GD571" s="458"/>
      <c r="GE571" s="458"/>
      <c r="GF571" s="458"/>
      <c r="GG571" s="458"/>
      <c r="GH571" s="458"/>
      <c r="GI571" s="458"/>
      <c r="GJ571" s="458"/>
      <c r="GK571" s="458"/>
      <c r="GL571" s="458"/>
      <c r="GM571" s="458"/>
      <c r="GN571" s="458"/>
      <c r="GO571" s="458"/>
      <c r="GP571" s="458"/>
      <c r="GQ571" s="458"/>
      <c r="GR571" s="458"/>
      <c r="GS571" s="458"/>
      <c r="GT571" s="458"/>
      <c r="GU571" s="458"/>
      <c r="GV571" s="458"/>
      <c r="GW571" s="458"/>
      <c r="GX571" s="458"/>
      <c r="GY571" s="458"/>
      <c r="GZ571" s="458"/>
      <c r="HA571" s="458"/>
      <c r="HB571" s="458"/>
      <c r="HC571" s="458"/>
      <c r="HD571" s="458"/>
      <c r="HE571" s="458"/>
      <c r="HF571" s="458"/>
      <c r="HG571" s="458"/>
      <c r="HH571" s="458"/>
      <c r="HI571" s="458"/>
      <c r="HJ571" s="458"/>
      <c r="HK571" s="458"/>
      <c r="HL571" s="458"/>
      <c r="HM571" s="458"/>
      <c r="HN571" s="458"/>
      <c r="HO571" s="458"/>
      <c r="HP571" s="458"/>
      <c r="HQ571" s="458"/>
      <c r="HR571" s="458"/>
      <c r="HS571" s="458"/>
      <c r="HT571" s="458"/>
      <c r="HU571" s="458"/>
      <c r="HV571" s="458"/>
      <c r="HW571" s="458"/>
      <c r="HX571" s="458"/>
      <c r="HY571" s="458"/>
      <c r="HZ571" s="458"/>
      <c r="IA571" s="458"/>
      <c r="IB571" s="458"/>
      <c r="IC571" s="458"/>
      <c r="ID571" s="458"/>
      <c r="IE571" s="458"/>
      <c r="IF571" s="458"/>
      <c r="IG571" s="458"/>
      <c r="IH571" s="458"/>
      <c r="II571" s="458"/>
      <c r="IJ571" s="458"/>
      <c r="IK571" s="458"/>
      <c r="IL571" s="458"/>
      <c r="IM571" s="458"/>
      <c r="IN571" s="458"/>
      <c r="IO571" s="458"/>
      <c r="IP571" s="458"/>
      <c r="IQ571" s="458"/>
      <c r="IR571" s="458"/>
      <c r="IS571" s="458"/>
    </row>
    <row r="572" spans="1:253" s="455" customFormat="1" ht="56.25" x14ac:dyDescent="0.2">
      <c r="A572" s="444">
        <v>16621</v>
      </c>
      <c r="B572" s="445" t="s">
        <v>84</v>
      </c>
      <c r="C572" s="445" t="s">
        <v>85</v>
      </c>
      <c r="D572" s="445"/>
      <c r="E572" s="445"/>
      <c r="F572" s="479"/>
      <c r="G572" s="446">
        <v>213</v>
      </c>
      <c r="H572" s="445" t="s">
        <v>817</v>
      </c>
      <c r="I572" s="445"/>
      <c r="J572" s="445"/>
      <c r="K572" s="447"/>
      <c r="L572" s="445" t="s">
        <v>133</v>
      </c>
      <c r="M572" s="445">
        <v>1</v>
      </c>
      <c r="N572" s="445" t="s">
        <v>230</v>
      </c>
      <c r="O572" s="449" t="s">
        <v>1644</v>
      </c>
      <c r="P572" s="450">
        <v>3.327</v>
      </c>
      <c r="Q572" s="451">
        <f t="shared" si="17"/>
        <v>3.327</v>
      </c>
      <c r="R572" s="451">
        <f>SUMIF('Wege im Detail'!$A:$A,"16621",'Wege im Detail'!$P:$P)</f>
        <v>3.327</v>
      </c>
      <c r="S572" s="452" t="s">
        <v>818</v>
      </c>
      <c r="T572" s="453">
        <v>43922</v>
      </c>
      <c r="U572" s="448"/>
      <c r="V572" s="458"/>
      <c r="W572" s="448"/>
      <c r="X572" s="458"/>
      <c r="Y572" s="458"/>
      <c r="Z572" s="458"/>
      <c r="AA572" s="458"/>
      <c r="AB572" s="458"/>
      <c r="AC572" s="458"/>
      <c r="AD572" s="458"/>
      <c r="AE572" s="458"/>
      <c r="AF572" s="458"/>
      <c r="AG572" s="458"/>
      <c r="AH572" s="458"/>
      <c r="AI572" s="458"/>
      <c r="AJ572" s="458"/>
      <c r="AK572" s="458"/>
      <c r="AL572" s="458"/>
      <c r="AM572" s="458"/>
      <c r="AN572" s="458"/>
      <c r="AO572" s="458"/>
      <c r="AP572" s="458"/>
      <c r="AQ572" s="458"/>
      <c r="AR572" s="458"/>
      <c r="AS572" s="458"/>
      <c r="AT572" s="458"/>
      <c r="AU572" s="458"/>
      <c r="AV572" s="458"/>
      <c r="AW572" s="458"/>
      <c r="AX572" s="458"/>
      <c r="AY572" s="458"/>
      <c r="AZ572" s="458"/>
      <c r="BA572" s="458"/>
      <c r="BB572" s="458"/>
      <c r="BC572" s="458"/>
      <c r="BD572" s="458"/>
      <c r="BE572" s="458"/>
      <c r="BF572" s="458"/>
      <c r="BG572" s="458"/>
      <c r="BH572" s="458"/>
      <c r="BI572" s="458"/>
      <c r="BJ572" s="458"/>
      <c r="BK572" s="458"/>
      <c r="BL572" s="458"/>
      <c r="BM572" s="458"/>
      <c r="BN572" s="458"/>
      <c r="BO572" s="458"/>
      <c r="BP572" s="458"/>
      <c r="BQ572" s="458"/>
      <c r="BR572" s="458"/>
      <c r="BS572" s="458"/>
      <c r="BT572" s="458"/>
      <c r="BU572" s="458"/>
      <c r="BV572" s="458"/>
      <c r="BW572" s="458"/>
      <c r="BX572" s="458"/>
      <c r="BY572" s="458"/>
      <c r="BZ572" s="458"/>
      <c r="CA572" s="458"/>
      <c r="CB572" s="458"/>
      <c r="CC572" s="458"/>
      <c r="CD572" s="458"/>
      <c r="CE572" s="458"/>
      <c r="CF572" s="458"/>
      <c r="CG572" s="458"/>
      <c r="CH572" s="458"/>
      <c r="CI572" s="458"/>
      <c r="CJ572" s="458"/>
      <c r="CK572" s="458"/>
      <c r="CL572" s="458"/>
      <c r="CM572" s="458"/>
      <c r="CN572" s="458"/>
      <c r="CO572" s="458"/>
      <c r="CP572" s="458"/>
      <c r="CQ572" s="458"/>
      <c r="CR572" s="458"/>
      <c r="CS572" s="458"/>
      <c r="CT572" s="458"/>
      <c r="CU572" s="458"/>
      <c r="CV572" s="458"/>
      <c r="CW572" s="458"/>
      <c r="CX572" s="458"/>
      <c r="CY572" s="458"/>
      <c r="CZ572" s="458"/>
      <c r="DA572" s="458"/>
      <c r="DB572" s="458"/>
      <c r="DC572" s="458"/>
      <c r="DD572" s="458"/>
      <c r="DE572" s="458"/>
      <c r="DF572" s="458"/>
      <c r="DG572" s="458"/>
      <c r="DH572" s="458"/>
      <c r="DI572" s="458"/>
      <c r="DJ572" s="458"/>
      <c r="DK572" s="458"/>
      <c r="DL572" s="458"/>
      <c r="DM572" s="458"/>
      <c r="DN572" s="458"/>
      <c r="DO572" s="458"/>
      <c r="DP572" s="458"/>
      <c r="DQ572" s="458"/>
      <c r="DR572" s="458"/>
      <c r="DS572" s="458"/>
      <c r="DT572" s="458"/>
      <c r="DU572" s="458"/>
      <c r="DV572" s="458"/>
      <c r="DW572" s="458"/>
      <c r="DX572" s="458"/>
      <c r="DY572" s="458"/>
      <c r="DZ572" s="458"/>
      <c r="EA572" s="458"/>
      <c r="EB572" s="458"/>
      <c r="EC572" s="458"/>
      <c r="ED572" s="458"/>
      <c r="EE572" s="458"/>
      <c r="EF572" s="458"/>
      <c r="EG572" s="458"/>
      <c r="EH572" s="458"/>
      <c r="EI572" s="458"/>
      <c r="EJ572" s="458"/>
      <c r="EK572" s="458"/>
      <c r="EL572" s="458"/>
      <c r="EM572" s="458"/>
      <c r="EN572" s="458"/>
      <c r="EO572" s="458"/>
      <c r="EP572" s="458"/>
      <c r="EQ572" s="458"/>
      <c r="ER572" s="458"/>
      <c r="ES572" s="458"/>
      <c r="ET572" s="458"/>
      <c r="EU572" s="458"/>
      <c r="EV572" s="458"/>
      <c r="EW572" s="458"/>
      <c r="EX572" s="458"/>
      <c r="EY572" s="458"/>
      <c r="EZ572" s="458"/>
      <c r="FA572" s="458"/>
      <c r="FB572" s="458"/>
      <c r="FC572" s="458"/>
      <c r="FD572" s="458"/>
      <c r="FE572" s="458"/>
      <c r="FF572" s="458"/>
      <c r="FG572" s="458"/>
      <c r="FH572" s="458"/>
      <c r="FI572" s="458"/>
      <c r="FJ572" s="458"/>
      <c r="FK572" s="458"/>
      <c r="FL572" s="458"/>
      <c r="FM572" s="458"/>
      <c r="FN572" s="458"/>
      <c r="FO572" s="458"/>
      <c r="FP572" s="458"/>
      <c r="FQ572" s="458"/>
      <c r="FR572" s="458"/>
      <c r="FS572" s="458"/>
      <c r="FT572" s="458"/>
      <c r="FU572" s="458"/>
      <c r="FV572" s="458"/>
      <c r="FW572" s="458"/>
      <c r="FX572" s="458"/>
      <c r="FY572" s="458"/>
      <c r="FZ572" s="458"/>
      <c r="GA572" s="458"/>
      <c r="GB572" s="458"/>
      <c r="GC572" s="458"/>
      <c r="GD572" s="458"/>
      <c r="GE572" s="458"/>
      <c r="GF572" s="458"/>
      <c r="GG572" s="458"/>
      <c r="GH572" s="458"/>
      <c r="GI572" s="458"/>
      <c r="GJ572" s="458"/>
      <c r="GK572" s="458"/>
      <c r="GL572" s="458"/>
      <c r="GM572" s="458"/>
      <c r="GN572" s="458"/>
      <c r="GO572" s="458"/>
      <c r="GP572" s="458"/>
      <c r="GQ572" s="458"/>
      <c r="GR572" s="458"/>
      <c r="GS572" s="458"/>
      <c r="GT572" s="458"/>
      <c r="GU572" s="458"/>
      <c r="GV572" s="458"/>
      <c r="GW572" s="458"/>
      <c r="GX572" s="458"/>
      <c r="GY572" s="458"/>
      <c r="GZ572" s="458"/>
      <c r="HA572" s="458"/>
      <c r="HB572" s="458"/>
      <c r="HC572" s="458"/>
      <c r="HD572" s="458"/>
      <c r="HE572" s="458"/>
      <c r="HF572" s="458"/>
      <c r="HG572" s="458"/>
      <c r="HH572" s="458"/>
      <c r="HI572" s="458"/>
      <c r="HJ572" s="458"/>
      <c r="HK572" s="458"/>
      <c r="HL572" s="458"/>
      <c r="HM572" s="458"/>
      <c r="HN572" s="458"/>
      <c r="HO572" s="458"/>
      <c r="HP572" s="458"/>
      <c r="HQ572" s="458"/>
      <c r="HR572" s="458"/>
      <c r="HS572" s="458"/>
      <c r="HT572" s="458"/>
      <c r="HU572" s="458"/>
      <c r="HV572" s="458"/>
      <c r="HW572" s="458"/>
      <c r="HX572" s="458"/>
      <c r="HY572" s="458"/>
      <c r="HZ572" s="458"/>
      <c r="IA572" s="458"/>
      <c r="IB572" s="458"/>
      <c r="IC572" s="458"/>
      <c r="ID572" s="458"/>
      <c r="IE572" s="458"/>
      <c r="IF572" s="458"/>
      <c r="IG572" s="458"/>
      <c r="IH572" s="458"/>
      <c r="II572" s="458"/>
      <c r="IJ572" s="458"/>
      <c r="IK572" s="458"/>
      <c r="IL572" s="458"/>
      <c r="IM572" s="458"/>
      <c r="IN572" s="458"/>
      <c r="IO572" s="458"/>
      <c r="IP572" s="458"/>
      <c r="IQ572" s="458"/>
      <c r="IR572" s="458"/>
      <c r="IS572" s="458"/>
    </row>
    <row r="573" spans="1:253" s="455" customFormat="1" ht="30.75" customHeight="1" x14ac:dyDescent="0.2">
      <c r="A573" s="438">
        <v>2004</v>
      </c>
      <c r="B573" s="445" t="s">
        <v>51</v>
      </c>
      <c r="C573" s="445" t="s">
        <v>85</v>
      </c>
      <c r="D573" s="445" t="s">
        <v>320</v>
      </c>
      <c r="E573" s="445" t="s">
        <v>821</v>
      </c>
      <c r="F573" s="479"/>
      <c r="G573" s="446">
        <v>162</v>
      </c>
      <c r="H573" s="445" t="s">
        <v>819</v>
      </c>
      <c r="I573" s="445"/>
      <c r="J573" s="445"/>
      <c r="K573" s="447"/>
      <c r="L573" s="445" t="s">
        <v>820</v>
      </c>
      <c r="M573" s="445"/>
      <c r="N573" s="445" t="s">
        <v>118</v>
      </c>
      <c r="O573" s="449" t="s">
        <v>1645</v>
      </c>
      <c r="P573" s="450">
        <v>10.231999999999999</v>
      </c>
      <c r="Q573" s="549">
        <f t="shared" si="17"/>
        <v>10.231999999999999</v>
      </c>
      <c r="R573" s="451">
        <f>SUMIF('Wege im Detail'!$A:$A,"002004",'Wege im Detail'!$P:$P)</f>
        <v>10.231999999999999</v>
      </c>
      <c r="S573" s="452"/>
      <c r="T573" s="453">
        <v>45108</v>
      </c>
      <c r="U573" s="448" t="s">
        <v>2269</v>
      </c>
      <c r="V573" s="458"/>
      <c r="W573" s="448"/>
      <c r="X573" s="458"/>
      <c r="Y573" s="458"/>
      <c r="Z573" s="458"/>
      <c r="AA573" s="458"/>
      <c r="AB573" s="458"/>
      <c r="AC573" s="458"/>
      <c r="AD573" s="458"/>
      <c r="AE573" s="458"/>
      <c r="AF573" s="458"/>
      <c r="AG573" s="458"/>
      <c r="AH573" s="458"/>
      <c r="AI573" s="458"/>
      <c r="AJ573" s="458"/>
      <c r="AK573" s="458"/>
      <c r="AL573" s="458"/>
      <c r="AM573" s="458"/>
      <c r="AN573" s="458"/>
      <c r="AO573" s="458"/>
      <c r="AP573" s="458"/>
      <c r="AQ573" s="458"/>
      <c r="AR573" s="458"/>
      <c r="AS573" s="458"/>
      <c r="AT573" s="458"/>
      <c r="AU573" s="458"/>
      <c r="AV573" s="458"/>
      <c r="AW573" s="458"/>
      <c r="AX573" s="458"/>
      <c r="AY573" s="458"/>
      <c r="AZ573" s="458"/>
      <c r="BA573" s="458"/>
      <c r="BB573" s="458"/>
      <c r="BC573" s="458"/>
      <c r="BD573" s="458"/>
      <c r="BE573" s="458"/>
      <c r="BF573" s="458"/>
      <c r="BG573" s="458"/>
      <c r="BH573" s="458"/>
      <c r="BI573" s="458"/>
      <c r="BJ573" s="458"/>
      <c r="BK573" s="458"/>
      <c r="BL573" s="458"/>
      <c r="BM573" s="458"/>
      <c r="BN573" s="458"/>
      <c r="BO573" s="458"/>
      <c r="BP573" s="458"/>
      <c r="BQ573" s="458"/>
      <c r="BR573" s="458"/>
      <c r="BS573" s="458"/>
      <c r="BT573" s="458"/>
      <c r="BU573" s="458"/>
      <c r="BV573" s="458"/>
      <c r="BW573" s="458"/>
      <c r="BX573" s="458"/>
      <c r="BY573" s="458"/>
      <c r="BZ573" s="458"/>
      <c r="CA573" s="458"/>
      <c r="CB573" s="458"/>
      <c r="CC573" s="458"/>
      <c r="CD573" s="458"/>
      <c r="CE573" s="458"/>
      <c r="CF573" s="458"/>
      <c r="CG573" s="458"/>
      <c r="CH573" s="458"/>
      <c r="CI573" s="458"/>
      <c r="CJ573" s="458"/>
      <c r="CK573" s="458"/>
      <c r="CL573" s="458"/>
      <c r="CM573" s="458"/>
      <c r="CN573" s="458"/>
      <c r="CO573" s="458"/>
      <c r="CP573" s="458"/>
      <c r="CQ573" s="458"/>
      <c r="CR573" s="458"/>
      <c r="CS573" s="458"/>
      <c r="CT573" s="458"/>
      <c r="CU573" s="458"/>
      <c r="CV573" s="458"/>
      <c r="CW573" s="458"/>
      <c r="CX573" s="458"/>
      <c r="CY573" s="458"/>
      <c r="CZ573" s="458"/>
      <c r="DA573" s="458"/>
      <c r="DB573" s="458"/>
      <c r="DC573" s="458"/>
      <c r="DD573" s="458"/>
      <c r="DE573" s="458"/>
      <c r="DF573" s="458"/>
      <c r="DG573" s="458"/>
      <c r="DH573" s="458"/>
      <c r="DI573" s="458"/>
      <c r="DJ573" s="458"/>
      <c r="DK573" s="458"/>
      <c r="DL573" s="458"/>
      <c r="DM573" s="458"/>
      <c r="DN573" s="458"/>
      <c r="DO573" s="458"/>
      <c r="DP573" s="458"/>
      <c r="DQ573" s="458"/>
      <c r="DR573" s="458"/>
      <c r="DS573" s="458"/>
      <c r="DT573" s="458"/>
      <c r="DU573" s="458"/>
      <c r="DV573" s="458"/>
      <c r="DW573" s="458"/>
      <c r="DX573" s="458"/>
      <c r="DY573" s="458"/>
      <c r="DZ573" s="458"/>
      <c r="EA573" s="458"/>
      <c r="EB573" s="458"/>
      <c r="EC573" s="458"/>
      <c r="ED573" s="458"/>
      <c r="EE573" s="458"/>
      <c r="EF573" s="458"/>
      <c r="EG573" s="458"/>
      <c r="EH573" s="458"/>
      <c r="EI573" s="458"/>
      <c r="EJ573" s="458"/>
      <c r="EK573" s="458"/>
      <c r="EL573" s="458"/>
      <c r="EM573" s="458"/>
      <c r="EN573" s="458"/>
      <c r="EO573" s="458"/>
      <c r="EP573" s="458"/>
      <c r="EQ573" s="458"/>
      <c r="ER573" s="458"/>
      <c r="ES573" s="458"/>
      <c r="ET573" s="458"/>
      <c r="EU573" s="458"/>
      <c r="EV573" s="458"/>
      <c r="EW573" s="458"/>
      <c r="EX573" s="458"/>
      <c r="EY573" s="458"/>
      <c r="EZ573" s="458"/>
      <c r="FA573" s="458"/>
      <c r="FB573" s="458"/>
      <c r="FC573" s="458"/>
      <c r="FD573" s="458"/>
      <c r="FE573" s="458"/>
      <c r="FF573" s="458"/>
      <c r="FG573" s="458"/>
      <c r="FH573" s="458"/>
      <c r="FI573" s="458"/>
      <c r="FJ573" s="458"/>
      <c r="FK573" s="458"/>
      <c r="FL573" s="458"/>
      <c r="FM573" s="458"/>
      <c r="FN573" s="458"/>
      <c r="FO573" s="458"/>
      <c r="FP573" s="458"/>
      <c r="FQ573" s="458"/>
      <c r="FR573" s="458"/>
      <c r="FS573" s="458"/>
      <c r="FT573" s="458"/>
      <c r="FU573" s="458"/>
      <c r="FV573" s="458"/>
      <c r="FW573" s="458"/>
      <c r="FX573" s="458"/>
      <c r="FY573" s="458"/>
      <c r="FZ573" s="458"/>
      <c r="GA573" s="458"/>
      <c r="GB573" s="458"/>
      <c r="GC573" s="458"/>
      <c r="GD573" s="458"/>
      <c r="GE573" s="458"/>
      <c r="GF573" s="458"/>
      <c r="GG573" s="458"/>
      <c r="GH573" s="458"/>
      <c r="GI573" s="458"/>
      <c r="GJ573" s="458"/>
      <c r="GK573" s="458"/>
      <c r="GL573" s="458"/>
      <c r="GM573" s="458"/>
      <c r="GN573" s="458"/>
      <c r="GO573" s="458"/>
      <c r="GP573" s="458"/>
      <c r="GQ573" s="458"/>
      <c r="GR573" s="458"/>
      <c r="GS573" s="458"/>
      <c r="GT573" s="458"/>
      <c r="GU573" s="458"/>
      <c r="GV573" s="458"/>
      <c r="GW573" s="458"/>
      <c r="GX573" s="458"/>
      <c r="GY573" s="458"/>
      <c r="GZ573" s="458"/>
      <c r="HA573" s="458"/>
      <c r="HB573" s="458"/>
      <c r="HC573" s="458"/>
      <c r="HD573" s="458"/>
      <c r="HE573" s="458"/>
      <c r="HF573" s="458"/>
      <c r="HG573" s="458"/>
      <c r="HH573" s="458"/>
      <c r="HI573" s="458"/>
      <c r="HJ573" s="458"/>
      <c r="HK573" s="458"/>
      <c r="HL573" s="458"/>
      <c r="HM573" s="458"/>
      <c r="HN573" s="458"/>
      <c r="HO573" s="458"/>
      <c r="HP573" s="458"/>
      <c r="HQ573" s="458"/>
      <c r="HR573" s="458"/>
      <c r="HS573" s="458"/>
      <c r="HT573" s="458"/>
      <c r="HU573" s="458"/>
      <c r="HV573" s="458"/>
      <c r="HW573" s="458"/>
      <c r="HX573" s="458"/>
      <c r="HY573" s="458"/>
      <c r="HZ573" s="458"/>
      <c r="IA573" s="458"/>
      <c r="IB573" s="458"/>
      <c r="IC573" s="458"/>
      <c r="ID573" s="458"/>
      <c r="IE573" s="458"/>
      <c r="IF573" s="458"/>
      <c r="IG573" s="458"/>
      <c r="IH573" s="458"/>
      <c r="II573" s="458"/>
      <c r="IJ573" s="458"/>
      <c r="IK573" s="458"/>
      <c r="IL573" s="458"/>
      <c r="IM573" s="458"/>
      <c r="IN573" s="458"/>
      <c r="IO573" s="458"/>
      <c r="IP573" s="458"/>
      <c r="IQ573" s="458"/>
      <c r="IR573" s="458"/>
      <c r="IS573" s="458"/>
    </row>
    <row r="574" spans="1:253" s="455" customFormat="1" ht="33.75" x14ac:dyDescent="0.2">
      <c r="A574" s="184">
        <v>17892</v>
      </c>
      <c r="B574" s="542" t="s">
        <v>51</v>
      </c>
      <c r="C574" s="542" t="s">
        <v>52</v>
      </c>
      <c r="D574" s="542" t="s">
        <v>366</v>
      </c>
      <c r="E574" s="542"/>
      <c r="F574" s="543"/>
      <c r="G574" s="544">
        <v>107</v>
      </c>
      <c r="H574" s="542">
        <v>133</v>
      </c>
      <c r="I574" s="542"/>
      <c r="J574" s="542">
        <v>1</v>
      </c>
      <c r="K574" s="545">
        <v>4</v>
      </c>
      <c r="L574" s="542" t="s">
        <v>822</v>
      </c>
      <c r="M574" s="542">
        <v>3</v>
      </c>
      <c r="N574" s="542" t="s">
        <v>466</v>
      </c>
      <c r="O574" s="547" t="s">
        <v>2278</v>
      </c>
      <c r="P574" s="548">
        <v>8.0399999999999991</v>
      </c>
      <c r="Q574" s="549">
        <f t="shared" si="17"/>
        <v>8.0399999999999991</v>
      </c>
      <c r="R574" s="549">
        <f>SUMIF('Wege im Detail'!$A:$A,"017892",'Wege im Detail'!$P:$P)</f>
        <v>19.706</v>
      </c>
      <c r="S574" s="550"/>
      <c r="T574" s="551">
        <v>45139</v>
      </c>
      <c r="U574" s="546" t="s">
        <v>1646</v>
      </c>
      <c r="V574" s="552"/>
      <c r="W574" s="448"/>
      <c r="X574" s="458"/>
      <c r="Y574" s="458"/>
      <c r="Z574" s="458"/>
      <c r="AA574" s="458"/>
      <c r="AB574" s="458"/>
      <c r="AC574" s="458"/>
      <c r="AD574" s="458"/>
      <c r="AE574" s="458"/>
      <c r="AF574" s="458"/>
      <c r="AG574" s="458"/>
      <c r="AH574" s="458"/>
      <c r="AI574" s="458"/>
      <c r="AJ574" s="458"/>
      <c r="AK574" s="458"/>
      <c r="AL574" s="458"/>
      <c r="AM574" s="458"/>
      <c r="AN574" s="458"/>
      <c r="AO574" s="458"/>
      <c r="AP574" s="458"/>
      <c r="AQ574" s="458"/>
      <c r="AR574" s="458"/>
      <c r="AS574" s="458"/>
      <c r="AT574" s="458"/>
      <c r="AU574" s="458"/>
      <c r="AV574" s="458"/>
      <c r="AW574" s="458"/>
      <c r="AX574" s="458"/>
      <c r="AY574" s="458"/>
      <c r="AZ574" s="458"/>
      <c r="BA574" s="458"/>
      <c r="BB574" s="458"/>
      <c r="BC574" s="458"/>
      <c r="BD574" s="458"/>
      <c r="BE574" s="458"/>
      <c r="BF574" s="458"/>
      <c r="BG574" s="458"/>
      <c r="BH574" s="458"/>
      <c r="BI574" s="458"/>
      <c r="BJ574" s="458"/>
      <c r="BK574" s="458"/>
      <c r="BL574" s="458"/>
      <c r="BM574" s="458"/>
      <c r="BN574" s="458"/>
      <c r="BO574" s="458"/>
      <c r="BP574" s="458"/>
      <c r="BQ574" s="458"/>
      <c r="BR574" s="458"/>
      <c r="BS574" s="458"/>
      <c r="BT574" s="458"/>
      <c r="BU574" s="458"/>
      <c r="BV574" s="458"/>
      <c r="BW574" s="458"/>
      <c r="BX574" s="458"/>
      <c r="BY574" s="458"/>
      <c r="BZ574" s="458"/>
      <c r="CA574" s="458"/>
      <c r="CB574" s="458"/>
      <c r="CC574" s="458"/>
      <c r="CD574" s="458"/>
      <c r="CE574" s="458"/>
      <c r="CF574" s="458"/>
      <c r="CG574" s="458"/>
      <c r="CH574" s="458"/>
      <c r="CI574" s="458"/>
      <c r="CJ574" s="458"/>
      <c r="CK574" s="458"/>
      <c r="CL574" s="458"/>
      <c r="CM574" s="458"/>
      <c r="CN574" s="458"/>
      <c r="CO574" s="458"/>
      <c r="CP574" s="458"/>
      <c r="CQ574" s="458"/>
      <c r="CR574" s="458"/>
      <c r="CS574" s="458"/>
      <c r="CT574" s="458"/>
      <c r="CU574" s="458"/>
      <c r="CV574" s="458"/>
      <c r="CW574" s="458"/>
      <c r="CX574" s="458"/>
      <c r="CY574" s="458"/>
      <c r="CZ574" s="458"/>
      <c r="DA574" s="458"/>
      <c r="DB574" s="458"/>
      <c r="DC574" s="458"/>
      <c r="DD574" s="458"/>
      <c r="DE574" s="458"/>
      <c r="DF574" s="458"/>
      <c r="DG574" s="458"/>
      <c r="DH574" s="458"/>
      <c r="DI574" s="458"/>
      <c r="DJ574" s="458"/>
      <c r="DK574" s="458"/>
      <c r="DL574" s="458"/>
      <c r="DM574" s="458"/>
      <c r="DN574" s="458"/>
      <c r="DO574" s="458"/>
      <c r="DP574" s="458"/>
      <c r="DQ574" s="458"/>
      <c r="DR574" s="458"/>
      <c r="DS574" s="458"/>
      <c r="DT574" s="458"/>
      <c r="DU574" s="458"/>
      <c r="DV574" s="458"/>
      <c r="DW574" s="458"/>
      <c r="DX574" s="458"/>
      <c r="DY574" s="458"/>
      <c r="DZ574" s="458"/>
      <c r="EA574" s="458"/>
      <c r="EB574" s="458"/>
      <c r="EC574" s="458"/>
      <c r="ED574" s="458"/>
      <c r="EE574" s="458"/>
      <c r="EF574" s="458"/>
      <c r="EG574" s="458"/>
      <c r="EH574" s="458"/>
      <c r="EI574" s="458"/>
      <c r="EJ574" s="458"/>
      <c r="EK574" s="458"/>
      <c r="EL574" s="458"/>
      <c r="EM574" s="458"/>
      <c r="EN574" s="458"/>
      <c r="EO574" s="458"/>
      <c r="EP574" s="458"/>
      <c r="EQ574" s="458"/>
      <c r="ER574" s="458"/>
      <c r="ES574" s="458"/>
      <c r="ET574" s="458"/>
      <c r="EU574" s="458"/>
      <c r="EV574" s="458"/>
      <c r="EW574" s="458"/>
      <c r="EX574" s="458"/>
      <c r="EY574" s="458"/>
      <c r="EZ574" s="458"/>
      <c r="FA574" s="458"/>
      <c r="FB574" s="458"/>
      <c r="FC574" s="458"/>
      <c r="FD574" s="458"/>
      <c r="FE574" s="458"/>
      <c r="FF574" s="458"/>
      <c r="FG574" s="458"/>
      <c r="FH574" s="458"/>
      <c r="FI574" s="458"/>
      <c r="FJ574" s="458"/>
      <c r="FK574" s="458"/>
      <c r="FL574" s="458"/>
      <c r="FM574" s="458"/>
      <c r="FN574" s="458"/>
      <c r="FO574" s="458"/>
      <c r="FP574" s="458"/>
      <c r="FQ574" s="458"/>
      <c r="FR574" s="458"/>
      <c r="FS574" s="458"/>
      <c r="FT574" s="458"/>
      <c r="FU574" s="458"/>
      <c r="FV574" s="458"/>
      <c r="FW574" s="458"/>
      <c r="FX574" s="458"/>
      <c r="FY574" s="458"/>
      <c r="FZ574" s="458"/>
      <c r="GA574" s="458"/>
      <c r="GB574" s="458"/>
      <c r="GC574" s="458"/>
      <c r="GD574" s="458"/>
      <c r="GE574" s="458"/>
      <c r="GF574" s="458"/>
      <c r="GG574" s="458"/>
      <c r="GH574" s="458"/>
      <c r="GI574" s="458"/>
      <c r="GJ574" s="458"/>
      <c r="GK574" s="458"/>
      <c r="GL574" s="458"/>
      <c r="GM574" s="458"/>
      <c r="GN574" s="458"/>
      <c r="GO574" s="458"/>
      <c r="GP574" s="458"/>
      <c r="GQ574" s="458"/>
      <c r="GR574" s="458"/>
      <c r="GS574" s="458"/>
      <c r="GT574" s="458"/>
      <c r="GU574" s="458"/>
      <c r="GV574" s="458"/>
      <c r="GW574" s="458"/>
      <c r="GX574" s="458"/>
      <c r="GY574" s="458"/>
      <c r="GZ574" s="458"/>
      <c r="HA574" s="458"/>
      <c r="HB574" s="458"/>
      <c r="HC574" s="458"/>
      <c r="HD574" s="458"/>
      <c r="HE574" s="458"/>
      <c r="HF574" s="458"/>
      <c r="HG574" s="458"/>
      <c r="HH574" s="458"/>
      <c r="HI574" s="458"/>
      <c r="HJ574" s="458"/>
      <c r="HK574" s="458"/>
      <c r="HL574" s="458"/>
      <c r="HM574" s="458"/>
      <c r="HN574" s="458"/>
      <c r="HO574" s="458"/>
      <c r="HP574" s="458"/>
      <c r="HQ574" s="458"/>
      <c r="HR574" s="458"/>
      <c r="HS574" s="458"/>
      <c r="HT574" s="458"/>
      <c r="HU574" s="458"/>
      <c r="HV574" s="458"/>
      <c r="HW574" s="458"/>
      <c r="HX574" s="458"/>
      <c r="HY574" s="458"/>
      <c r="HZ574" s="458"/>
      <c r="IA574" s="458"/>
      <c r="IB574" s="458"/>
      <c r="IC574" s="458"/>
      <c r="ID574" s="458"/>
      <c r="IE574" s="458"/>
      <c r="IF574" s="458"/>
      <c r="IG574" s="458"/>
      <c r="IH574" s="458"/>
      <c r="II574" s="458"/>
      <c r="IJ574" s="458"/>
      <c r="IK574" s="458"/>
      <c r="IL574" s="458"/>
      <c r="IM574" s="458"/>
      <c r="IN574" s="458"/>
      <c r="IO574" s="458"/>
      <c r="IP574" s="458"/>
      <c r="IQ574" s="458"/>
      <c r="IR574" s="458"/>
      <c r="IS574" s="458"/>
    </row>
    <row r="575" spans="1:253" s="455" customFormat="1" ht="33.75" x14ac:dyDescent="0.2">
      <c r="A575" s="184">
        <v>17892</v>
      </c>
      <c r="B575" s="542" t="s">
        <v>51</v>
      </c>
      <c r="C575" s="542" t="s">
        <v>52</v>
      </c>
      <c r="D575" s="542" t="s">
        <v>366</v>
      </c>
      <c r="E575" s="542"/>
      <c r="F575" s="543"/>
      <c r="G575" s="544">
        <v>107</v>
      </c>
      <c r="H575" s="542">
        <v>133</v>
      </c>
      <c r="I575" s="542">
        <v>1</v>
      </c>
      <c r="J575" s="542">
        <v>2</v>
      </c>
      <c r="K575" s="545">
        <v>4</v>
      </c>
      <c r="L575" s="542" t="s">
        <v>822</v>
      </c>
      <c r="M575" s="542">
        <v>3</v>
      </c>
      <c r="N575" s="542" t="s">
        <v>206</v>
      </c>
      <c r="O575" s="547" t="s">
        <v>2289</v>
      </c>
      <c r="P575" s="548"/>
      <c r="Q575" s="549"/>
      <c r="R575" s="549"/>
      <c r="S575" s="550"/>
      <c r="T575" s="551">
        <v>45139</v>
      </c>
      <c r="U575" s="546" t="s">
        <v>1646</v>
      </c>
      <c r="V575" s="552"/>
      <c r="W575" s="448"/>
      <c r="X575" s="458"/>
      <c r="Y575" s="458"/>
      <c r="Z575" s="458"/>
      <c r="AA575" s="458"/>
      <c r="AB575" s="458"/>
      <c r="AC575" s="458"/>
      <c r="AD575" s="458"/>
      <c r="AE575" s="458"/>
      <c r="AF575" s="458"/>
      <c r="AG575" s="458"/>
      <c r="AH575" s="458"/>
      <c r="AI575" s="458"/>
      <c r="AJ575" s="458"/>
      <c r="AK575" s="458"/>
      <c r="AL575" s="458"/>
      <c r="AM575" s="458"/>
      <c r="AN575" s="458"/>
      <c r="AO575" s="458"/>
      <c r="AP575" s="458"/>
      <c r="AQ575" s="458"/>
      <c r="AR575" s="458"/>
      <c r="AS575" s="458"/>
      <c r="AT575" s="458"/>
      <c r="AU575" s="458"/>
      <c r="AV575" s="458"/>
      <c r="AW575" s="458"/>
      <c r="AX575" s="458"/>
      <c r="AY575" s="458"/>
      <c r="AZ575" s="458"/>
      <c r="BA575" s="458"/>
      <c r="BB575" s="458"/>
      <c r="BC575" s="458"/>
      <c r="BD575" s="458"/>
      <c r="BE575" s="458"/>
      <c r="BF575" s="458"/>
      <c r="BG575" s="458"/>
      <c r="BH575" s="458"/>
      <c r="BI575" s="458"/>
      <c r="BJ575" s="458"/>
      <c r="BK575" s="458"/>
      <c r="BL575" s="458"/>
      <c r="BM575" s="458"/>
      <c r="BN575" s="458"/>
      <c r="BO575" s="458"/>
      <c r="BP575" s="458"/>
      <c r="BQ575" s="458"/>
      <c r="BR575" s="458"/>
      <c r="BS575" s="458"/>
      <c r="BT575" s="458"/>
      <c r="BU575" s="458"/>
      <c r="BV575" s="458"/>
      <c r="BW575" s="458"/>
      <c r="BX575" s="458"/>
      <c r="BY575" s="458"/>
      <c r="BZ575" s="458"/>
      <c r="CA575" s="458"/>
      <c r="CB575" s="458"/>
      <c r="CC575" s="458"/>
      <c r="CD575" s="458"/>
      <c r="CE575" s="458"/>
      <c r="CF575" s="458"/>
      <c r="CG575" s="458"/>
      <c r="CH575" s="458"/>
      <c r="CI575" s="458"/>
      <c r="CJ575" s="458"/>
      <c r="CK575" s="458"/>
      <c r="CL575" s="458"/>
      <c r="CM575" s="458"/>
      <c r="CN575" s="458"/>
      <c r="CO575" s="458"/>
      <c r="CP575" s="458"/>
      <c r="CQ575" s="458"/>
      <c r="CR575" s="458"/>
      <c r="CS575" s="458"/>
      <c r="CT575" s="458"/>
      <c r="CU575" s="458"/>
      <c r="CV575" s="458"/>
      <c r="CW575" s="458"/>
      <c r="CX575" s="458"/>
      <c r="CY575" s="458"/>
      <c r="CZ575" s="458"/>
      <c r="DA575" s="458"/>
      <c r="DB575" s="458"/>
      <c r="DC575" s="458"/>
      <c r="DD575" s="458"/>
      <c r="DE575" s="458"/>
      <c r="DF575" s="458"/>
      <c r="DG575" s="458"/>
      <c r="DH575" s="458"/>
      <c r="DI575" s="458"/>
      <c r="DJ575" s="458"/>
      <c r="DK575" s="458"/>
      <c r="DL575" s="458"/>
      <c r="DM575" s="458"/>
      <c r="DN575" s="458"/>
      <c r="DO575" s="458"/>
      <c r="DP575" s="458"/>
      <c r="DQ575" s="458"/>
      <c r="DR575" s="458"/>
      <c r="DS575" s="458"/>
      <c r="DT575" s="458"/>
      <c r="DU575" s="458"/>
      <c r="DV575" s="458"/>
      <c r="DW575" s="458"/>
      <c r="DX575" s="458"/>
      <c r="DY575" s="458"/>
      <c r="DZ575" s="458"/>
      <c r="EA575" s="458"/>
      <c r="EB575" s="458"/>
      <c r="EC575" s="458"/>
      <c r="ED575" s="458"/>
      <c r="EE575" s="458"/>
      <c r="EF575" s="458"/>
      <c r="EG575" s="458"/>
      <c r="EH575" s="458"/>
      <c r="EI575" s="458"/>
      <c r="EJ575" s="458"/>
      <c r="EK575" s="458"/>
      <c r="EL575" s="458"/>
      <c r="EM575" s="458"/>
      <c r="EN575" s="458"/>
      <c r="EO575" s="458"/>
      <c r="EP575" s="458"/>
      <c r="EQ575" s="458"/>
      <c r="ER575" s="458"/>
      <c r="ES575" s="458"/>
      <c r="ET575" s="458"/>
      <c r="EU575" s="458"/>
      <c r="EV575" s="458"/>
      <c r="EW575" s="458"/>
      <c r="EX575" s="458"/>
      <c r="EY575" s="458"/>
      <c r="EZ575" s="458"/>
      <c r="FA575" s="458"/>
      <c r="FB575" s="458"/>
      <c r="FC575" s="458"/>
      <c r="FD575" s="458"/>
      <c r="FE575" s="458"/>
      <c r="FF575" s="458"/>
      <c r="FG575" s="458"/>
      <c r="FH575" s="458"/>
      <c r="FI575" s="458"/>
      <c r="FJ575" s="458"/>
      <c r="FK575" s="458"/>
      <c r="FL575" s="458"/>
      <c r="FM575" s="458"/>
      <c r="FN575" s="458"/>
      <c r="FO575" s="458"/>
      <c r="FP575" s="458"/>
      <c r="FQ575" s="458"/>
      <c r="FR575" s="458"/>
      <c r="FS575" s="458"/>
      <c r="FT575" s="458"/>
      <c r="FU575" s="458"/>
      <c r="FV575" s="458"/>
      <c r="FW575" s="458"/>
      <c r="FX575" s="458"/>
      <c r="FY575" s="458"/>
      <c r="FZ575" s="458"/>
      <c r="GA575" s="458"/>
      <c r="GB575" s="458"/>
      <c r="GC575" s="458"/>
      <c r="GD575" s="458"/>
      <c r="GE575" s="458"/>
      <c r="GF575" s="458"/>
      <c r="GG575" s="458"/>
      <c r="GH575" s="458"/>
      <c r="GI575" s="458"/>
      <c r="GJ575" s="458"/>
      <c r="GK575" s="458"/>
      <c r="GL575" s="458"/>
      <c r="GM575" s="458"/>
      <c r="GN575" s="458"/>
      <c r="GO575" s="458"/>
      <c r="GP575" s="458"/>
      <c r="GQ575" s="458"/>
      <c r="GR575" s="458"/>
      <c r="GS575" s="458"/>
      <c r="GT575" s="458"/>
      <c r="GU575" s="458"/>
      <c r="GV575" s="458"/>
      <c r="GW575" s="458"/>
      <c r="GX575" s="458"/>
      <c r="GY575" s="458"/>
      <c r="GZ575" s="458"/>
      <c r="HA575" s="458"/>
      <c r="HB575" s="458"/>
      <c r="HC575" s="458"/>
      <c r="HD575" s="458"/>
      <c r="HE575" s="458"/>
      <c r="HF575" s="458"/>
      <c r="HG575" s="458"/>
      <c r="HH575" s="458"/>
      <c r="HI575" s="458"/>
      <c r="HJ575" s="458"/>
      <c r="HK575" s="458"/>
      <c r="HL575" s="458"/>
      <c r="HM575" s="458"/>
      <c r="HN575" s="458"/>
      <c r="HO575" s="458"/>
      <c r="HP575" s="458"/>
      <c r="HQ575" s="458"/>
      <c r="HR575" s="458"/>
      <c r="HS575" s="458"/>
      <c r="HT575" s="458"/>
      <c r="HU575" s="458"/>
      <c r="HV575" s="458"/>
      <c r="HW575" s="458"/>
      <c r="HX575" s="458"/>
      <c r="HY575" s="458"/>
      <c r="HZ575" s="458"/>
      <c r="IA575" s="458"/>
      <c r="IB575" s="458"/>
      <c r="IC575" s="458"/>
      <c r="ID575" s="458"/>
      <c r="IE575" s="458"/>
      <c r="IF575" s="458"/>
      <c r="IG575" s="458"/>
      <c r="IH575" s="458"/>
      <c r="II575" s="458"/>
      <c r="IJ575" s="458"/>
      <c r="IK575" s="458"/>
      <c r="IL575" s="458"/>
      <c r="IM575" s="458"/>
      <c r="IN575" s="458"/>
      <c r="IO575" s="458"/>
      <c r="IP575" s="458"/>
      <c r="IQ575" s="458"/>
      <c r="IR575" s="458"/>
      <c r="IS575" s="458"/>
    </row>
    <row r="576" spans="1:253" s="455" customFormat="1" ht="33.75" x14ac:dyDescent="0.2">
      <c r="A576" s="184">
        <v>17892</v>
      </c>
      <c r="B576" s="542" t="s">
        <v>51</v>
      </c>
      <c r="C576" s="542" t="s">
        <v>52</v>
      </c>
      <c r="D576" s="542" t="s">
        <v>366</v>
      </c>
      <c r="E576" s="542"/>
      <c r="F576" s="543"/>
      <c r="G576" s="544">
        <v>107</v>
      </c>
      <c r="H576" s="542">
        <v>133</v>
      </c>
      <c r="I576" s="542">
        <v>2</v>
      </c>
      <c r="J576" s="542">
        <v>2</v>
      </c>
      <c r="K576" s="545">
        <v>4</v>
      </c>
      <c r="L576" s="542" t="s">
        <v>822</v>
      </c>
      <c r="M576" s="542">
        <v>4</v>
      </c>
      <c r="N576" s="542" t="s">
        <v>206</v>
      </c>
      <c r="O576" s="547" t="s">
        <v>2290</v>
      </c>
      <c r="P576" s="548">
        <v>1.08</v>
      </c>
      <c r="Q576" s="549"/>
      <c r="R576" s="549"/>
      <c r="S576" s="550"/>
      <c r="T576" s="551">
        <v>45139</v>
      </c>
      <c r="U576" s="546" t="s">
        <v>1646</v>
      </c>
      <c r="V576" s="552"/>
      <c r="W576" s="448"/>
      <c r="X576" s="458"/>
      <c r="Y576" s="458"/>
      <c r="Z576" s="458"/>
      <c r="AA576" s="458"/>
      <c r="AB576" s="458"/>
      <c r="AC576" s="458"/>
      <c r="AD576" s="458"/>
      <c r="AE576" s="458"/>
      <c r="AF576" s="458"/>
      <c r="AG576" s="458"/>
      <c r="AH576" s="458"/>
      <c r="AI576" s="458"/>
      <c r="AJ576" s="458"/>
      <c r="AK576" s="458"/>
      <c r="AL576" s="458"/>
      <c r="AM576" s="458"/>
      <c r="AN576" s="458"/>
      <c r="AO576" s="458"/>
      <c r="AP576" s="458"/>
      <c r="AQ576" s="458"/>
      <c r="AR576" s="458"/>
      <c r="AS576" s="458"/>
      <c r="AT576" s="458"/>
      <c r="AU576" s="458"/>
      <c r="AV576" s="458"/>
      <c r="AW576" s="458"/>
      <c r="AX576" s="458"/>
      <c r="AY576" s="458"/>
      <c r="AZ576" s="458"/>
      <c r="BA576" s="458"/>
      <c r="BB576" s="458"/>
      <c r="BC576" s="458"/>
      <c r="BD576" s="458"/>
      <c r="BE576" s="458"/>
      <c r="BF576" s="458"/>
      <c r="BG576" s="458"/>
      <c r="BH576" s="458"/>
      <c r="BI576" s="458"/>
      <c r="BJ576" s="458"/>
      <c r="BK576" s="458"/>
      <c r="BL576" s="458"/>
      <c r="BM576" s="458"/>
      <c r="BN576" s="458"/>
      <c r="BO576" s="458"/>
      <c r="BP576" s="458"/>
      <c r="BQ576" s="458"/>
      <c r="BR576" s="458"/>
      <c r="BS576" s="458"/>
      <c r="BT576" s="458"/>
      <c r="BU576" s="458"/>
      <c r="BV576" s="458"/>
      <c r="BW576" s="458"/>
      <c r="BX576" s="458"/>
      <c r="BY576" s="458"/>
      <c r="BZ576" s="458"/>
      <c r="CA576" s="458"/>
      <c r="CB576" s="458"/>
      <c r="CC576" s="458"/>
      <c r="CD576" s="458"/>
      <c r="CE576" s="458"/>
      <c r="CF576" s="458"/>
      <c r="CG576" s="458"/>
      <c r="CH576" s="458"/>
      <c r="CI576" s="458"/>
      <c r="CJ576" s="458"/>
      <c r="CK576" s="458"/>
      <c r="CL576" s="458"/>
      <c r="CM576" s="458"/>
      <c r="CN576" s="458"/>
      <c r="CO576" s="458"/>
      <c r="CP576" s="458"/>
      <c r="CQ576" s="458"/>
      <c r="CR576" s="458"/>
      <c r="CS576" s="458"/>
      <c r="CT576" s="458"/>
      <c r="CU576" s="458"/>
      <c r="CV576" s="458"/>
      <c r="CW576" s="458"/>
      <c r="CX576" s="458"/>
      <c r="CY576" s="458"/>
      <c r="CZ576" s="458"/>
      <c r="DA576" s="458"/>
      <c r="DB576" s="458"/>
      <c r="DC576" s="458"/>
      <c r="DD576" s="458"/>
      <c r="DE576" s="458"/>
      <c r="DF576" s="458"/>
      <c r="DG576" s="458"/>
      <c r="DH576" s="458"/>
      <c r="DI576" s="458"/>
      <c r="DJ576" s="458"/>
      <c r="DK576" s="458"/>
      <c r="DL576" s="458"/>
      <c r="DM576" s="458"/>
      <c r="DN576" s="458"/>
      <c r="DO576" s="458"/>
      <c r="DP576" s="458"/>
      <c r="DQ576" s="458"/>
      <c r="DR576" s="458"/>
      <c r="DS576" s="458"/>
      <c r="DT576" s="458"/>
      <c r="DU576" s="458"/>
      <c r="DV576" s="458"/>
      <c r="DW576" s="458"/>
      <c r="DX576" s="458"/>
      <c r="DY576" s="458"/>
      <c r="DZ576" s="458"/>
      <c r="EA576" s="458"/>
      <c r="EB576" s="458"/>
      <c r="EC576" s="458"/>
      <c r="ED576" s="458"/>
      <c r="EE576" s="458"/>
      <c r="EF576" s="458"/>
      <c r="EG576" s="458"/>
      <c r="EH576" s="458"/>
      <c r="EI576" s="458"/>
      <c r="EJ576" s="458"/>
      <c r="EK576" s="458"/>
      <c r="EL576" s="458"/>
      <c r="EM576" s="458"/>
      <c r="EN576" s="458"/>
      <c r="EO576" s="458"/>
      <c r="EP576" s="458"/>
      <c r="EQ576" s="458"/>
      <c r="ER576" s="458"/>
      <c r="ES576" s="458"/>
      <c r="ET576" s="458"/>
      <c r="EU576" s="458"/>
      <c r="EV576" s="458"/>
      <c r="EW576" s="458"/>
      <c r="EX576" s="458"/>
      <c r="EY576" s="458"/>
      <c r="EZ576" s="458"/>
      <c r="FA576" s="458"/>
      <c r="FB576" s="458"/>
      <c r="FC576" s="458"/>
      <c r="FD576" s="458"/>
      <c r="FE576" s="458"/>
      <c r="FF576" s="458"/>
      <c r="FG576" s="458"/>
      <c r="FH576" s="458"/>
      <c r="FI576" s="458"/>
      <c r="FJ576" s="458"/>
      <c r="FK576" s="458"/>
      <c r="FL576" s="458"/>
      <c r="FM576" s="458"/>
      <c r="FN576" s="458"/>
      <c r="FO576" s="458"/>
      <c r="FP576" s="458"/>
      <c r="FQ576" s="458"/>
      <c r="FR576" s="458"/>
      <c r="FS576" s="458"/>
      <c r="FT576" s="458"/>
      <c r="FU576" s="458"/>
      <c r="FV576" s="458"/>
      <c r="FW576" s="458"/>
      <c r="FX576" s="458"/>
      <c r="FY576" s="458"/>
      <c r="FZ576" s="458"/>
      <c r="GA576" s="458"/>
      <c r="GB576" s="458"/>
      <c r="GC576" s="458"/>
      <c r="GD576" s="458"/>
      <c r="GE576" s="458"/>
      <c r="GF576" s="458"/>
      <c r="GG576" s="458"/>
      <c r="GH576" s="458"/>
      <c r="GI576" s="458"/>
      <c r="GJ576" s="458"/>
      <c r="GK576" s="458"/>
      <c r="GL576" s="458"/>
      <c r="GM576" s="458"/>
      <c r="GN576" s="458"/>
      <c r="GO576" s="458"/>
      <c r="GP576" s="458"/>
      <c r="GQ576" s="458"/>
      <c r="GR576" s="458"/>
      <c r="GS576" s="458"/>
      <c r="GT576" s="458"/>
      <c r="GU576" s="458"/>
      <c r="GV576" s="458"/>
      <c r="GW576" s="458"/>
      <c r="GX576" s="458"/>
      <c r="GY576" s="458"/>
      <c r="GZ576" s="458"/>
      <c r="HA576" s="458"/>
      <c r="HB576" s="458"/>
      <c r="HC576" s="458"/>
      <c r="HD576" s="458"/>
      <c r="HE576" s="458"/>
      <c r="HF576" s="458"/>
      <c r="HG576" s="458"/>
      <c r="HH576" s="458"/>
      <c r="HI576" s="458"/>
      <c r="HJ576" s="458"/>
      <c r="HK576" s="458"/>
      <c r="HL576" s="458"/>
      <c r="HM576" s="458"/>
      <c r="HN576" s="458"/>
      <c r="HO576" s="458"/>
      <c r="HP576" s="458"/>
      <c r="HQ576" s="458"/>
      <c r="HR576" s="458"/>
      <c r="HS576" s="458"/>
      <c r="HT576" s="458"/>
      <c r="HU576" s="458"/>
      <c r="HV576" s="458"/>
      <c r="HW576" s="458"/>
      <c r="HX576" s="458"/>
      <c r="HY576" s="458"/>
      <c r="HZ576" s="458"/>
      <c r="IA576" s="458"/>
      <c r="IB576" s="458"/>
      <c r="IC576" s="458"/>
      <c r="ID576" s="458"/>
      <c r="IE576" s="458"/>
      <c r="IF576" s="458"/>
      <c r="IG576" s="458"/>
      <c r="IH576" s="458"/>
      <c r="II576" s="458"/>
      <c r="IJ576" s="458"/>
      <c r="IK576" s="458"/>
      <c r="IL576" s="458"/>
      <c r="IM576" s="458"/>
      <c r="IN576" s="458"/>
      <c r="IO576" s="458"/>
      <c r="IP576" s="458"/>
      <c r="IQ576" s="458"/>
      <c r="IR576" s="458"/>
      <c r="IS576" s="458"/>
    </row>
    <row r="577" spans="1:253" s="455" customFormat="1" ht="33.75" x14ac:dyDescent="0.2">
      <c r="A577" s="184">
        <v>17892</v>
      </c>
      <c r="B577" s="542" t="s">
        <v>51</v>
      </c>
      <c r="C577" s="542" t="s">
        <v>52</v>
      </c>
      <c r="D577" s="542" t="s">
        <v>366</v>
      </c>
      <c r="E577" s="542"/>
      <c r="F577" s="543"/>
      <c r="G577" s="544">
        <v>107</v>
      </c>
      <c r="H577" s="542">
        <v>133</v>
      </c>
      <c r="I577" s="542">
        <v>1</v>
      </c>
      <c r="J577" s="542">
        <v>3</v>
      </c>
      <c r="K577" s="545">
        <v>4</v>
      </c>
      <c r="L577" s="542" t="s">
        <v>822</v>
      </c>
      <c r="M577" s="542">
        <v>3</v>
      </c>
      <c r="N577" s="542" t="s">
        <v>1647</v>
      </c>
      <c r="O577" s="547" t="s">
        <v>2287</v>
      </c>
      <c r="P577" s="548"/>
      <c r="Q577" s="549"/>
      <c r="R577" s="549"/>
      <c r="S577" s="550"/>
      <c r="T577" s="551">
        <v>45139</v>
      </c>
      <c r="U577" s="546" t="s">
        <v>1646</v>
      </c>
      <c r="V577" s="552"/>
      <c r="W577" s="448"/>
      <c r="X577" s="458"/>
      <c r="Y577" s="458"/>
      <c r="Z577" s="458"/>
      <c r="AA577" s="458"/>
      <c r="AB577" s="458"/>
      <c r="AC577" s="458"/>
      <c r="AD577" s="458"/>
      <c r="AE577" s="458"/>
      <c r="AF577" s="458"/>
      <c r="AG577" s="458"/>
      <c r="AH577" s="458"/>
      <c r="AI577" s="458"/>
      <c r="AJ577" s="458"/>
      <c r="AK577" s="458"/>
      <c r="AL577" s="458"/>
      <c r="AM577" s="458"/>
      <c r="AN577" s="458"/>
      <c r="AO577" s="458"/>
      <c r="AP577" s="458"/>
      <c r="AQ577" s="458"/>
      <c r="AR577" s="458"/>
      <c r="AS577" s="458"/>
      <c r="AT577" s="458"/>
      <c r="AU577" s="458"/>
      <c r="AV577" s="458"/>
      <c r="AW577" s="458"/>
      <c r="AX577" s="458"/>
      <c r="AY577" s="458"/>
      <c r="AZ577" s="458"/>
      <c r="BA577" s="458"/>
      <c r="BB577" s="458"/>
      <c r="BC577" s="458"/>
      <c r="BD577" s="458"/>
      <c r="BE577" s="458"/>
      <c r="BF577" s="458"/>
      <c r="BG577" s="458"/>
      <c r="BH577" s="458"/>
      <c r="BI577" s="458"/>
      <c r="BJ577" s="458"/>
      <c r="BK577" s="458"/>
      <c r="BL577" s="458"/>
      <c r="BM577" s="458"/>
      <c r="BN577" s="458"/>
      <c r="BO577" s="458"/>
      <c r="BP577" s="458"/>
      <c r="BQ577" s="458"/>
      <c r="BR577" s="458"/>
      <c r="BS577" s="458"/>
      <c r="BT577" s="458"/>
      <c r="BU577" s="458"/>
      <c r="BV577" s="458"/>
      <c r="BW577" s="458"/>
      <c r="BX577" s="458"/>
      <c r="BY577" s="458"/>
      <c r="BZ577" s="458"/>
      <c r="CA577" s="458"/>
      <c r="CB577" s="458"/>
      <c r="CC577" s="458"/>
      <c r="CD577" s="458"/>
      <c r="CE577" s="458"/>
      <c r="CF577" s="458"/>
      <c r="CG577" s="458"/>
      <c r="CH577" s="458"/>
      <c r="CI577" s="458"/>
      <c r="CJ577" s="458"/>
      <c r="CK577" s="458"/>
      <c r="CL577" s="458"/>
      <c r="CM577" s="458"/>
      <c r="CN577" s="458"/>
      <c r="CO577" s="458"/>
      <c r="CP577" s="458"/>
      <c r="CQ577" s="458"/>
      <c r="CR577" s="458"/>
      <c r="CS577" s="458"/>
      <c r="CT577" s="458"/>
      <c r="CU577" s="458"/>
      <c r="CV577" s="458"/>
      <c r="CW577" s="458"/>
      <c r="CX577" s="458"/>
      <c r="CY577" s="458"/>
      <c r="CZ577" s="458"/>
      <c r="DA577" s="458"/>
      <c r="DB577" s="458"/>
      <c r="DC577" s="458"/>
      <c r="DD577" s="458"/>
      <c r="DE577" s="458"/>
      <c r="DF577" s="458"/>
      <c r="DG577" s="458"/>
      <c r="DH577" s="458"/>
      <c r="DI577" s="458"/>
      <c r="DJ577" s="458"/>
      <c r="DK577" s="458"/>
      <c r="DL577" s="458"/>
      <c r="DM577" s="458"/>
      <c r="DN577" s="458"/>
      <c r="DO577" s="458"/>
      <c r="DP577" s="458"/>
      <c r="DQ577" s="458"/>
      <c r="DR577" s="458"/>
      <c r="DS577" s="458"/>
      <c r="DT577" s="458"/>
      <c r="DU577" s="458"/>
      <c r="DV577" s="458"/>
      <c r="DW577" s="458"/>
      <c r="DX577" s="458"/>
      <c r="DY577" s="458"/>
      <c r="DZ577" s="458"/>
      <c r="EA577" s="458"/>
      <c r="EB577" s="458"/>
      <c r="EC577" s="458"/>
      <c r="ED577" s="458"/>
      <c r="EE577" s="458"/>
      <c r="EF577" s="458"/>
      <c r="EG577" s="458"/>
      <c r="EH577" s="458"/>
      <c r="EI577" s="458"/>
      <c r="EJ577" s="458"/>
      <c r="EK577" s="458"/>
      <c r="EL577" s="458"/>
      <c r="EM577" s="458"/>
      <c r="EN577" s="458"/>
      <c r="EO577" s="458"/>
      <c r="EP577" s="458"/>
      <c r="EQ577" s="458"/>
      <c r="ER577" s="458"/>
      <c r="ES577" s="458"/>
      <c r="ET577" s="458"/>
      <c r="EU577" s="458"/>
      <c r="EV577" s="458"/>
      <c r="EW577" s="458"/>
      <c r="EX577" s="458"/>
      <c r="EY577" s="458"/>
      <c r="EZ577" s="458"/>
      <c r="FA577" s="458"/>
      <c r="FB577" s="458"/>
      <c r="FC577" s="458"/>
      <c r="FD577" s="458"/>
      <c r="FE577" s="458"/>
      <c r="FF577" s="458"/>
      <c r="FG577" s="458"/>
      <c r="FH577" s="458"/>
      <c r="FI577" s="458"/>
      <c r="FJ577" s="458"/>
      <c r="FK577" s="458"/>
      <c r="FL577" s="458"/>
      <c r="FM577" s="458"/>
      <c r="FN577" s="458"/>
      <c r="FO577" s="458"/>
      <c r="FP577" s="458"/>
      <c r="FQ577" s="458"/>
      <c r="FR577" s="458"/>
      <c r="FS577" s="458"/>
      <c r="FT577" s="458"/>
      <c r="FU577" s="458"/>
      <c r="FV577" s="458"/>
      <c r="FW577" s="458"/>
      <c r="FX577" s="458"/>
      <c r="FY577" s="458"/>
      <c r="FZ577" s="458"/>
      <c r="GA577" s="458"/>
      <c r="GB577" s="458"/>
      <c r="GC577" s="458"/>
      <c r="GD577" s="458"/>
      <c r="GE577" s="458"/>
      <c r="GF577" s="458"/>
      <c r="GG577" s="458"/>
      <c r="GH577" s="458"/>
      <c r="GI577" s="458"/>
      <c r="GJ577" s="458"/>
      <c r="GK577" s="458"/>
      <c r="GL577" s="458"/>
      <c r="GM577" s="458"/>
      <c r="GN577" s="458"/>
      <c r="GO577" s="458"/>
      <c r="GP577" s="458"/>
      <c r="GQ577" s="458"/>
      <c r="GR577" s="458"/>
      <c r="GS577" s="458"/>
      <c r="GT577" s="458"/>
      <c r="GU577" s="458"/>
      <c r="GV577" s="458"/>
      <c r="GW577" s="458"/>
      <c r="GX577" s="458"/>
      <c r="GY577" s="458"/>
      <c r="GZ577" s="458"/>
      <c r="HA577" s="458"/>
      <c r="HB577" s="458"/>
      <c r="HC577" s="458"/>
      <c r="HD577" s="458"/>
      <c r="HE577" s="458"/>
      <c r="HF577" s="458"/>
      <c r="HG577" s="458"/>
      <c r="HH577" s="458"/>
      <c r="HI577" s="458"/>
      <c r="HJ577" s="458"/>
      <c r="HK577" s="458"/>
      <c r="HL577" s="458"/>
      <c r="HM577" s="458"/>
      <c r="HN577" s="458"/>
      <c r="HO577" s="458"/>
      <c r="HP577" s="458"/>
      <c r="HQ577" s="458"/>
      <c r="HR577" s="458"/>
      <c r="HS577" s="458"/>
      <c r="HT577" s="458"/>
      <c r="HU577" s="458"/>
      <c r="HV577" s="458"/>
      <c r="HW577" s="458"/>
      <c r="HX577" s="458"/>
      <c r="HY577" s="458"/>
      <c r="HZ577" s="458"/>
      <c r="IA577" s="458"/>
      <c r="IB577" s="458"/>
      <c r="IC577" s="458"/>
      <c r="ID577" s="458"/>
      <c r="IE577" s="458"/>
      <c r="IF577" s="458"/>
      <c r="IG577" s="458"/>
      <c r="IH577" s="458"/>
      <c r="II577" s="458"/>
      <c r="IJ577" s="458"/>
      <c r="IK577" s="458"/>
      <c r="IL577" s="458"/>
      <c r="IM577" s="458"/>
      <c r="IN577" s="458"/>
      <c r="IO577" s="458"/>
      <c r="IP577" s="458"/>
      <c r="IQ577" s="458"/>
      <c r="IR577" s="458"/>
      <c r="IS577" s="458"/>
    </row>
    <row r="578" spans="1:253" s="455" customFormat="1" ht="33.75" x14ac:dyDescent="0.2">
      <c r="A578" s="184">
        <v>17892</v>
      </c>
      <c r="B578" s="542" t="s">
        <v>51</v>
      </c>
      <c r="C578" s="542" t="s">
        <v>52</v>
      </c>
      <c r="D578" s="542" t="s">
        <v>366</v>
      </c>
      <c r="E578" s="542"/>
      <c r="F578" s="543"/>
      <c r="G578" s="544">
        <v>107</v>
      </c>
      <c r="H578" s="542">
        <v>133</v>
      </c>
      <c r="I578" s="542">
        <v>2</v>
      </c>
      <c r="J578" s="542">
        <v>3</v>
      </c>
      <c r="K578" s="545">
        <v>4</v>
      </c>
      <c r="L578" s="542" t="s">
        <v>822</v>
      </c>
      <c r="M578" s="542">
        <v>3</v>
      </c>
      <c r="N578" s="542" t="s">
        <v>1647</v>
      </c>
      <c r="O578" s="547" t="s">
        <v>2288</v>
      </c>
      <c r="P578" s="548">
        <v>1.85</v>
      </c>
      <c r="Q578" s="549"/>
      <c r="R578" s="549"/>
      <c r="S578" s="550"/>
      <c r="T578" s="551">
        <v>45139</v>
      </c>
      <c r="U578" s="546" t="s">
        <v>1646</v>
      </c>
      <c r="V578" s="552"/>
      <c r="W578" s="448"/>
      <c r="X578" s="458"/>
      <c r="Y578" s="458"/>
      <c r="Z578" s="458"/>
      <c r="AA578" s="458"/>
      <c r="AB578" s="458"/>
      <c r="AC578" s="458"/>
      <c r="AD578" s="458"/>
      <c r="AE578" s="458"/>
      <c r="AF578" s="458"/>
      <c r="AG578" s="458"/>
      <c r="AH578" s="458"/>
      <c r="AI578" s="458"/>
      <c r="AJ578" s="458"/>
      <c r="AK578" s="458"/>
      <c r="AL578" s="458"/>
      <c r="AM578" s="458"/>
      <c r="AN578" s="458"/>
      <c r="AO578" s="458"/>
      <c r="AP578" s="458"/>
      <c r="AQ578" s="458"/>
      <c r="AR578" s="458"/>
      <c r="AS578" s="458"/>
      <c r="AT578" s="458"/>
      <c r="AU578" s="458"/>
      <c r="AV578" s="458"/>
      <c r="AW578" s="458"/>
      <c r="AX578" s="458"/>
      <c r="AY578" s="458"/>
      <c r="AZ578" s="458"/>
      <c r="BA578" s="458"/>
      <c r="BB578" s="458"/>
      <c r="BC578" s="458"/>
      <c r="BD578" s="458"/>
      <c r="BE578" s="458"/>
      <c r="BF578" s="458"/>
      <c r="BG578" s="458"/>
      <c r="BH578" s="458"/>
      <c r="BI578" s="458"/>
      <c r="BJ578" s="458"/>
      <c r="BK578" s="458"/>
      <c r="BL578" s="458"/>
      <c r="BM578" s="458"/>
      <c r="BN578" s="458"/>
      <c r="BO578" s="458"/>
      <c r="BP578" s="458"/>
      <c r="BQ578" s="458"/>
      <c r="BR578" s="458"/>
      <c r="BS578" s="458"/>
      <c r="BT578" s="458"/>
      <c r="BU578" s="458"/>
      <c r="BV578" s="458"/>
      <c r="BW578" s="458"/>
      <c r="BX578" s="458"/>
      <c r="BY578" s="458"/>
      <c r="BZ578" s="458"/>
      <c r="CA578" s="458"/>
      <c r="CB578" s="458"/>
      <c r="CC578" s="458"/>
      <c r="CD578" s="458"/>
      <c r="CE578" s="458"/>
      <c r="CF578" s="458"/>
      <c r="CG578" s="458"/>
      <c r="CH578" s="458"/>
      <c r="CI578" s="458"/>
      <c r="CJ578" s="458"/>
      <c r="CK578" s="458"/>
      <c r="CL578" s="458"/>
      <c r="CM578" s="458"/>
      <c r="CN578" s="458"/>
      <c r="CO578" s="458"/>
      <c r="CP578" s="458"/>
      <c r="CQ578" s="458"/>
      <c r="CR578" s="458"/>
      <c r="CS578" s="458"/>
      <c r="CT578" s="458"/>
      <c r="CU578" s="458"/>
      <c r="CV578" s="458"/>
      <c r="CW578" s="458"/>
      <c r="CX578" s="458"/>
      <c r="CY578" s="458"/>
      <c r="CZ578" s="458"/>
      <c r="DA578" s="458"/>
      <c r="DB578" s="458"/>
      <c r="DC578" s="458"/>
      <c r="DD578" s="458"/>
      <c r="DE578" s="458"/>
      <c r="DF578" s="458"/>
      <c r="DG578" s="458"/>
      <c r="DH578" s="458"/>
      <c r="DI578" s="458"/>
      <c r="DJ578" s="458"/>
      <c r="DK578" s="458"/>
      <c r="DL578" s="458"/>
      <c r="DM578" s="458"/>
      <c r="DN578" s="458"/>
      <c r="DO578" s="458"/>
      <c r="DP578" s="458"/>
      <c r="DQ578" s="458"/>
      <c r="DR578" s="458"/>
      <c r="DS578" s="458"/>
      <c r="DT578" s="458"/>
      <c r="DU578" s="458"/>
      <c r="DV578" s="458"/>
      <c r="DW578" s="458"/>
      <c r="DX578" s="458"/>
      <c r="DY578" s="458"/>
      <c r="DZ578" s="458"/>
      <c r="EA578" s="458"/>
      <c r="EB578" s="458"/>
      <c r="EC578" s="458"/>
      <c r="ED578" s="458"/>
      <c r="EE578" s="458"/>
      <c r="EF578" s="458"/>
      <c r="EG578" s="458"/>
      <c r="EH578" s="458"/>
      <c r="EI578" s="458"/>
      <c r="EJ578" s="458"/>
      <c r="EK578" s="458"/>
      <c r="EL578" s="458"/>
      <c r="EM578" s="458"/>
      <c r="EN578" s="458"/>
      <c r="EO578" s="458"/>
      <c r="EP578" s="458"/>
      <c r="EQ578" s="458"/>
      <c r="ER578" s="458"/>
      <c r="ES578" s="458"/>
      <c r="ET578" s="458"/>
      <c r="EU578" s="458"/>
      <c r="EV578" s="458"/>
      <c r="EW578" s="458"/>
      <c r="EX578" s="458"/>
      <c r="EY578" s="458"/>
      <c r="EZ578" s="458"/>
      <c r="FA578" s="458"/>
      <c r="FB578" s="458"/>
      <c r="FC578" s="458"/>
      <c r="FD578" s="458"/>
      <c r="FE578" s="458"/>
      <c r="FF578" s="458"/>
      <c r="FG578" s="458"/>
      <c r="FH578" s="458"/>
      <c r="FI578" s="458"/>
      <c r="FJ578" s="458"/>
      <c r="FK578" s="458"/>
      <c r="FL578" s="458"/>
      <c r="FM578" s="458"/>
      <c r="FN578" s="458"/>
      <c r="FO578" s="458"/>
      <c r="FP578" s="458"/>
      <c r="FQ578" s="458"/>
      <c r="FR578" s="458"/>
      <c r="FS578" s="458"/>
      <c r="FT578" s="458"/>
      <c r="FU578" s="458"/>
      <c r="FV578" s="458"/>
      <c r="FW578" s="458"/>
      <c r="FX578" s="458"/>
      <c r="FY578" s="458"/>
      <c r="FZ578" s="458"/>
      <c r="GA578" s="458"/>
      <c r="GB578" s="458"/>
      <c r="GC578" s="458"/>
      <c r="GD578" s="458"/>
      <c r="GE578" s="458"/>
      <c r="GF578" s="458"/>
      <c r="GG578" s="458"/>
      <c r="GH578" s="458"/>
      <c r="GI578" s="458"/>
      <c r="GJ578" s="458"/>
      <c r="GK578" s="458"/>
      <c r="GL578" s="458"/>
      <c r="GM578" s="458"/>
      <c r="GN578" s="458"/>
      <c r="GO578" s="458"/>
      <c r="GP578" s="458"/>
      <c r="GQ578" s="458"/>
      <c r="GR578" s="458"/>
      <c r="GS578" s="458"/>
      <c r="GT578" s="458"/>
      <c r="GU578" s="458"/>
      <c r="GV578" s="458"/>
      <c r="GW578" s="458"/>
      <c r="GX578" s="458"/>
      <c r="GY578" s="458"/>
      <c r="GZ578" s="458"/>
      <c r="HA578" s="458"/>
      <c r="HB578" s="458"/>
      <c r="HC578" s="458"/>
      <c r="HD578" s="458"/>
      <c r="HE578" s="458"/>
      <c r="HF578" s="458"/>
      <c r="HG578" s="458"/>
      <c r="HH578" s="458"/>
      <c r="HI578" s="458"/>
      <c r="HJ578" s="458"/>
      <c r="HK578" s="458"/>
      <c r="HL578" s="458"/>
      <c r="HM578" s="458"/>
      <c r="HN578" s="458"/>
      <c r="HO578" s="458"/>
      <c r="HP578" s="458"/>
      <c r="HQ578" s="458"/>
      <c r="HR578" s="458"/>
      <c r="HS578" s="458"/>
      <c r="HT578" s="458"/>
      <c r="HU578" s="458"/>
      <c r="HV578" s="458"/>
      <c r="HW578" s="458"/>
      <c r="HX578" s="458"/>
      <c r="HY578" s="458"/>
      <c r="HZ578" s="458"/>
      <c r="IA578" s="458"/>
      <c r="IB578" s="458"/>
      <c r="IC578" s="458"/>
      <c r="ID578" s="458"/>
      <c r="IE578" s="458"/>
      <c r="IF578" s="458"/>
      <c r="IG578" s="458"/>
      <c r="IH578" s="458"/>
      <c r="II578" s="458"/>
      <c r="IJ578" s="458"/>
      <c r="IK578" s="458"/>
      <c r="IL578" s="458"/>
      <c r="IM578" s="458"/>
      <c r="IN578" s="458"/>
      <c r="IO578" s="458"/>
      <c r="IP578" s="458"/>
      <c r="IQ578" s="458"/>
      <c r="IR578" s="458"/>
      <c r="IS578" s="458"/>
    </row>
    <row r="579" spans="1:253" s="458" customFormat="1" ht="33.75" x14ac:dyDescent="0.2">
      <c r="A579" s="184">
        <v>17892</v>
      </c>
      <c r="B579" s="542" t="s">
        <v>51</v>
      </c>
      <c r="C579" s="542" t="s">
        <v>52</v>
      </c>
      <c r="D579" s="542" t="s">
        <v>366</v>
      </c>
      <c r="E579" s="542"/>
      <c r="F579" s="543"/>
      <c r="G579" s="544">
        <v>107</v>
      </c>
      <c r="H579" s="542">
        <v>133</v>
      </c>
      <c r="I579" s="542">
        <v>1</v>
      </c>
      <c r="J579" s="542">
        <v>4</v>
      </c>
      <c r="K579" s="545">
        <v>4</v>
      </c>
      <c r="L579" s="542" t="s">
        <v>822</v>
      </c>
      <c r="M579" s="542">
        <v>3</v>
      </c>
      <c r="N579" s="542" t="s">
        <v>187</v>
      </c>
      <c r="O579" s="547" t="s">
        <v>2284</v>
      </c>
      <c r="P579" s="548">
        <v>5.46</v>
      </c>
      <c r="Q579" s="549"/>
      <c r="R579" s="549"/>
      <c r="S579" s="550"/>
      <c r="T579" s="551">
        <v>45139</v>
      </c>
      <c r="U579" s="546" t="s">
        <v>1646</v>
      </c>
      <c r="V579" s="552"/>
      <c r="W579" s="448"/>
    </row>
    <row r="580" spans="1:253" s="458" customFormat="1" ht="33.75" x14ac:dyDescent="0.2">
      <c r="A580" s="184">
        <v>17892</v>
      </c>
      <c r="B580" s="542" t="s">
        <v>51</v>
      </c>
      <c r="C580" s="542" t="s">
        <v>52</v>
      </c>
      <c r="D580" s="542" t="s">
        <v>366</v>
      </c>
      <c r="E580" s="542"/>
      <c r="F580" s="543"/>
      <c r="G580" s="544">
        <v>107</v>
      </c>
      <c r="H580" s="542">
        <v>133</v>
      </c>
      <c r="I580" s="542">
        <v>2</v>
      </c>
      <c r="J580" s="542">
        <v>4</v>
      </c>
      <c r="K580" s="545">
        <v>4</v>
      </c>
      <c r="L580" s="542" t="s">
        <v>822</v>
      </c>
      <c r="M580" s="542">
        <v>4</v>
      </c>
      <c r="N580" s="542" t="s">
        <v>187</v>
      </c>
      <c r="O580" s="547" t="s">
        <v>2285</v>
      </c>
      <c r="P580" s="548">
        <v>0.83599999999999997</v>
      </c>
      <c r="Q580" s="549"/>
      <c r="R580" s="549"/>
      <c r="S580" s="550"/>
      <c r="T580" s="551">
        <v>45139</v>
      </c>
      <c r="U580" s="546" t="s">
        <v>1646</v>
      </c>
      <c r="V580" s="552"/>
      <c r="W580" s="448"/>
    </row>
    <row r="581" spans="1:253" s="458" customFormat="1" ht="33.75" x14ac:dyDescent="0.2">
      <c r="A581" s="184">
        <v>17892</v>
      </c>
      <c r="B581" s="542" t="s">
        <v>51</v>
      </c>
      <c r="C581" s="542" t="s">
        <v>52</v>
      </c>
      <c r="D581" s="542" t="s">
        <v>366</v>
      </c>
      <c r="E581" s="542"/>
      <c r="F581" s="543"/>
      <c r="G581" s="544">
        <v>107</v>
      </c>
      <c r="H581" s="542">
        <v>133</v>
      </c>
      <c r="I581" s="542">
        <v>3</v>
      </c>
      <c r="J581" s="542">
        <v>4</v>
      </c>
      <c r="K581" s="545">
        <v>4</v>
      </c>
      <c r="L581" s="542" t="s">
        <v>822</v>
      </c>
      <c r="M581" s="542">
        <v>5</v>
      </c>
      <c r="N581" s="542" t="s">
        <v>187</v>
      </c>
      <c r="O581" s="547" t="s">
        <v>2286</v>
      </c>
      <c r="P581" s="548">
        <v>2.44</v>
      </c>
      <c r="Q581" s="549"/>
      <c r="R581" s="549"/>
      <c r="S581" s="550"/>
      <c r="T581" s="551">
        <v>45139</v>
      </c>
      <c r="U581" s="546" t="s">
        <v>1646</v>
      </c>
      <c r="V581" s="552"/>
      <c r="W581" s="448"/>
    </row>
    <row r="582" spans="1:253" s="458" customFormat="1" ht="56.25" x14ac:dyDescent="0.2">
      <c r="A582" s="438">
        <v>18993</v>
      </c>
      <c r="B582" s="445" t="s">
        <v>84</v>
      </c>
      <c r="C582" s="445" t="s">
        <v>85</v>
      </c>
      <c r="D582" s="445" t="s">
        <v>320</v>
      </c>
      <c r="E582" s="445"/>
      <c r="F582" s="445"/>
      <c r="G582" s="446">
        <v>102</v>
      </c>
      <c r="H582" s="445" t="s">
        <v>826</v>
      </c>
      <c r="I582" s="445"/>
      <c r="J582" s="445"/>
      <c r="K582" s="447"/>
      <c r="L582" s="445" t="s">
        <v>827</v>
      </c>
      <c r="M582" s="445">
        <v>3</v>
      </c>
      <c r="N582" s="445" t="s">
        <v>106</v>
      </c>
      <c r="O582" s="449" t="s">
        <v>1648</v>
      </c>
      <c r="P582" s="489">
        <v>4.2240000000000002</v>
      </c>
      <c r="Q582" s="451">
        <f t="shared" ref="Q582:Q609" si="18">P582</f>
        <v>4.2240000000000002</v>
      </c>
      <c r="R582" s="451">
        <f>SUMIF('Wege im Detail'!$A:$A,"18993",'Wege im Detail'!$P:$P)</f>
        <v>4.2240000000000002</v>
      </c>
      <c r="S582" s="452" t="s">
        <v>828</v>
      </c>
      <c r="T582" s="453">
        <v>43922</v>
      </c>
      <c r="U582" s="477" t="s">
        <v>1649</v>
      </c>
      <c r="V582" s="492" t="s">
        <v>1650</v>
      </c>
      <c r="W582" s="448"/>
      <c r="X582" s="455"/>
      <c r="Y582" s="455"/>
      <c r="Z582" s="455"/>
      <c r="AA582" s="455"/>
      <c r="AB582" s="455"/>
      <c r="AC582" s="455"/>
      <c r="AD582" s="455"/>
      <c r="AE582" s="455"/>
      <c r="AF582" s="455"/>
      <c r="AG582" s="455"/>
      <c r="AH582" s="455"/>
      <c r="AI582" s="455"/>
      <c r="AJ582" s="455"/>
      <c r="AK582" s="455"/>
      <c r="AL582" s="455"/>
      <c r="AM582" s="455"/>
      <c r="AN582" s="455"/>
      <c r="AO582" s="455"/>
      <c r="AP582" s="455"/>
      <c r="AQ582" s="455"/>
      <c r="AR582" s="455"/>
      <c r="AS582" s="455"/>
      <c r="AT582" s="455"/>
      <c r="AU582" s="455"/>
      <c r="AV582" s="455"/>
      <c r="AW582" s="455"/>
      <c r="AX582" s="455"/>
      <c r="AY582" s="455"/>
      <c r="AZ582" s="455"/>
      <c r="BA582" s="455"/>
      <c r="BB582" s="455"/>
      <c r="BC582" s="455"/>
      <c r="BD582" s="455"/>
      <c r="BE582" s="455"/>
      <c r="BF582" s="455"/>
      <c r="BG582" s="455"/>
      <c r="BH582" s="455"/>
      <c r="BI582" s="455"/>
      <c r="BJ582" s="455"/>
      <c r="BK582" s="455"/>
      <c r="BL582" s="455"/>
      <c r="BM582" s="455"/>
      <c r="BN582" s="455"/>
      <c r="BO582" s="455"/>
      <c r="BP582" s="455"/>
      <c r="BQ582" s="455"/>
      <c r="BR582" s="455"/>
      <c r="BS582" s="455"/>
      <c r="BT582" s="455"/>
      <c r="BU582" s="455"/>
      <c r="BV582" s="455"/>
      <c r="BW582" s="455"/>
      <c r="BX582" s="455"/>
      <c r="BY582" s="455"/>
      <c r="BZ582" s="455"/>
      <c r="CA582" s="455"/>
      <c r="CB582" s="455"/>
      <c r="CC582" s="455"/>
      <c r="CD582" s="455"/>
      <c r="CE582" s="455"/>
      <c r="CF582" s="455"/>
      <c r="CG582" s="455"/>
      <c r="CH582" s="455"/>
      <c r="CI582" s="455"/>
      <c r="CJ582" s="455"/>
      <c r="CK582" s="455"/>
      <c r="CL582" s="455"/>
      <c r="CM582" s="455"/>
      <c r="CN582" s="455"/>
      <c r="CO582" s="455"/>
      <c r="CP582" s="455"/>
      <c r="CQ582" s="455"/>
      <c r="CR582" s="455"/>
      <c r="CS582" s="455"/>
      <c r="CT582" s="455"/>
      <c r="CU582" s="455"/>
      <c r="CV582" s="455"/>
      <c r="CW582" s="455"/>
      <c r="CX582" s="455"/>
      <c r="CY582" s="455"/>
      <c r="CZ582" s="455"/>
      <c r="DA582" s="455"/>
      <c r="DB582" s="455"/>
      <c r="DC582" s="455"/>
      <c r="DD582" s="455"/>
      <c r="DE582" s="455"/>
      <c r="DF582" s="455"/>
      <c r="DG582" s="455"/>
      <c r="DH582" s="455"/>
      <c r="DI582" s="455"/>
      <c r="DJ582" s="455"/>
      <c r="DK582" s="455"/>
      <c r="DL582" s="455"/>
      <c r="DM582" s="455"/>
      <c r="DN582" s="455"/>
      <c r="DO582" s="455"/>
      <c r="DP582" s="455"/>
      <c r="DQ582" s="455"/>
      <c r="DR582" s="455"/>
      <c r="DS582" s="455"/>
      <c r="DT582" s="455"/>
      <c r="DU582" s="455"/>
      <c r="DV582" s="455"/>
      <c r="DW582" s="455"/>
      <c r="DX582" s="455"/>
      <c r="DY582" s="455"/>
      <c r="DZ582" s="455"/>
      <c r="EA582" s="455"/>
      <c r="EB582" s="455"/>
      <c r="EC582" s="455"/>
      <c r="ED582" s="455"/>
      <c r="EE582" s="455"/>
      <c r="EF582" s="455"/>
      <c r="EG582" s="455"/>
      <c r="EH582" s="455"/>
      <c r="EI582" s="455"/>
      <c r="EJ582" s="455"/>
      <c r="EK582" s="455"/>
      <c r="EL582" s="455"/>
      <c r="EM582" s="455"/>
      <c r="EN582" s="455"/>
      <c r="EO582" s="455"/>
      <c r="EP582" s="455"/>
      <c r="EQ582" s="455"/>
      <c r="ER582" s="455"/>
      <c r="ES582" s="455"/>
      <c r="ET582" s="455"/>
      <c r="EU582" s="455"/>
      <c r="EV582" s="455"/>
      <c r="EW582" s="455"/>
      <c r="EX582" s="455"/>
      <c r="EY582" s="455"/>
      <c r="EZ582" s="455"/>
      <c r="FA582" s="455"/>
      <c r="FB582" s="455"/>
      <c r="FC582" s="455"/>
      <c r="FD582" s="455"/>
      <c r="FE582" s="455"/>
      <c r="FF582" s="455"/>
      <c r="FG582" s="455"/>
      <c r="FH582" s="455"/>
      <c r="FI582" s="455"/>
      <c r="FJ582" s="455"/>
      <c r="FK582" s="455"/>
      <c r="FL582" s="455"/>
      <c r="FM582" s="455"/>
      <c r="FN582" s="455"/>
      <c r="FO582" s="455"/>
      <c r="FP582" s="455"/>
      <c r="FQ582" s="455"/>
      <c r="FR582" s="455"/>
      <c r="FS582" s="455"/>
      <c r="FT582" s="455"/>
      <c r="FU582" s="455"/>
      <c r="FV582" s="455"/>
      <c r="FW582" s="455"/>
      <c r="FX582" s="455"/>
      <c r="FY582" s="455"/>
      <c r="FZ582" s="455"/>
      <c r="GA582" s="455"/>
      <c r="GB582" s="455"/>
      <c r="GC582" s="455"/>
      <c r="GD582" s="455"/>
      <c r="GE582" s="455"/>
      <c r="GF582" s="455"/>
      <c r="GG582" s="455"/>
      <c r="GH582" s="455"/>
      <c r="GI582" s="455"/>
      <c r="GJ582" s="455"/>
      <c r="GK582" s="455"/>
      <c r="GL582" s="455"/>
      <c r="GM582" s="455"/>
      <c r="GN582" s="455"/>
      <c r="GO582" s="455"/>
      <c r="GP582" s="455"/>
      <c r="GQ582" s="455"/>
      <c r="GR582" s="455"/>
      <c r="GS582" s="455"/>
      <c r="GT582" s="455"/>
      <c r="GU582" s="455"/>
      <c r="GV582" s="455"/>
      <c r="GW582" s="455"/>
      <c r="GX582" s="455"/>
      <c r="GY582" s="455"/>
      <c r="GZ582" s="455"/>
      <c r="HA582" s="455"/>
      <c r="HB582" s="455"/>
      <c r="HC582" s="455"/>
      <c r="HD582" s="455"/>
      <c r="HE582" s="455"/>
      <c r="HF582" s="455"/>
      <c r="HG582" s="455"/>
      <c r="HH582" s="455"/>
      <c r="HI582" s="455"/>
      <c r="HJ582" s="455"/>
      <c r="HK582" s="455"/>
      <c r="HL582" s="455"/>
      <c r="HM582" s="455"/>
      <c r="HN582" s="455"/>
      <c r="HO582" s="455"/>
      <c r="HP582" s="455"/>
      <c r="HQ582" s="455"/>
      <c r="HR582" s="455"/>
      <c r="HS582" s="455"/>
      <c r="HT582" s="455"/>
      <c r="HU582" s="455"/>
      <c r="HV582" s="455"/>
      <c r="HW582" s="455"/>
      <c r="HX582" s="455"/>
      <c r="HY582" s="455"/>
      <c r="HZ582" s="455"/>
      <c r="IA582" s="455"/>
      <c r="IB582" s="455"/>
      <c r="IC582" s="455"/>
      <c r="ID582" s="455"/>
      <c r="IE582" s="455"/>
      <c r="IF582" s="455"/>
      <c r="IG582" s="455"/>
      <c r="IH582" s="455"/>
      <c r="II582" s="455"/>
      <c r="IJ582" s="455"/>
      <c r="IK582" s="455"/>
      <c r="IL582" s="455"/>
      <c r="IM582" s="455"/>
      <c r="IN582" s="455"/>
      <c r="IO582" s="455"/>
      <c r="IP582" s="455"/>
      <c r="IQ582" s="455"/>
      <c r="IR582" s="455"/>
      <c r="IS582" s="455"/>
    </row>
    <row r="583" spans="1:253" s="455" customFormat="1" ht="45" x14ac:dyDescent="0.2">
      <c r="A583" s="444">
        <v>19021</v>
      </c>
      <c r="B583" s="445" t="s">
        <v>84</v>
      </c>
      <c r="C583" s="445" t="s">
        <v>85</v>
      </c>
      <c r="D583" s="445"/>
      <c r="E583" s="445"/>
      <c r="F583" s="481"/>
      <c r="G583" s="446">
        <v>227</v>
      </c>
      <c r="H583" s="445" t="s">
        <v>829</v>
      </c>
      <c r="I583" s="445"/>
      <c r="J583" s="445"/>
      <c r="K583" s="447"/>
      <c r="L583" s="445" t="s">
        <v>830</v>
      </c>
      <c r="M583" s="445">
        <v>5</v>
      </c>
      <c r="N583" s="445" t="s">
        <v>72</v>
      </c>
      <c r="O583" s="449" t="s">
        <v>1651</v>
      </c>
      <c r="P583" s="450">
        <v>2.4430000000000001</v>
      </c>
      <c r="Q583" s="451">
        <f t="shared" si="18"/>
        <v>2.4430000000000001</v>
      </c>
      <c r="R583" s="451">
        <f>SUMIF('Wege im Detail'!$A:$A,"19021",'Wege im Detail'!$P:$P)</f>
        <v>2.4430000000000001</v>
      </c>
      <c r="S583" s="452" t="s">
        <v>831</v>
      </c>
      <c r="T583" s="453">
        <v>43922</v>
      </c>
      <c r="U583" s="448"/>
      <c r="V583" s="476"/>
      <c r="W583" s="448"/>
      <c r="X583" s="458"/>
      <c r="Y583" s="458"/>
      <c r="Z583" s="458"/>
      <c r="AA583" s="458"/>
      <c r="AB583" s="458"/>
      <c r="AC583" s="458"/>
      <c r="AD583" s="458"/>
      <c r="AE583" s="458"/>
      <c r="AF583" s="458"/>
      <c r="AG583" s="458"/>
      <c r="AH583" s="458"/>
      <c r="AI583" s="458"/>
      <c r="AJ583" s="458"/>
      <c r="AK583" s="458"/>
      <c r="AL583" s="458"/>
      <c r="AM583" s="458"/>
      <c r="AN583" s="458"/>
      <c r="AO583" s="458"/>
      <c r="AP583" s="458"/>
      <c r="AQ583" s="458"/>
      <c r="AR583" s="458"/>
      <c r="AS583" s="458"/>
      <c r="AT583" s="458"/>
      <c r="AU583" s="458"/>
      <c r="AV583" s="458"/>
      <c r="AW583" s="458"/>
      <c r="AX583" s="458"/>
      <c r="AY583" s="458"/>
      <c r="AZ583" s="458"/>
      <c r="BA583" s="458"/>
      <c r="BB583" s="458"/>
      <c r="BC583" s="458"/>
      <c r="BD583" s="458"/>
      <c r="BE583" s="458"/>
      <c r="BF583" s="458"/>
      <c r="BG583" s="458"/>
      <c r="BH583" s="458"/>
      <c r="BI583" s="458"/>
      <c r="BJ583" s="458"/>
      <c r="BK583" s="458"/>
      <c r="BL583" s="458"/>
      <c r="BM583" s="458"/>
      <c r="BN583" s="458"/>
      <c r="BO583" s="458"/>
      <c r="BP583" s="458"/>
      <c r="BQ583" s="458"/>
      <c r="BR583" s="458"/>
      <c r="BS583" s="458"/>
      <c r="BT583" s="458"/>
      <c r="BU583" s="458"/>
      <c r="BV583" s="458"/>
      <c r="BW583" s="458"/>
      <c r="BX583" s="458"/>
      <c r="BY583" s="458"/>
      <c r="BZ583" s="458"/>
      <c r="CA583" s="458"/>
      <c r="CB583" s="458"/>
      <c r="CC583" s="458"/>
      <c r="CD583" s="458"/>
      <c r="CE583" s="458"/>
      <c r="CF583" s="458"/>
      <c r="CG583" s="458"/>
      <c r="CH583" s="458"/>
      <c r="CI583" s="458"/>
      <c r="CJ583" s="458"/>
      <c r="CK583" s="458"/>
      <c r="CL583" s="458"/>
      <c r="CM583" s="458"/>
      <c r="CN583" s="458"/>
      <c r="CO583" s="458"/>
      <c r="CP583" s="458"/>
      <c r="CQ583" s="458"/>
      <c r="CR583" s="458"/>
      <c r="CS583" s="458"/>
      <c r="CT583" s="458"/>
      <c r="CU583" s="458"/>
      <c r="CV583" s="458"/>
      <c r="CW583" s="458"/>
      <c r="CX583" s="458"/>
      <c r="CY583" s="458"/>
      <c r="CZ583" s="458"/>
      <c r="DA583" s="458"/>
      <c r="DB583" s="458"/>
      <c r="DC583" s="458"/>
      <c r="DD583" s="458"/>
      <c r="DE583" s="458"/>
      <c r="DF583" s="458"/>
      <c r="DG583" s="458"/>
      <c r="DH583" s="458"/>
      <c r="DI583" s="458"/>
      <c r="DJ583" s="458"/>
      <c r="DK583" s="458"/>
      <c r="DL583" s="458"/>
      <c r="DM583" s="458"/>
      <c r="DN583" s="458"/>
      <c r="DO583" s="458"/>
      <c r="DP583" s="458"/>
      <c r="DQ583" s="458"/>
      <c r="DR583" s="458"/>
      <c r="DS583" s="458"/>
      <c r="DT583" s="458"/>
      <c r="DU583" s="458"/>
      <c r="DV583" s="458"/>
      <c r="DW583" s="458"/>
      <c r="DX583" s="458"/>
      <c r="DY583" s="458"/>
      <c r="DZ583" s="458"/>
      <c r="EA583" s="458"/>
      <c r="EB583" s="458"/>
      <c r="EC583" s="458"/>
      <c r="ED583" s="458"/>
      <c r="EE583" s="458"/>
      <c r="EF583" s="458"/>
      <c r="EG583" s="458"/>
      <c r="EH583" s="458"/>
      <c r="EI583" s="458"/>
      <c r="EJ583" s="458"/>
      <c r="EK583" s="458"/>
      <c r="EL583" s="458"/>
      <c r="EM583" s="458"/>
      <c r="EN583" s="458"/>
      <c r="EO583" s="458"/>
      <c r="EP583" s="458"/>
      <c r="EQ583" s="458"/>
      <c r="ER583" s="458"/>
      <c r="ES583" s="458"/>
      <c r="ET583" s="458"/>
      <c r="EU583" s="458"/>
      <c r="EV583" s="458"/>
      <c r="EW583" s="458"/>
      <c r="EX583" s="458"/>
      <c r="EY583" s="458"/>
      <c r="EZ583" s="458"/>
      <c r="FA583" s="458"/>
      <c r="FB583" s="458"/>
      <c r="FC583" s="458"/>
      <c r="FD583" s="458"/>
      <c r="FE583" s="458"/>
      <c r="FF583" s="458"/>
      <c r="FG583" s="458"/>
      <c r="FH583" s="458"/>
      <c r="FI583" s="458"/>
      <c r="FJ583" s="458"/>
      <c r="FK583" s="458"/>
      <c r="FL583" s="458"/>
      <c r="FM583" s="458"/>
      <c r="FN583" s="458"/>
      <c r="FO583" s="458"/>
      <c r="FP583" s="458"/>
      <c r="FQ583" s="458"/>
      <c r="FR583" s="458"/>
      <c r="FS583" s="458"/>
      <c r="FT583" s="458"/>
      <c r="FU583" s="458"/>
      <c r="FV583" s="458"/>
      <c r="FW583" s="458"/>
      <c r="FX583" s="458"/>
      <c r="FY583" s="458"/>
      <c r="FZ583" s="458"/>
      <c r="GA583" s="458"/>
      <c r="GB583" s="458"/>
      <c r="GC583" s="458"/>
      <c r="GD583" s="458"/>
      <c r="GE583" s="458"/>
      <c r="GF583" s="458"/>
      <c r="GG583" s="458"/>
      <c r="GH583" s="458"/>
      <c r="GI583" s="458"/>
      <c r="GJ583" s="458"/>
      <c r="GK583" s="458"/>
      <c r="GL583" s="458"/>
      <c r="GM583" s="458"/>
      <c r="GN583" s="458"/>
      <c r="GO583" s="458"/>
      <c r="GP583" s="458"/>
      <c r="GQ583" s="458"/>
      <c r="GR583" s="458"/>
      <c r="GS583" s="458"/>
      <c r="GT583" s="458"/>
      <c r="GU583" s="458"/>
      <c r="GV583" s="458"/>
      <c r="GW583" s="458"/>
      <c r="GX583" s="458"/>
      <c r="GY583" s="458"/>
      <c r="GZ583" s="458"/>
      <c r="HA583" s="458"/>
      <c r="HB583" s="458"/>
      <c r="HC583" s="458"/>
      <c r="HD583" s="458"/>
      <c r="HE583" s="458"/>
      <c r="HF583" s="458"/>
      <c r="HG583" s="458"/>
      <c r="HH583" s="458"/>
      <c r="HI583" s="458"/>
      <c r="HJ583" s="458"/>
      <c r="HK583" s="458"/>
      <c r="HL583" s="458"/>
      <c r="HM583" s="458"/>
      <c r="HN583" s="458"/>
      <c r="HO583" s="458"/>
      <c r="HP583" s="458"/>
      <c r="HQ583" s="458"/>
      <c r="HR583" s="458"/>
      <c r="HS583" s="458"/>
      <c r="HT583" s="458"/>
      <c r="HU583" s="458"/>
      <c r="HV583" s="458"/>
      <c r="HW583" s="458"/>
      <c r="HX583" s="458"/>
      <c r="HY583" s="458"/>
      <c r="HZ583" s="458"/>
      <c r="IA583" s="458"/>
      <c r="IB583" s="458"/>
      <c r="IC583" s="458"/>
      <c r="ID583" s="458"/>
      <c r="IE583" s="458"/>
      <c r="IF583" s="458"/>
      <c r="IG583" s="458"/>
      <c r="IH583" s="458"/>
      <c r="II583" s="458"/>
      <c r="IJ583" s="458"/>
      <c r="IK583" s="458"/>
      <c r="IL583" s="458"/>
      <c r="IM583" s="458"/>
      <c r="IN583" s="458"/>
      <c r="IO583" s="458"/>
      <c r="IP583" s="458"/>
      <c r="IQ583" s="458"/>
      <c r="IR583" s="458"/>
      <c r="IS583" s="458"/>
    </row>
    <row r="584" spans="1:253" s="455" customFormat="1" ht="67.5" x14ac:dyDescent="0.2">
      <c r="A584" s="444">
        <v>19022</v>
      </c>
      <c r="B584" s="445" t="s">
        <v>84</v>
      </c>
      <c r="C584" s="445" t="s">
        <v>85</v>
      </c>
      <c r="D584" s="445" t="s">
        <v>320</v>
      </c>
      <c r="E584" s="445"/>
      <c r="F584" s="470"/>
      <c r="G584" s="446">
        <v>354</v>
      </c>
      <c r="H584" s="445" t="s">
        <v>832</v>
      </c>
      <c r="I584" s="445"/>
      <c r="J584" s="445"/>
      <c r="K584" s="447"/>
      <c r="L584" s="445" t="s">
        <v>833</v>
      </c>
      <c r="M584" s="445">
        <v>2</v>
      </c>
      <c r="N584" s="445" t="s">
        <v>834</v>
      </c>
      <c r="O584" s="464" t="s">
        <v>1652</v>
      </c>
      <c r="P584" s="450">
        <v>12.702999999999999</v>
      </c>
      <c r="Q584" s="451">
        <f t="shared" si="18"/>
        <v>12.702999999999999</v>
      </c>
      <c r="R584" s="451">
        <f>SUMIF('Wege im Detail'!$A:$A,"19022",'Wege im Detail'!$P:$P)</f>
        <v>12.702999999999999</v>
      </c>
      <c r="S584" s="452" t="s">
        <v>835</v>
      </c>
      <c r="T584" s="453">
        <v>43922</v>
      </c>
      <c r="U584" s="448"/>
      <c r="V584" s="458"/>
      <c r="W584" s="448"/>
      <c r="X584" s="456"/>
      <c r="Y584" s="456"/>
      <c r="Z584" s="456"/>
      <c r="AA584" s="456"/>
      <c r="AB584" s="456"/>
      <c r="AC584" s="456"/>
      <c r="AD584" s="456"/>
      <c r="AE584" s="456"/>
      <c r="AF584" s="456"/>
      <c r="AG584" s="456"/>
      <c r="AH584" s="456"/>
      <c r="AI584" s="456"/>
      <c r="AJ584" s="456"/>
      <c r="AK584" s="456"/>
      <c r="AL584" s="456"/>
      <c r="AM584" s="456"/>
      <c r="AN584" s="456"/>
      <c r="AO584" s="456"/>
      <c r="AP584" s="456"/>
      <c r="AQ584" s="456"/>
      <c r="AR584" s="456"/>
      <c r="AS584" s="456"/>
      <c r="AT584" s="456"/>
      <c r="AU584" s="456"/>
      <c r="AV584" s="456"/>
      <c r="AW584" s="456"/>
      <c r="AX584" s="456"/>
      <c r="AY584" s="456"/>
      <c r="AZ584" s="456"/>
      <c r="BA584" s="456"/>
      <c r="BB584" s="456"/>
      <c r="BC584" s="456"/>
      <c r="BD584" s="456"/>
      <c r="BE584" s="456"/>
      <c r="BF584" s="456"/>
      <c r="BG584" s="456"/>
      <c r="BH584" s="456"/>
      <c r="BI584" s="456"/>
      <c r="BJ584" s="456"/>
      <c r="BK584" s="456"/>
      <c r="BL584" s="456"/>
      <c r="BM584" s="456"/>
      <c r="BN584" s="456"/>
      <c r="BO584" s="456"/>
      <c r="BP584" s="456"/>
      <c r="BQ584" s="456"/>
      <c r="BR584" s="456"/>
      <c r="BS584" s="456"/>
      <c r="BT584" s="456"/>
      <c r="BU584" s="456"/>
      <c r="BV584" s="456"/>
      <c r="BW584" s="456"/>
      <c r="BX584" s="456"/>
      <c r="BY584" s="456"/>
      <c r="BZ584" s="456"/>
      <c r="CA584" s="456"/>
      <c r="CB584" s="456"/>
      <c r="CC584" s="456"/>
      <c r="CD584" s="456"/>
      <c r="CE584" s="456"/>
      <c r="CF584" s="456"/>
      <c r="CG584" s="456"/>
      <c r="CH584" s="456"/>
      <c r="CI584" s="456"/>
      <c r="CJ584" s="456"/>
      <c r="CK584" s="456"/>
      <c r="CL584" s="456"/>
      <c r="CM584" s="456"/>
      <c r="CN584" s="456"/>
      <c r="CO584" s="456"/>
      <c r="CP584" s="456"/>
      <c r="CQ584" s="456"/>
      <c r="CR584" s="456"/>
      <c r="CS584" s="456"/>
      <c r="CT584" s="456"/>
      <c r="CU584" s="456"/>
      <c r="CV584" s="456"/>
      <c r="CW584" s="456"/>
      <c r="CX584" s="456"/>
      <c r="CY584" s="456"/>
      <c r="CZ584" s="456"/>
      <c r="DA584" s="456"/>
      <c r="DB584" s="456"/>
      <c r="DC584" s="456"/>
      <c r="DD584" s="456"/>
      <c r="DE584" s="456"/>
      <c r="DF584" s="456"/>
      <c r="DG584" s="456"/>
      <c r="DH584" s="456"/>
      <c r="DI584" s="456"/>
      <c r="DJ584" s="456"/>
      <c r="DK584" s="456"/>
      <c r="DL584" s="456"/>
      <c r="DM584" s="456"/>
      <c r="DN584" s="456"/>
      <c r="DO584" s="456"/>
      <c r="DP584" s="456"/>
      <c r="DQ584" s="456"/>
      <c r="DR584" s="456"/>
      <c r="DS584" s="456"/>
      <c r="DT584" s="456"/>
      <c r="DU584" s="456"/>
      <c r="DV584" s="456"/>
      <c r="DW584" s="456"/>
      <c r="DX584" s="456"/>
      <c r="DY584" s="456"/>
      <c r="DZ584" s="456"/>
      <c r="EA584" s="456"/>
      <c r="EB584" s="456"/>
      <c r="EC584" s="456"/>
      <c r="ED584" s="456"/>
      <c r="EE584" s="456"/>
      <c r="EF584" s="456"/>
      <c r="EG584" s="456"/>
      <c r="EH584" s="456"/>
      <c r="EI584" s="456"/>
      <c r="EJ584" s="456"/>
      <c r="EK584" s="456"/>
      <c r="EL584" s="456"/>
      <c r="EM584" s="456"/>
      <c r="EN584" s="456"/>
      <c r="EO584" s="456"/>
      <c r="EP584" s="456"/>
      <c r="EQ584" s="456"/>
      <c r="ER584" s="456"/>
      <c r="ES584" s="456"/>
      <c r="ET584" s="456"/>
      <c r="EU584" s="456"/>
      <c r="EV584" s="456"/>
      <c r="EW584" s="456"/>
      <c r="EX584" s="456"/>
      <c r="EY584" s="456"/>
      <c r="EZ584" s="456"/>
      <c r="FA584" s="456"/>
      <c r="FB584" s="456"/>
      <c r="FC584" s="456"/>
      <c r="FD584" s="456"/>
      <c r="FE584" s="456"/>
      <c r="FF584" s="456"/>
      <c r="FG584" s="456"/>
      <c r="FH584" s="456"/>
      <c r="FI584" s="456"/>
      <c r="FJ584" s="456"/>
      <c r="FK584" s="456"/>
      <c r="FL584" s="456"/>
      <c r="FM584" s="456"/>
      <c r="FN584" s="456"/>
      <c r="FO584" s="456"/>
      <c r="FP584" s="456"/>
      <c r="FQ584" s="456"/>
      <c r="FR584" s="456"/>
      <c r="FS584" s="456"/>
      <c r="FT584" s="456"/>
      <c r="FU584" s="456"/>
      <c r="FV584" s="456"/>
      <c r="FW584" s="456"/>
      <c r="FX584" s="456"/>
      <c r="FY584" s="456"/>
      <c r="FZ584" s="456"/>
      <c r="GA584" s="456"/>
      <c r="GB584" s="456"/>
      <c r="GC584" s="456"/>
      <c r="GD584" s="456"/>
      <c r="GE584" s="456"/>
      <c r="GF584" s="456"/>
      <c r="GG584" s="456"/>
      <c r="GH584" s="456"/>
      <c r="GI584" s="456"/>
      <c r="GJ584" s="456"/>
      <c r="GK584" s="456"/>
      <c r="GL584" s="456"/>
      <c r="GM584" s="456"/>
      <c r="GN584" s="456"/>
      <c r="GO584" s="456"/>
      <c r="GP584" s="456"/>
      <c r="GQ584" s="456"/>
      <c r="GR584" s="456"/>
      <c r="GS584" s="456"/>
      <c r="GT584" s="456"/>
      <c r="GU584" s="456"/>
      <c r="GV584" s="456"/>
      <c r="GW584" s="456"/>
      <c r="GX584" s="456"/>
      <c r="GY584" s="456"/>
      <c r="GZ584" s="456"/>
      <c r="HA584" s="456"/>
      <c r="HB584" s="456"/>
      <c r="HC584" s="456"/>
      <c r="HD584" s="456"/>
      <c r="HE584" s="456"/>
      <c r="HF584" s="456"/>
      <c r="HG584" s="456"/>
      <c r="HH584" s="456"/>
      <c r="HI584" s="456"/>
      <c r="HJ584" s="456"/>
      <c r="HK584" s="456"/>
      <c r="HL584" s="456"/>
      <c r="HM584" s="456"/>
      <c r="HN584" s="456"/>
      <c r="HO584" s="456"/>
      <c r="HP584" s="456"/>
      <c r="HQ584" s="456"/>
      <c r="HR584" s="456"/>
      <c r="HS584" s="456"/>
      <c r="HT584" s="456"/>
      <c r="HU584" s="456"/>
      <c r="HV584" s="456"/>
      <c r="HW584" s="456"/>
      <c r="HX584" s="456"/>
      <c r="HY584" s="456"/>
      <c r="HZ584" s="456"/>
      <c r="IA584" s="456"/>
      <c r="IB584" s="456"/>
      <c r="IC584" s="456"/>
      <c r="ID584" s="456"/>
      <c r="IE584" s="456"/>
      <c r="IF584" s="456"/>
      <c r="IG584" s="456"/>
      <c r="IH584" s="456"/>
      <c r="II584" s="456"/>
      <c r="IJ584" s="456"/>
      <c r="IK584" s="456"/>
      <c r="IL584" s="456"/>
      <c r="IM584" s="456"/>
      <c r="IN584" s="456"/>
      <c r="IO584" s="456"/>
      <c r="IP584" s="456"/>
      <c r="IQ584" s="456"/>
      <c r="IR584" s="456"/>
      <c r="IS584" s="456"/>
    </row>
    <row r="585" spans="1:253" s="458" customFormat="1" ht="67.5" x14ac:dyDescent="0.2">
      <c r="A585" s="444">
        <v>19023</v>
      </c>
      <c r="B585" s="445" t="s">
        <v>84</v>
      </c>
      <c r="C585" s="445" t="s">
        <v>85</v>
      </c>
      <c r="D585" s="445" t="s">
        <v>320</v>
      </c>
      <c r="E585" s="445"/>
      <c r="F585" s="470"/>
      <c r="G585" s="446">
        <v>353</v>
      </c>
      <c r="H585" s="445" t="s">
        <v>837</v>
      </c>
      <c r="I585" s="445"/>
      <c r="J585" s="445"/>
      <c r="K585" s="447"/>
      <c r="L585" s="445" t="s">
        <v>838</v>
      </c>
      <c r="M585" s="445">
        <v>2</v>
      </c>
      <c r="N585" s="445" t="s">
        <v>834</v>
      </c>
      <c r="O585" s="464" t="s">
        <v>1653</v>
      </c>
      <c r="P585" s="450">
        <v>4.742</v>
      </c>
      <c r="Q585" s="451">
        <f t="shared" si="18"/>
        <v>4.742</v>
      </c>
      <c r="R585" s="451">
        <f>SUMIF('Wege im Detail'!$A:$A,"19023",'Wege im Detail'!$P:$P)</f>
        <v>4.742</v>
      </c>
      <c r="S585" s="452" t="s">
        <v>839</v>
      </c>
      <c r="T585" s="453">
        <v>43922</v>
      </c>
      <c r="U585" s="501"/>
      <c r="V585" s="457"/>
      <c r="W585" s="501"/>
    </row>
    <row r="586" spans="1:253" s="458" customFormat="1" ht="45" x14ac:dyDescent="0.2">
      <c r="A586" s="444">
        <v>19024</v>
      </c>
      <c r="B586" s="445" t="s">
        <v>51</v>
      </c>
      <c r="C586" s="445" t="s">
        <v>91</v>
      </c>
      <c r="D586" s="445" t="s">
        <v>91</v>
      </c>
      <c r="E586" s="445"/>
      <c r="F586" s="445"/>
      <c r="G586" s="446">
        <v>51</v>
      </c>
      <c r="H586" s="445">
        <v>72</v>
      </c>
      <c r="I586" s="445" t="s">
        <v>457</v>
      </c>
      <c r="J586" s="445">
        <v>1</v>
      </c>
      <c r="K586" s="447">
        <v>1</v>
      </c>
      <c r="L586" s="445"/>
      <c r="M586" s="445">
        <v>5</v>
      </c>
      <c r="N586" s="445" t="s">
        <v>181</v>
      </c>
      <c r="O586" s="449" t="s">
        <v>1654</v>
      </c>
      <c r="P586" s="450">
        <v>1.0229999999999999</v>
      </c>
      <c r="Q586" s="451">
        <f t="shared" si="18"/>
        <v>1.0229999999999999</v>
      </c>
      <c r="R586" s="451">
        <f>SUMIF('Wege im Detail'!$A:$A,"19024",'Wege im Detail'!$P:$P)</f>
        <v>1.0229999999999999</v>
      </c>
      <c r="S586" s="452" t="s">
        <v>840</v>
      </c>
      <c r="T586" s="453">
        <v>43922</v>
      </c>
      <c r="U586" s="448"/>
      <c r="V586" s="457"/>
      <c r="W586" s="448"/>
    </row>
    <row r="587" spans="1:253" s="458" customFormat="1" ht="67.5" x14ac:dyDescent="0.2">
      <c r="A587" s="444">
        <v>19025</v>
      </c>
      <c r="B587" s="445" t="s">
        <v>84</v>
      </c>
      <c r="C587" s="445" t="s">
        <v>85</v>
      </c>
      <c r="D587" s="445" t="s">
        <v>320</v>
      </c>
      <c r="E587" s="445"/>
      <c r="F587" s="470"/>
      <c r="G587" s="446">
        <v>352</v>
      </c>
      <c r="H587" s="445" t="s">
        <v>842</v>
      </c>
      <c r="I587" s="445"/>
      <c r="J587" s="445"/>
      <c r="K587" s="447"/>
      <c r="L587" s="445" t="s">
        <v>843</v>
      </c>
      <c r="M587" s="445">
        <v>2</v>
      </c>
      <c r="N587" s="445" t="s">
        <v>834</v>
      </c>
      <c r="O587" s="464" t="s">
        <v>1655</v>
      </c>
      <c r="P587" s="450">
        <v>5.01</v>
      </c>
      <c r="Q587" s="451">
        <f t="shared" si="18"/>
        <v>5.01</v>
      </c>
      <c r="R587" s="451">
        <f>SUMIF('Wege im Detail'!$A:$A,"19025",'Wege im Detail'!$P:$P)</f>
        <v>5.01</v>
      </c>
      <c r="S587" s="452" t="s">
        <v>844</v>
      </c>
      <c r="T587" s="453">
        <v>43922</v>
      </c>
      <c r="U587" s="448"/>
      <c r="V587" s="466"/>
      <c r="W587" s="448"/>
    </row>
    <row r="588" spans="1:253" s="458" customFormat="1" ht="67.5" x14ac:dyDescent="0.2">
      <c r="A588" s="444">
        <v>19026</v>
      </c>
      <c r="B588" s="445" t="s">
        <v>84</v>
      </c>
      <c r="C588" s="445" t="s">
        <v>85</v>
      </c>
      <c r="D588" s="445" t="s">
        <v>320</v>
      </c>
      <c r="E588" s="445"/>
      <c r="F588" s="470"/>
      <c r="G588" s="446">
        <v>351</v>
      </c>
      <c r="H588" s="445" t="s">
        <v>846</v>
      </c>
      <c r="I588" s="445"/>
      <c r="J588" s="445"/>
      <c r="K588" s="447"/>
      <c r="L588" s="445" t="s">
        <v>847</v>
      </c>
      <c r="M588" s="445">
        <v>2</v>
      </c>
      <c r="N588" s="445" t="s">
        <v>834</v>
      </c>
      <c r="O588" s="464" t="s">
        <v>1656</v>
      </c>
      <c r="P588" s="450">
        <v>6.2439999999999998</v>
      </c>
      <c r="Q588" s="451">
        <f t="shared" si="18"/>
        <v>6.2439999999999998</v>
      </c>
      <c r="R588" s="451">
        <f>SUMIF('Wege im Detail'!$A:$A,"19026",'Wege im Detail'!$P:$P)</f>
        <v>6.2439999999999998</v>
      </c>
      <c r="S588" s="452" t="s">
        <v>848</v>
      </c>
      <c r="T588" s="453">
        <v>43922</v>
      </c>
      <c r="U588" s="448"/>
      <c r="V588" s="457"/>
      <c r="W588" s="448"/>
      <c r="X588" s="455"/>
      <c r="Y588" s="455"/>
      <c r="Z588" s="455"/>
      <c r="AA588" s="455"/>
      <c r="AB588" s="455"/>
      <c r="AC588" s="455"/>
      <c r="AD588" s="455"/>
      <c r="AE588" s="455"/>
      <c r="AF588" s="455"/>
      <c r="AG588" s="455"/>
      <c r="AH588" s="455"/>
      <c r="AI588" s="455"/>
      <c r="AJ588" s="455"/>
      <c r="AK588" s="455"/>
      <c r="AL588" s="455"/>
      <c r="AM588" s="455"/>
      <c r="AN588" s="455"/>
      <c r="AO588" s="455"/>
      <c r="AP588" s="455"/>
      <c r="AQ588" s="455"/>
      <c r="AR588" s="455"/>
      <c r="AS588" s="455"/>
      <c r="AT588" s="455"/>
      <c r="AU588" s="455"/>
      <c r="AV588" s="455"/>
      <c r="AW588" s="455"/>
      <c r="AX588" s="455"/>
      <c r="AY588" s="455"/>
      <c r="AZ588" s="455"/>
      <c r="BA588" s="455"/>
      <c r="BB588" s="455"/>
      <c r="BC588" s="455"/>
      <c r="BD588" s="455"/>
      <c r="BE588" s="455"/>
      <c r="BF588" s="455"/>
      <c r="BG588" s="455"/>
      <c r="BH588" s="455"/>
      <c r="BI588" s="455"/>
      <c r="BJ588" s="455"/>
      <c r="BK588" s="455"/>
      <c r="BL588" s="455"/>
      <c r="BM588" s="455"/>
      <c r="BN588" s="455"/>
      <c r="BO588" s="455"/>
      <c r="BP588" s="455"/>
      <c r="BQ588" s="455"/>
      <c r="BR588" s="455"/>
      <c r="BS588" s="455"/>
      <c r="BT588" s="455"/>
      <c r="BU588" s="455"/>
      <c r="BV588" s="455"/>
      <c r="BW588" s="455"/>
      <c r="BX588" s="455"/>
      <c r="BY588" s="455"/>
      <c r="BZ588" s="455"/>
      <c r="CA588" s="455"/>
      <c r="CB588" s="455"/>
      <c r="CC588" s="455"/>
      <c r="CD588" s="455"/>
      <c r="CE588" s="455"/>
      <c r="CF588" s="455"/>
      <c r="CG588" s="455"/>
      <c r="CH588" s="455"/>
      <c r="CI588" s="455"/>
      <c r="CJ588" s="455"/>
      <c r="CK588" s="455"/>
      <c r="CL588" s="455"/>
      <c r="CM588" s="455"/>
      <c r="CN588" s="455"/>
      <c r="CO588" s="455"/>
      <c r="CP588" s="455"/>
      <c r="CQ588" s="455"/>
      <c r="CR588" s="455"/>
      <c r="CS588" s="455"/>
      <c r="CT588" s="455"/>
      <c r="CU588" s="455"/>
      <c r="CV588" s="455"/>
      <c r="CW588" s="455"/>
      <c r="CX588" s="455"/>
      <c r="CY588" s="455"/>
      <c r="CZ588" s="455"/>
      <c r="DA588" s="455"/>
      <c r="DB588" s="455"/>
      <c r="DC588" s="455"/>
      <c r="DD588" s="455"/>
      <c r="DE588" s="455"/>
      <c r="DF588" s="455"/>
      <c r="DG588" s="455"/>
      <c r="DH588" s="455"/>
      <c r="DI588" s="455"/>
      <c r="DJ588" s="455"/>
      <c r="DK588" s="455"/>
      <c r="DL588" s="455"/>
      <c r="DM588" s="455"/>
      <c r="DN588" s="455"/>
      <c r="DO588" s="455"/>
      <c r="DP588" s="455"/>
      <c r="DQ588" s="455"/>
      <c r="DR588" s="455"/>
      <c r="DS588" s="455"/>
      <c r="DT588" s="455"/>
      <c r="DU588" s="455"/>
      <c r="DV588" s="455"/>
      <c r="DW588" s="455"/>
      <c r="DX588" s="455"/>
      <c r="DY588" s="455"/>
      <c r="DZ588" s="455"/>
      <c r="EA588" s="455"/>
      <c r="EB588" s="455"/>
      <c r="EC588" s="455"/>
      <c r="ED588" s="455"/>
      <c r="EE588" s="455"/>
      <c r="EF588" s="455"/>
      <c r="EG588" s="455"/>
      <c r="EH588" s="455"/>
      <c r="EI588" s="455"/>
      <c r="EJ588" s="455"/>
      <c r="EK588" s="455"/>
      <c r="EL588" s="455"/>
      <c r="EM588" s="455"/>
      <c r="EN588" s="455"/>
      <c r="EO588" s="455"/>
      <c r="EP588" s="455"/>
      <c r="EQ588" s="455"/>
      <c r="ER588" s="455"/>
      <c r="ES588" s="455"/>
      <c r="ET588" s="455"/>
      <c r="EU588" s="455"/>
      <c r="EV588" s="455"/>
      <c r="EW588" s="455"/>
      <c r="EX588" s="455"/>
      <c r="EY588" s="455"/>
      <c r="EZ588" s="455"/>
      <c r="FA588" s="455"/>
      <c r="FB588" s="455"/>
      <c r="FC588" s="455"/>
      <c r="FD588" s="455"/>
      <c r="FE588" s="455"/>
      <c r="FF588" s="455"/>
      <c r="FG588" s="455"/>
      <c r="FH588" s="455"/>
      <c r="FI588" s="455"/>
      <c r="FJ588" s="455"/>
      <c r="FK588" s="455"/>
      <c r="FL588" s="455"/>
      <c r="FM588" s="455"/>
      <c r="FN588" s="455"/>
      <c r="FO588" s="455"/>
      <c r="FP588" s="455"/>
      <c r="FQ588" s="455"/>
      <c r="FR588" s="455"/>
      <c r="FS588" s="455"/>
      <c r="FT588" s="455"/>
      <c r="FU588" s="455"/>
      <c r="FV588" s="455"/>
      <c r="FW588" s="455"/>
      <c r="FX588" s="455"/>
      <c r="FY588" s="455"/>
      <c r="FZ588" s="455"/>
      <c r="GA588" s="455"/>
      <c r="GB588" s="455"/>
      <c r="GC588" s="455"/>
      <c r="GD588" s="455"/>
      <c r="GE588" s="455"/>
      <c r="GF588" s="455"/>
      <c r="GG588" s="455"/>
      <c r="GH588" s="455"/>
      <c r="GI588" s="455"/>
      <c r="GJ588" s="455"/>
      <c r="GK588" s="455"/>
      <c r="GL588" s="455"/>
      <c r="GM588" s="455"/>
      <c r="GN588" s="455"/>
      <c r="GO588" s="455"/>
      <c r="GP588" s="455"/>
      <c r="GQ588" s="455"/>
      <c r="GR588" s="455"/>
      <c r="GS588" s="455"/>
      <c r="GT588" s="455"/>
      <c r="GU588" s="455"/>
      <c r="GV588" s="455"/>
      <c r="GW588" s="455"/>
      <c r="GX588" s="455"/>
      <c r="GY588" s="455"/>
      <c r="GZ588" s="455"/>
      <c r="HA588" s="455"/>
      <c r="HB588" s="455"/>
      <c r="HC588" s="455"/>
      <c r="HD588" s="455"/>
      <c r="HE588" s="455"/>
      <c r="HF588" s="455"/>
      <c r="HG588" s="455"/>
      <c r="HH588" s="455"/>
      <c r="HI588" s="455"/>
      <c r="HJ588" s="455"/>
      <c r="HK588" s="455"/>
      <c r="HL588" s="455"/>
      <c r="HM588" s="455"/>
      <c r="HN588" s="455"/>
      <c r="HO588" s="455"/>
      <c r="HP588" s="455"/>
      <c r="HQ588" s="455"/>
      <c r="HR588" s="455"/>
      <c r="HS588" s="455"/>
      <c r="HT588" s="455"/>
      <c r="HU588" s="455"/>
      <c r="HV588" s="455"/>
      <c r="HW588" s="455"/>
      <c r="HX588" s="455"/>
      <c r="HY588" s="455"/>
      <c r="HZ588" s="455"/>
      <c r="IA588" s="455"/>
      <c r="IB588" s="455"/>
      <c r="IC588" s="455"/>
      <c r="ID588" s="455"/>
      <c r="IE588" s="455"/>
      <c r="IF588" s="455"/>
      <c r="IG588" s="455"/>
      <c r="IH588" s="455"/>
      <c r="II588" s="455"/>
      <c r="IJ588" s="455"/>
      <c r="IK588" s="455"/>
      <c r="IL588" s="455"/>
      <c r="IM588" s="455"/>
      <c r="IN588" s="455"/>
      <c r="IO588" s="455"/>
      <c r="IP588" s="455"/>
      <c r="IQ588" s="455"/>
      <c r="IR588" s="455"/>
      <c r="IS588" s="455"/>
    </row>
    <row r="589" spans="1:253" s="458" customFormat="1" ht="45" x14ac:dyDescent="0.2">
      <c r="A589" s="444">
        <v>19128</v>
      </c>
      <c r="B589" s="445" t="s">
        <v>51</v>
      </c>
      <c r="C589" s="445" t="s">
        <v>91</v>
      </c>
      <c r="D589" s="445" t="s">
        <v>91</v>
      </c>
      <c r="E589" s="445"/>
      <c r="F589" s="445"/>
      <c r="G589" s="446">
        <v>104</v>
      </c>
      <c r="H589" s="445">
        <v>72</v>
      </c>
      <c r="I589" s="445" t="s">
        <v>117</v>
      </c>
      <c r="J589" s="445">
        <v>1</v>
      </c>
      <c r="K589" s="447">
        <v>1</v>
      </c>
      <c r="L589" s="445"/>
      <c r="M589" s="445">
        <v>5</v>
      </c>
      <c r="N589" s="445" t="s">
        <v>181</v>
      </c>
      <c r="O589" s="449" t="s">
        <v>1657</v>
      </c>
      <c r="P589" s="450">
        <v>0.9</v>
      </c>
      <c r="Q589" s="451">
        <f t="shared" si="18"/>
        <v>0.9</v>
      </c>
      <c r="R589" s="451">
        <f>SUMIF('Wege im Detail'!$A:$A,"19128",'Wege im Detail'!$P:$P)</f>
        <v>0.9</v>
      </c>
      <c r="S589" s="452" t="s">
        <v>849</v>
      </c>
      <c r="T589" s="453">
        <v>43952</v>
      </c>
      <c r="U589" s="448"/>
      <c r="V589" s="457"/>
      <c r="W589" s="448"/>
    </row>
    <row r="590" spans="1:253" s="458" customFormat="1" ht="33.75" x14ac:dyDescent="0.2">
      <c r="A590" s="444">
        <v>19129</v>
      </c>
      <c r="B590" s="445" t="s">
        <v>51</v>
      </c>
      <c r="C590" s="445" t="s">
        <v>91</v>
      </c>
      <c r="D590" s="445" t="s">
        <v>91</v>
      </c>
      <c r="E590" s="445"/>
      <c r="F590" s="445"/>
      <c r="G590" s="446">
        <v>63</v>
      </c>
      <c r="H590" s="445">
        <v>72</v>
      </c>
      <c r="I590" s="445" t="s">
        <v>417</v>
      </c>
      <c r="J590" s="445">
        <v>1</v>
      </c>
      <c r="K590" s="447">
        <v>1</v>
      </c>
      <c r="L590" s="445"/>
      <c r="M590" s="445">
        <v>5</v>
      </c>
      <c r="N590" s="445" t="s">
        <v>181</v>
      </c>
      <c r="O590" s="449" t="s">
        <v>1658</v>
      </c>
      <c r="P590" s="450">
        <v>0.59099999999999997</v>
      </c>
      <c r="Q590" s="451">
        <f t="shared" si="18"/>
        <v>0.59099999999999997</v>
      </c>
      <c r="R590" s="451">
        <f>SUMIF('Wege im Detail'!$A:$A,"19129",'Wege im Detail'!$P:$P)</f>
        <v>0.59099999999999997</v>
      </c>
      <c r="S590" s="452" t="s">
        <v>850</v>
      </c>
      <c r="T590" s="453">
        <v>43952</v>
      </c>
      <c r="U590" s="448"/>
      <c r="V590" s="466"/>
      <c r="W590" s="448"/>
    </row>
    <row r="591" spans="1:253" s="458" customFormat="1" ht="45" x14ac:dyDescent="0.2">
      <c r="A591" s="444">
        <v>19361</v>
      </c>
      <c r="B591" s="445" t="s">
        <v>51</v>
      </c>
      <c r="C591" s="445" t="s">
        <v>91</v>
      </c>
      <c r="D591" s="445" t="s">
        <v>91</v>
      </c>
      <c r="E591" s="445"/>
      <c r="F591" s="470"/>
      <c r="G591" s="445" t="s">
        <v>1604</v>
      </c>
      <c r="H591" s="445">
        <v>517</v>
      </c>
      <c r="I591" s="445" t="s">
        <v>417</v>
      </c>
      <c r="J591" s="445">
        <v>1</v>
      </c>
      <c r="K591" s="447">
        <v>1</v>
      </c>
      <c r="L591" s="445" t="s">
        <v>1605</v>
      </c>
      <c r="M591" s="445">
        <v>5</v>
      </c>
      <c r="N591" s="445" t="s">
        <v>111</v>
      </c>
      <c r="O591" s="461" t="s">
        <v>1659</v>
      </c>
      <c r="P591" s="450">
        <v>2.2749999999999999</v>
      </c>
      <c r="Q591" s="451">
        <f t="shared" si="18"/>
        <v>2.2749999999999999</v>
      </c>
      <c r="R591" s="451">
        <f>SUMIF('Wege im Detail'!$A:$A,"19361",'Wege im Detail'!$P:$P)</f>
        <v>5.4869999999999992</v>
      </c>
      <c r="S591" s="488" t="s">
        <v>1660</v>
      </c>
      <c r="T591" s="453">
        <v>43952</v>
      </c>
      <c r="U591" s="448"/>
      <c r="V591" s="466"/>
      <c r="W591" s="448"/>
    </row>
    <row r="592" spans="1:253" s="458" customFormat="1" ht="33.75" x14ac:dyDescent="0.2">
      <c r="A592" s="444">
        <v>19361</v>
      </c>
      <c r="B592" s="445" t="s">
        <v>51</v>
      </c>
      <c r="C592" s="445" t="s">
        <v>91</v>
      </c>
      <c r="D592" s="445" t="s">
        <v>91</v>
      </c>
      <c r="E592" s="445"/>
      <c r="F592" s="470"/>
      <c r="G592" s="445" t="s">
        <v>1604</v>
      </c>
      <c r="H592" s="445">
        <v>517</v>
      </c>
      <c r="I592" s="445" t="s">
        <v>117</v>
      </c>
      <c r="J592" s="445">
        <v>1</v>
      </c>
      <c r="K592" s="447">
        <v>2</v>
      </c>
      <c r="L592" s="445" t="s">
        <v>1605</v>
      </c>
      <c r="M592" s="445">
        <v>5</v>
      </c>
      <c r="N592" s="445" t="s">
        <v>111</v>
      </c>
      <c r="O592" s="461" t="s">
        <v>1661</v>
      </c>
      <c r="P592" s="450">
        <v>2.556</v>
      </c>
      <c r="Q592" s="451">
        <f t="shared" si="18"/>
        <v>2.556</v>
      </c>
      <c r="R592" s="451">
        <f>SUMIF('Wege im Detail'!$A:$A,"19361",'Wege im Detail'!$P:$P)</f>
        <v>5.4869999999999992</v>
      </c>
      <c r="S592" s="488" t="s">
        <v>1660</v>
      </c>
      <c r="T592" s="453">
        <v>43952</v>
      </c>
      <c r="U592" s="448"/>
      <c r="V592" s="458" t="s">
        <v>852</v>
      </c>
      <c r="W592" s="448"/>
    </row>
    <row r="593" spans="1:253" s="458" customFormat="1" ht="33.75" x14ac:dyDescent="0.2">
      <c r="A593" s="444">
        <v>19361</v>
      </c>
      <c r="B593" s="445" t="s">
        <v>51</v>
      </c>
      <c r="C593" s="445" t="s">
        <v>91</v>
      </c>
      <c r="D593" s="445" t="s">
        <v>91</v>
      </c>
      <c r="E593" s="445"/>
      <c r="F593" s="470"/>
      <c r="G593" s="445" t="s">
        <v>1604</v>
      </c>
      <c r="H593" s="445">
        <v>517</v>
      </c>
      <c r="I593" s="445" t="s">
        <v>117</v>
      </c>
      <c r="J593" s="445">
        <v>2</v>
      </c>
      <c r="K593" s="447">
        <v>2</v>
      </c>
      <c r="L593" s="445" t="s">
        <v>1605</v>
      </c>
      <c r="M593" s="445">
        <v>5</v>
      </c>
      <c r="N593" s="445" t="s">
        <v>56</v>
      </c>
      <c r="O593" s="461" t="s">
        <v>1662</v>
      </c>
      <c r="P593" s="450">
        <v>0.65600000000000003</v>
      </c>
      <c r="Q593" s="451">
        <f t="shared" si="18"/>
        <v>0.65600000000000003</v>
      </c>
      <c r="R593" s="451">
        <f>SUMIF('Wege im Detail'!$A:$A,"19361",'Wege im Detail'!$P:$P)</f>
        <v>5.4869999999999992</v>
      </c>
      <c r="S593" s="488" t="s">
        <v>1660</v>
      </c>
      <c r="T593" s="453">
        <v>43952</v>
      </c>
      <c r="U593" s="448"/>
      <c r="V593" s="458" t="s">
        <v>852</v>
      </c>
      <c r="W593" s="448"/>
      <c r="X593" s="455"/>
      <c r="Y593" s="455"/>
      <c r="Z593" s="455"/>
      <c r="AA593" s="455"/>
      <c r="AB593" s="455"/>
      <c r="AC593" s="455"/>
      <c r="AD593" s="455"/>
      <c r="AE593" s="455"/>
      <c r="AF593" s="455"/>
      <c r="AG593" s="455"/>
      <c r="AH593" s="455"/>
      <c r="AI593" s="455"/>
      <c r="AJ593" s="455"/>
      <c r="AK593" s="455"/>
      <c r="AL593" s="455"/>
      <c r="AM593" s="455"/>
      <c r="AN593" s="455"/>
      <c r="AO593" s="455"/>
      <c r="AP593" s="455"/>
      <c r="AQ593" s="455"/>
      <c r="AR593" s="455"/>
      <c r="AS593" s="455"/>
      <c r="AT593" s="455"/>
      <c r="AU593" s="455"/>
      <c r="AV593" s="455"/>
      <c r="AW593" s="455"/>
      <c r="AX593" s="455"/>
      <c r="AY593" s="455"/>
      <c r="AZ593" s="455"/>
      <c r="BA593" s="455"/>
      <c r="BB593" s="455"/>
      <c r="BC593" s="455"/>
      <c r="BD593" s="455"/>
      <c r="BE593" s="455"/>
      <c r="BF593" s="455"/>
      <c r="BG593" s="455"/>
      <c r="BH593" s="455"/>
      <c r="BI593" s="455"/>
      <c r="BJ593" s="455"/>
      <c r="BK593" s="455"/>
      <c r="BL593" s="455"/>
      <c r="BM593" s="455"/>
      <c r="BN593" s="455"/>
      <c r="BO593" s="455"/>
      <c r="BP593" s="455"/>
      <c r="BQ593" s="455"/>
      <c r="BR593" s="455"/>
      <c r="BS593" s="455"/>
      <c r="BT593" s="455"/>
      <c r="BU593" s="455"/>
      <c r="BV593" s="455"/>
      <c r="BW593" s="455"/>
      <c r="BX593" s="455"/>
      <c r="BY593" s="455"/>
      <c r="BZ593" s="455"/>
      <c r="CA593" s="455"/>
      <c r="CB593" s="455"/>
      <c r="CC593" s="455"/>
      <c r="CD593" s="455"/>
      <c r="CE593" s="455"/>
      <c r="CF593" s="455"/>
      <c r="CG593" s="455"/>
      <c r="CH593" s="455"/>
      <c r="CI593" s="455"/>
      <c r="CJ593" s="455"/>
      <c r="CK593" s="455"/>
      <c r="CL593" s="455"/>
      <c r="CM593" s="455"/>
      <c r="CN593" s="455"/>
      <c r="CO593" s="455"/>
      <c r="CP593" s="455"/>
      <c r="CQ593" s="455"/>
      <c r="CR593" s="455"/>
      <c r="CS593" s="455"/>
      <c r="CT593" s="455"/>
      <c r="CU593" s="455"/>
      <c r="CV593" s="455"/>
      <c r="CW593" s="455"/>
      <c r="CX593" s="455"/>
      <c r="CY593" s="455"/>
      <c r="CZ593" s="455"/>
      <c r="DA593" s="455"/>
      <c r="DB593" s="455"/>
      <c r="DC593" s="455"/>
      <c r="DD593" s="455"/>
      <c r="DE593" s="455"/>
      <c r="DF593" s="455"/>
      <c r="DG593" s="455"/>
      <c r="DH593" s="455"/>
      <c r="DI593" s="455"/>
      <c r="DJ593" s="455"/>
      <c r="DK593" s="455"/>
      <c r="DL593" s="455"/>
      <c r="DM593" s="455"/>
      <c r="DN593" s="455"/>
      <c r="DO593" s="455"/>
      <c r="DP593" s="455"/>
      <c r="DQ593" s="455"/>
      <c r="DR593" s="455"/>
      <c r="DS593" s="455"/>
      <c r="DT593" s="455"/>
      <c r="DU593" s="455"/>
      <c r="DV593" s="455"/>
      <c r="DW593" s="455"/>
      <c r="DX593" s="455"/>
      <c r="DY593" s="455"/>
      <c r="DZ593" s="455"/>
      <c r="EA593" s="455"/>
      <c r="EB593" s="455"/>
      <c r="EC593" s="455"/>
      <c r="ED593" s="455"/>
      <c r="EE593" s="455"/>
      <c r="EF593" s="455"/>
      <c r="EG593" s="455"/>
      <c r="EH593" s="455"/>
      <c r="EI593" s="455"/>
      <c r="EJ593" s="455"/>
      <c r="EK593" s="455"/>
      <c r="EL593" s="455"/>
      <c r="EM593" s="455"/>
      <c r="EN593" s="455"/>
      <c r="EO593" s="455"/>
      <c r="EP593" s="455"/>
      <c r="EQ593" s="455"/>
      <c r="ER593" s="455"/>
      <c r="ES593" s="455"/>
      <c r="ET593" s="455"/>
      <c r="EU593" s="455"/>
      <c r="EV593" s="455"/>
      <c r="EW593" s="455"/>
      <c r="EX593" s="455"/>
      <c r="EY593" s="455"/>
      <c r="EZ593" s="455"/>
      <c r="FA593" s="455"/>
      <c r="FB593" s="455"/>
      <c r="FC593" s="455"/>
      <c r="FD593" s="455"/>
      <c r="FE593" s="455"/>
      <c r="FF593" s="455"/>
      <c r="FG593" s="455"/>
      <c r="FH593" s="455"/>
      <c r="FI593" s="455"/>
      <c r="FJ593" s="455"/>
      <c r="FK593" s="455"/>
      <c r="FL593" s="455"/>
      <c r="FM593" s="455"/>
      <c r="FN593" s="455"/>
      <c r="FO593" s="455"/>
      <c r="FP593" s="455"/>
      <c r="FQ593" s="455"/>
      <c r="FR593" s="455"/>
      <c r="FS593" s="455"/>
      <c r="FT593" s="455"/>
      <c r="FU593" s="455"/>
      <c r="FV593" s="455"/>
      <c r="FW593" s="455"/>
      <c r="FX593" s="455"/>
      <c r="FY593" s="455"/>
      <c r="FZ593" s="455"/>
      <c r="GA593" s="455"/>
      <c r="GB593" s="455"/>
      <c r="GC593" s="455"/>
      <c r="GD593" s="455"/>
      <c r="GE593" s="455"/>
      <c r="GF593" s="455"/>
      <c r="GG593" s="455"/>
      <c r="GH593" s="455"/>
      <c r="GI593" s="455"/>
      <c r="GJ593" s="455"/>
      <c r="GK593" s="455"/>
      <c r="GL593" s="455"/>
      <c r="GM593" s="455"/>
      <c r="GN593" s="455"/>
      <c r="GO593" s="455"/>
      <c r="GP593" s="455"/>
      <c r="GQ593" s="455"/>
      <c r="GR593" s="455"/>
      <c r="GS593" s="455"/>
      <c r="GT593" s="455"/>
      <c r="GU593" s="455"/>
      <c r="GV593" s="455"/>
      <c r="GW593" s="455"/>
      <c r="GX593" s="455"/>
      <c r="GY593" s="455"/>
      <c r="GZ593" s="455"/>
      <c r="HA593" s="455"/>
      <c r="HB593" s="455"/>
      <c r="HC593" s="455"/>
      <c r="HD593" s="455"/>
      <c r="HE593" s="455"/>
      <c r="HF593" s="455"/>
      <c r="HG593" s="455"/>
      <c r="HH593" s="455"/>
      <c r="HI593" s="455"/>
      <c r="HJ593" s="455"/>
      <c r="HK593" s="455"/>
      <c r="HL593" s="455"/>
      <c r="HM593" s="455"/>
      <c r="HN593" s="455"/>
      <c r="HO593" s="455"/>
      <c r="HP593" s="455"/>
      <c r="HQ593" s="455"/>
      <c r="HR593" s="455"/>
      <c r="HS593" s="455"/>
      <c r="HT593" s="455"/>
      <c r="HU593" s="455"/>
      <c r="HV593" s="455"/>
      <c r="HW593" s="455"/>
      <c r="HX593" s="455"/>
      <c r="HY593" s="455"/>
      <c r="HZ593" s="455"/>
      <c r="IA593" s="455"/>
      <c r="IB593" s="455"/>
      <c r="IC593" s="455"/>
      <c r="ID593" s="455"/>
      <c r="IE593" s="455"/>
      <c r="IF593" s="455"/>
      <c r="IG593" s="455"/>
      <c r="IH593" s="455"/>
      <c r="II593" s="455"/>
      <c r="IJ593" s="455"/>
      <c r="IK593" s="455"/>
      <c r="IL593" s="455"/>
      <c r="IM593" s="455"/>
      <c r="IN593" s="455"/>
      <c r="IO593" s="455"/>
      <c r="IP593" s="455"/>
      <c r="IQ593" s="455"/>
      <c r="IR593" s="455"/>
      <c r="IS593" s="455"/>
    </row>
    <row r="594" spans="1:253" s="458" customFormat="1" ht="45" x14ac:dyDescent="0.2">
      <c r="A594" s="444">
        <v>20316</v>
      </c>
      <c r="B594" s="445" t="s">
        <v>84</v>
      </c>
      <c r="C594" s="445" t="s">
        <v>85</v>
      </c>
      <c r="D594" s="445" t="s">
        <v>85</v>
      </c>
      <c r="E594" s="445"/>
      <c r="F594" s="479"/>
      <c r="G594" s="446">
        <v>72</v>
      </c>
      <c r="H594" s="445" t="s">
        <v>854</v>
      </c>
      <c r="I594" s="445"/>
      <c r="J594" s="445"/>
      <c r="K594" s="447"/>
      <c r="L594" s="448" t="s">
        <v>855</v>
      </c>
      <c r="M594" s="445">
        <v>3</v>
      </c>
      <c r="N594" s="445" t="s">
        <v>93</v>
      </c>
      <c r="O594" s="449" t="s">
        <v>1663</v>
      </c>
      <c r="P594" s="450">
        <v>7.7610000000000001</v>
      </c>
      <c r="Q594" s="451">
        <f t="shared" si="18"/>
        <v>7.7610000000000001</v>
      </c>
      <c r="R594" s="451">
        <f>SUMIF('Wege im Detail'!$A:$A,"20316",'Wege im Detail'!$P:$P)</f>
        <v>7.7610000000000001</v>
      </c>
      <c r="S594" s="452" t="s">
        <v>856</v>
      </c>
      <c r="T594" s="453">
        <v>43313</v>
      </c>
      <c r="U594" s="448"/>
      <c r="W594" s="448"/>
    </row>
    <row r="595" spans="1:253" s="458" customFormat="1" ht="55.5" customHeight="1" x14ac:dyDescent="0.2">
      <c r="A595" s="444">
        <v>20322</v>
      </c>
      <c r="B595" s="445" t="s">
        <v>84</v>
      </c>
      <c r="C595" s="445" t="s">
        <v>85</v>
      </c>
      <c r="D595" s="445"/>
      <c r="E595" s="445"/>
      <c r="F595" s="479"/>
      <c r="G595" s="446">
        <v>251</v>
      </c>
      <c r="H595" s="445" t="s">
        <v>857</v>
      </c>
      <c r="I595" s="445"/>
      <c r="J595" s="445"/>
      <c r="K595" s="447"/>
      <c r="L595" s="448"/>
      <c r="M595" s="445">
        <v>5</v>
      </c>
      <c r="N595" s="445" t="s">
        <v>307</v>
      </c>
      <c r="O595" s="449" t="s">
        <v>1664</v>
      </c>
      <c r="P595" s="450">
        <v>6.4169999999999998</v>
      </c>
      <c r="Q595" s="451">
        <f t="shared" si="18"/>
        <v>6.4169999999999998</v>
      </c>
      <c r="R595" s="451">
        <f>SUMIF('Wege im Detail'!$A:$A,"20322",'Wege im Detail'!$P:$P)</f>
        <v>6.4169999999999998</v>
      </c>
      <c r="S595" s="452" t="s">
        <v>858</v>
      </c>
      <c r="T595" s="453">
        <v>43922</v>
      </c>
      <c r="U595" s="448"/>
      <c r="W595" s="448"/>
    </row>
    <row r="596" spans="1:253" s="458" customFormat="1" ht="54" customHeight="1" x14ac:dyDescent="0.25">
      <c r="A596" s="444">
        <v>20362</v>
      </c>
      <c r="B596" s="445" t="s">
        <v>51</v>
      </c>
      <c r="C596" s="445" t="s">
        <v>52</v>
      </c>
      <c r="D596" s="445"/>
      <c r="E596" s="445" t="s">
        <v>286</v>
      </c>
      <c r="F596" s="479"/>
      <c r="G596" s="446">
        <v>87</v>
      </c>
      <c r="H596" s="445">
        <v>550</v>
      </c>
      <c r="I596" s="445"/>
      <c r="J596" s="445">
        <v>1</v>
      </c>
      <c r="K596" s="447">
        <v>2</v>
      </c>
      <c r="L596" s="448" t="s">
        <v>859</v>
      </c>
      <c r="M596" s="448">
        <v>4</v>
      </c>
      <c r="N596" s="445" t="s">
        <v>118</v>
      </c>
      <c r="O596" s="449" t="s">
        <v>1665</v>
      </c>
      <c r="P596" s="450">
        <v>10.819000000000001</v>
      </c>
      <c r="Q596" s="451">
        <f t="shared" si="18"/>
        <v>10.819000000000001</v>
      </c>
      <c r="R596" s="451">
        <f>SUMIF('Wege im Detail'!$A:$A,"20362",'Wege im Detail'!$P:$P)</f>
        <v>35.606000000000002</v>
      </c>
      <c r="S596" s="497" t="s">
        <v>1666</v>
      </c>
      <c r="T596" s="453">
        <v>43952</v>
      </c>
      <c r="U596" s="448"/>
      <c r="V596" s="490"/>
      <c r="W596" s="448"/>
    </row>
    <row r="597" spans="1:253" s="458" customFormat="1" ht="54" x14ac:dyDescent="0.2">
      <c r="A597" s="444">
        <v>20362</v>
      </c>
      <c r="B597" s="445" t="s">
        <v>51</v>
      </c>
      <c r="C597" s="445" t="s">
        <v>52</v>
      </c>
      <c r="D597" s="445"/>
      <c r="E597" s="445" t="s">
        <v>286</v>
      </c>
      <c r="F597" s="479"/>
      <c r="G597" s="446">
        <v>87</v>
      </c>
      <c r="H597" s="445">
        <v>550</v>
      </c>
      <c r="I597" s="445"/>
      <c r="J597" s="445">
        <v>2</v>
      </c>
      <c r="K597" s="447">
        <v>2</v>
      </c>
      <c r="L597" s="448" t="s">
        <v>859</v>
      </c>
      <c r="M597" s="448">
        <v>4</v>
      </c>
      <c r="N597" s="445" t="s">
        <v>1667</v>
      </c>
      <c r="O597" s="449" t="s">
        <v>1668</v>
      </c>
      <c r="P597" s="450">
        <v>24.786999999999999</v>
      </c>
      <c r="Q597" s="451">
        <f t="shared" si="18"/>
        <v>24.786999999999999</v>
      </c>
      <c r="R597" s="451">
        <f>SUMIF('Wege im Detail'!$A:$A,"20362",'Wege im Detail'!$P:$P)</f>
        <v>35.606000000000002</v>
      </c>
      <c r="S597" s="452" t="s">
        <v>1666</v>
      </c>
      <c r="T597" s="453">
        <v>43952</v>
      </c>
      <c r="U597" s="448"/>
      <c r="W597" s="448"/>
    </row>
    <row r="598" spans="1:253" s="458" customFormat="1" ht="56.25" x14ac:dyDescent="0.2">
      <c r="A598" s="444">
        <v>22153</v>
      </c>
      <c r="B598" s="445" t="s">
        <v>84</v>
      </c>
      <c r="C598" s="445" t="s">
        <v>85</v>
      </c>
      <c r="D598" s="445"/>
      <c r="E598" s="445"/>
      <c r="F598" s="445"/>
      <c r="G598" s="446">
        <v>73</v>
      </c>
      <c r="H598" s="445" t="s">
        <v>861</v>
      </c>
      <c r="I598" s="445"/>
      <c r="J598" s="445"/>
      <c r="K598" s="447"/>
      <c r="L598" s="445" t="s">
        <v>320</v>
      </c>
      <c r="M598" s="445">
        <v>3</v>
      </c>
      <c r="N598" s="445" t="s">
        <v>466</v>
      </c>
      <c r="O598" s="449" t="s">
        <v>1669</v>
      </c>
      <c r="P598" s="450">
        <v>3.49</v>
      </c>
      <c r="Q598" s="451">
        <f t="shared" si="18"/>
        <v>3.49</v>
      </c>
      <c r="R598" s="451">
        <f>SUMIF('Wege im Detail'!$A:$A,"022153",'Wege im Detail'!$P:$P)</f>
        <v>3.49</v>
      </c>
      <c r="S598" s="452" t="s">
        <v>862</v>
      </c>
      <c r="T598" s="453">
        <v>43952</v>
      </c>
      <c r="U598" s="448"/>
      <c r="V598" s="455" t="s">
        <v>1670</v>
      </c>
      <c r="W598" s="448"/>
    </row>
    <row r="599" spans="1:253" s="458" customFormat="1" ht="45" x14ac:dyDescent="0.2">
      <c r="A599" s="444">
        <v>22176</v>
      </c>
      <c r="B599" s="445" t="s">
        <v>84</v>
      </c>
      <c r="C599" s="445" t="s">
        <v>85</v>
      </c>
      <c r="D599" s="445" t="s">
        <v>320</v>
      </c>
      <c r="E599" s="445"/>
      <c r="F599" s="479"/>
      <c r="G599" s="496">
        <v>154</v>
      </c>
      <c r="H599" s="445" t="s">
        <v>863</v>
      </c>
      <c r="I599" s="445"/>
      <c r="J599" s="445"/>
      <c r="K599" s="447"/>
      <c r="L599" s="448" t="s">
        <v>864</v>
      </c>
      <c r="M599" s="448">
        <v>1</v>
      </c>
      <c r="N599" s="445" t="s">
        <v>79</v>
      </c>
      <c r="O599" s="498" t="s">
        <v>1671</v>
      </c>
      <c r="P599" s="450">
        <v>2.7679999999999998</v>
      </c>
      <c r="Q599" s="451">
        <f t="shared" si="18"/>
        <v>2.7679999999999998</v>
      </c>
      <c r="R599" s="451">
        <f>SUMIF('Wege im Detail'!$A:$A,"22176",'Wege im Detail'!$P:$P)</f>
        <v>2.7679999999999998</v>
      </c>
      <c r="S599" s="452" t="s">
        <v>865</v>
      </c>
      <c r="T599" s="453">
        <v>43952</v>
      </c>
      <c r="U599" s="448"/>
      <c r="V599" s="476"/>
      <c r="W599" s="448"/>
    </row>
    <row r="600" spans="1:253" s="458" customFormat="1" ht="45" x14ac:dyDescent="0.2">
      <c r="A600" s="444">
        <v>22178</v>
      </c>
      <c r="B600" s="499" t="s">
        <v>84</v>
      </c>
      <c r="C600" s="445" t="s">
        <v>85</v>
      </c>
      <c r="D600" s="499" t="s">
        <v>320</v>
      </c>
      <c r="E600" s="499"/>
      <c r="F600" s="500"/>
      <c r="G600" s="496">
        <v>154</v>
      </c>
      <c r="H600" s="445" t="s">
        <v>866</v>
      </c>
      <c r="I600" s="499"/>
      <c r="J600" s="499"/>
      <c r="K600" s="494"/>
      <c r="L600" s="501" t="s">
        <v>867</v>
      </c>
      <c r="M600" s="501">
        <v>1</v>
      </c>
      <c r="N600" s="499" t="s">
        <v>79</v>
      </c>
      <c r="O600" s="498" t="s">
        <v>1672</v>
      </c>
      <c r="P600" s="502">
        <v>2.1320000000000001</v>
      </c>
      <c r="Q600" s="503">
        <f t="shared" si="18"/>
        <v>2.1320000000000001</v>
      </c>
      <c r="R600" s="451">
        <f>SUMIF('Wege im Detail'!$A:$A,"22178",'Wege im Detail'!$P:$P)</f>
        <v>2.1320000000000001</v>
      </c>
      <c r="S600" s="452" t="s">
        <v>868</v>
      </c>
      <c r="T600" s="453">
        <v>43952</v>
      </c>
      <c r="U600" s="448"/>
      <c r="W600" s="448"/>
    </row>
    <row r="601" spans="1:253" s="458" customFormat="1" ht="33.75" x14ac:dyDescent="0.2">
      <c r="A601" s="444">
        <v>22180</v>
      </c>
      <c r="B601" s="499" t="s">
        <v>84</v>
      </c>
      <c r="C601" s="445" t="s">
        <v>85</v>
      </c>
      <c r="D601" s="499" t="s">
        <v>320</v>
      </c>
      <c r="E601" s="499" t="s">
        <v>1673</v>
      </c>
      <c r="F601" s="500"/>
      <c r="G601" s="496">
        <v>154</v>
      </c>
      <c r="H601" s="445" t="s">
        <v>869</v>
      </c>
      <c r="I601" s="499"/>
      <c r="J601" s="499"/>
      <c r="K601" s="494"/>
      <c r="L601" s="501" t="s">
        <v>867</v>
      </c>
      <c r="M601" s="501">
        <v>1</v>
      </c>
      <c r="N601" s="499" t="s">
        <v>79</v>
      </c>
      <c r="O601" s="504" t="s">
        <v>1674</v>
      </c>
      <c r="P601" s="502">
        <v>1.022</v>
      </c>
      <c r="Q601" s="503">
        <f t="shared" si="18"/>
        <v>1.022</v>
      </c>
      <c r="R601" s="451">
        <f>SUMIF('Wege im Detail'!$A:$A,"22180",'Wege im Detail'!$P:$P)</f>
        <v>1.022</v>
      </c>
      <c r="S601" s="505" t="s">
        <v>871</v>
      </c>
      <c r="T601" s="453">
        <v>43952</v>
      </c>
      <c r="U601" s="448"/>
      <c r="V601" s="506"/>
      <c r="W601" s="448"/>
      <c r="X601" s="455"/>
      <c r="Y601" s="455"/>
      <c r="Z601" s="455"/>
      <c r="AA601" s="455"/>
      <c r="AB601" s="455"/>
      <c r="AC601" s="455"/>
      <c r="AD601" s="455"/>
      <c r="AE601" s="455"/>
      <c r="AF601" s="455"/>
      <c r="AG601" s="455"/>
      <c r="AH601" s="455"/>
      <c r="AI601" s="455"/>
      <c r="AJ601" s="455"/>
      <c r="AK601" s="455"/>
      <c r="AL601" s="455"/>
      <c r="AM601" s="455"/>
      <c r="AN601" s="455"/>
      <c r="AO601" s="455"/>
      <c r="AP601" s="455"/>
      <c r="AQ601" s="455"/>
      <c r="AR601" s="455"/>
      <c r="AS601" s="455"/>
      <c r="AT601" s="455"/>
      <c r="AU601" s="455"/>
      <c r="AV601" s="455"/>
      <c r="AW601" s="455"/>
      <c r="AX601" s="455"/>
      <c r="AY601" s="455"/>
      <c r="AZ601" s="455"/>
      <c r="BA601" s="455"/>
      <c r="BB601" s="455"/>
      <c r="BC601" s="455"/>
      <c r="BD601" s="455"/>
      <c r="BE601" s="455"/>
      <c r="BF601" s="455"/>
      <c r="BG601" s="455"/>
      <c r="BH601" s="455"/>
      <c r="BI601" s="455"/>
      <c r="BJ601" s="455"/>
      <c r="BK601" s="455"/>
      <c r="BL601" s="455"/>
      <c r="BM601" s="455"/>
      <c r="BN601" s="455"/>
      <c r="BO601" s="455"/>
      <c r="BP601" s="455"/>
      <c r="BQ601" s="455"/>
      <c r="BR601" s="455"/>
      <c r="BS601" s="455"/>
      <c r="BT601" s="455"/>
      <c r="BU601" s="455"/>
      <c r="BV601" s="455"/>
      <c r="BW601" s="455"/>
      <c r="BX601" s="455"/>
      <c r="BY601" s="455"/>
      <c r="BZ601" s="455"/>
      <c r="CA601" s="455"/>
      <c r="CB601" s="455"/>
      <c r="CC601" s="455"/>
      <c r="CD601" s="455"/>
      <c r="CE601" s="455"/>
      <c r="CF601" s="455"/>
      <c r="CG601" s="455"/>
      <c r="CH601" s="455"/>
      <c r="CI601" s="455"/>
      <c r="CJ601" s="455"/>
      <c r="CK601" s="455"/>
      <c r="CL601" s="455"/>
      <c r="CM601" s="455"/>
      <c r="CN601" s="455"/>
      <c r="CO601" s="455"/>
      <c r="CP601" s="455"/>
      <c r="CQ601" s="455"/>
      <c r="CR601" s="455"/>
      <c r="CS601" s="455"/>
      <c r="CT601" s="455"/>
      <c r="CU601" s="455"/>
      <c r="CV601" s="455"/>
      <c r="CW601" s="455"/>
      <c r="CX601" s="455"/>
      <c r="CY601" s="455"/>
      <c r="CZ601" s="455"/>
      <c r="DA601" s="455"/>
      <c r="DB601" s="455"/>
      <c r="DC601" s="455"/>
      <c r="DD601" s="455"/>
      <c r="DE601" s="455"/>
      <c r="DF601" s="455"/>
      <c r="DG601" s="455"/>
      <c r="DH601" s="455"/>
      <c r="DI601" s="455"/>
      <c r="DJ601" s="455"/>
      <c r="DK601" s="455"/>
      <c r="DL601" s="455"/>
      <c r="DM601" s="455"/>
      <c r="DN601" s="455"/>
      <c r="DO601" s="455"/>
      <c r="DP601" s="455"/>
      <c r="DQ601" s="455"/>
      <c r="DR601" s="455"/>
      <c r="DS601" s="455"/>
      <c r="DT601" s="455"/>
      <c r="DU601" s="455"/>
      <c r="DV601" s="455"/>
      <c r="DW601" s="455"/>
      <c r="DX601" s="455"/>
      <c r="DY601" s="455"/>
      <c r="DZ601" s="455"/>
      <c r="EA601" s="455"/>
      <c r="EB601" s="455"/>
      <c r="EC601" s="455"/>
      <c r="ED601" s="455"/>
      <c r="EE601" s="455"/>
      <c r="EF601" s="455"/>
      <c r="EG601" s="455"/>
      <c r="EH601" s="455"/>
      <c r="EI601" s="455"/>
      <c r="EJ601" s="455"/>
      <c r="EK601" s="455"/>
      <c r="EL601" s="455"/>
      <c r="EM601" s="455"/>
      <c r="EN601" s="455"/>
      <c r="EO601" s="455"/>
      <c r="EP601" s="455"/>
      <c r="EQ601" s="455"/>
      <c r="ER601" s="455"/>
      <c r="ES601" s="455"/>
      <c r="ET601" s="455"/>
      <c r="EU601" s="455"/>
      <c r="EV601" s="455"/>
      <c r="EW601" s="455"/>
      <c r="EX601" s="455"/>
      <c r="EY601" s="455"/>
      <c r="EZ601" s="455"/>
      <c r="FA601" s="455"/>
      <c r="FB601" s="455"/>
      <c r="FC601" s="455"/>
      <c r="FD601" s="455"/>
      <c r="FE601" s="455"/>
      <c r="FF601" s="455"/>
      <c r="FG601" s="455"/>
      <c r="FH601" s="455"/>
      <c r="FI601" s="455"/>
      <c r="FJ601" s="455"/>
      <c r="FK601" s="455"/>
      <c r="FL601" s="455"/>
      <c r="FM601" s="455"/>
      <c r="FN601" s="455"/>
      <c r="FO601" s="455"/>
      <c r="FP601" s="455"/>
      <c r="FQ601" s="455"/>
      <c r="FR601" s="455"/>
      <c r="FS601" s="455"/>
      <c r="FT601" s="455"/>
      <c r="FU601" s="455"/>
      <c r="FV601" s="455"/>
      <c r="FW601" s="455"/>
      <c r="FX601" s="455"/>
      <c r="FY601" s="455"/>
      <c r="FZ601" s="455"/>
      <c r="GA601" s="455"/>
      <c r="GB601" s="455"/>
      <c r="GC601" s="455"/>
      <c r="GD601" s="455"/>
      <c r="GE601" s="455"/>
      <c r="GF601" s="455"/>
      <c r="GG601" s="455"/>
      <c r="GH601" s="455"/>
      <c r="GI601" s="455"/>
      <c r="GJ601" s="455"/>
      <c r="GK601" s="455"/>
      <c r="GL601" s="455"/>
      <c r="GM601" s="455"/>
      <c r="GN601" s="455"/>
      <c r="GO601" s="455"/>
      <c r="GP601" s="455"/>
      <c r="GQ601" s="455"/>
      <c r="GR601" s="455"/>
      <c r="GS601" s="455"/>
      <c r="GT601" s="455"/>
      <c r="GU601" s="455"/>
      <c r="GV601" s="455"/>
      <c r="GW601" s="455"/>
      <c r="GX601" s="455"/>
      <c r="GY601" s="455"/>
      <c r="GZ601" s="455"/>
      <c r="HA601" s="455"/>
      <c r="HB601" s="455"/>
      <c r="HC601" s="455"/>
      <c r="HD601" s="455"/>
      <c r="HE601" s="455"/>
      <c r="HF601" s="455"/>
      <c r="HG601" s="455"/>
      <c r="HH601" s="455"/>
      <c r="HI601" s="455"/>
      <c r="HJ601" s="455"/>
      <c r="HK601" s="455"/>
      <c r="HL601" s="455"/>
      <c r="HM601" s="455"/>
      <c r="HN601" s="455"/>
      <c r="HO601" s="455"/>
      <c r="HP601" s="455"/>
      <c r="HQ601" s="455"/>
      <c r="HR601" s="455"/>
      <c r="HS601" s="455"/>
      <c r="HT601" s="455"/>
      <c r="HU601" s="455"/>
      <c r="HV601" s="455"/>
      <c r="HW601" s="455"/>
      <c r="HX601" s="455"/>
      <c r="HY601" s="455"/>
      <c r="HZ601" s="455"/>
      <c r="IA601" s="455"/>
      <c r="IB601" s="455"/>
      <c r="IC601" s="455"/>
      <c r="ID601" s="455"/>
      <c r="IE601" s="455"/>
      <c r="IF601" s="455"/>
      <c r="IG601" s="455"/>
      <c r="IH601" s="455"/>
      <c r="II601" s="455"/>
      <c r="IJ601" s="455"/>
      <c r="IK601" s="455"/>
      <c r="IL601" s="455"/>
      <c r="IM601" s="455"/>
      <c r="IN601" s="455"/>
      <c r="IO601" s="455"/>
      <c r="IP601" s="455"/>
      <c r="IQ601" s="455"/>
      <c r="IR601" s="455"/>
      <c r="IS601" s="455"/>
    </row>
    <row r="602" spans="1:253" s="458" customFormat="1" ht="47.25" customHeight="1" x14ac:dyDescent="0.2">
      <c r="A602" s="444">
        <v>22740</v>
      </c>
      <c r="B602" s="445" t="s">
        <v>51</v>
      </c>
      <c r="C602" s="445" t="s">
        <v>52</v>
      </c>
      <c r="D602" s="445" t="s">
        <v>91</v>
      </c>
      <c r="E602" s="445"/>
      <c r="F602" s="445"/>
      <c r="G602" s="446">
        <v>86</v>
      </c>
      <c r="H602" s="445">
        <v>100</v>
      </c>
      <c r="I602" s="445"/>
      <c r="J602" s="445">
        <v>1</v>
      </c>
      <c r="K602" s="447">
        <v>2</v>
      </c>
      <c r="L602" s="445" t="s">
        <v>872</v>
      </c>
      <c r="M602" s="445">
        <v>1</v>
      </c>
      <c r="N602" s="445" t="s">
        <v>656</v>
      </c>
      <c r="O602" s="464" t="s">
        <v>1675</v>
      </c>
      <c r="P602" s="450">
        <v>2.8849999999999998</v>
      </c>
      <c r="Q602" s="451">
        <f t="shared" si="18"/>
        <v>2.8849999999999998</v>
      </c>
      <c r="R602" s="451">
        <f>SUMIF('Wege im Detail'!$A:$A,"22740",'Wege im Detail'!$P:$P)</f>
        <v>7.2859999999999996</v>
      </c>
      <c r="S602" s="452" t="s">
        <v>1676</v>
      </c>
      <c r="T602" s="453">
        <v>43952</v>
      </c>
      <c r="U602" s="448"/>
      <c r="V602" s="455"/>
      <c r="W602" s="448"/>
      <c r="X602" s="455"/>
      <c r="Y602" s="455"/>
      <c r="Z602" s="455"/>
      <c r="AA602" s="455"/>
      <c r="AB602" s="455"/>
      <c r="AC602" s="455"/>
      <c r="AD602" s="455"/>
      <c r="AE602" s="455"/>
      <c r="AF602" s="455"/>
      <c r="AG602" s="455"/>
      <c r="AH602" s="455"/>
      <c r="AI602" s="455"/>
      <c r="AJ602" s="455"/>
      <c r="AK602" s="455"/>
      <c r="AL602" s="455"/>
      <c r="AM602" s="455"/>
      <c r="AN602" s="455"/>
      <c r="AO602" s="455"/>
      <c r="AP602" s="455"/>
      <c r="AQ602" s="455"/>
      <c r="AR602" s="455"/>
      <c r="AS602" s="455"/>
      <c r="AT602" s="455"/>
      <c r="AU602" s="455"/>
      <c r="AV602" s="455"/>
      <c r="AW602" s="455"/>
      <c r="AX602" s="455"/>
      <c r="AY602" s="455"/>
      <c r="AZ602" s="455"/>
      <c r="BA602" s="455"/>
      <c r="BB602" s="455"/>
      <c r="BC602" s="455"/>
      <c r="BD602" s="455"/>
      <c r="BE602" s="455"/>
      <c r="BF602" s="455"/>
      <c r="BG602" s="455"/>
      <c r="BH602" s="455"/>
      <c r="BI602" s="455"/>
      <c r="BJ602" s="455"/>
      <c r="BK602" s="455"/>
      <c r="BL602" s="455"/>
      <c r="BM602" s="455"/>
      <c r="BN602" s="455"/>
      <c r="BO602" s="455"/>
      <c r="BP602" s="455"/>
      <c r="BQ602" s="455"/>
      <c r="BR602" s="455"/>
      <c r="BS602" s="455"/>
      <c r="BT602" s="455"/>
      <c r="BU602" s="455"/>
      <c r="BV602" s="455"/>
      <c r="BW602" s="455"/>
      <c r="BX602" s="455"/>
      <c r="BY602" s="455"/>
      <c r="BZ602" s="455"/>
      <c r="CA602" s="455"/>
      <c r="CB602" s="455"/>
      <c r="CC602" s="455"/>
      <c r="CD602" s="455"/>
      <c r="CE602" s="455"/>
      <c r="CF602" s="455"/>
      <c r="CG602" s="455"/>
      <c r="CH602" s="455"/>
      <c r="CI602" s="455"/>
      <c r="CJ602" s="455"/>
      <c r="CK602" s="455"/>
      <c r="CL602" s="455"/>
      <c r="CM602" s="455"/>
      <c r="CN602" s="455"/>
      <c r="CO602" s="455"/>
      <c r="CP602" s="455"/>
      <c r="CQ602" s="455"/>
      <c r="CR602" s="455"/>
      <c r="CS602" s="455"/>
      <c r="CT602" s="455"/>
      <c r="CU602" s="455"/>
      <c r="CV602" s="455"/>
      <c r="CW602" s="455"/>
      <c r="CX602" s="455"/>
      <c r="CY602" s="455"/>
      <c r="CZ602" s="455"/>
      <c r="DA602" s="455"/>
      <c r="DB602" s="455"/>
      <c r="DC602" s="455"/>
      <c r="DD602" s="455"/>
      <c r="DE602" s="455"/>
      <c r="DF602" s="455"/>
      <c r="DG602" s="455"/>
      <c r="DH602" s="455"/>
      <c r="DI602" s="455"/>
      <c r="DJ602" s="455"/>
      <c r="DK602" s="455"/>
      <c r="DL602" s="455"/>
      <c r="DM602" s="455"/>
      <c r="DN602" s="455"/>
      <c r="DO602" s="455"/>
      <c r="DP602" s="455"/>
      <c r="DQ602" s="455"/>
      <c r="DR602" s="455"/>
      <c r="DS602" s="455"/>
      <c r="DT602" s="455"/>
      <c r="DU602" s="455"/>
      <c r="DV602" s="455"/>
      <c r="DW602" s="455"/>
      <c r="DX602" s="455"/>
      <c r="DY602" s="455"/>
      <c r="DZ602" s="455"/>
      <c r="EA602" s="455"/>
      <c r="EB602" s="455"/>
      <c r="EC602" s="455"/>
      <c r="ED602" s="455"/>
      <c r="EE602" s="455"/>
      <c r="EF602" s="455"/>
      <c r="EG602" s="455"/>
      <c r="EH602" s="455"/>
      <c r="EI602" s="455"/>
      <c r="EJ602" s="455"/>
      <c r="EK602" s="455"/>
      <c r="EL602" s="455"/>
      <c r="EM602" s="455"/>
      <c r="EN602" s="455"/>
      <c r="EO602" s="455"/>
      <c r="EP602" s="455"/>
      <c r="EQ602" s="455"/>
      <c r="ER602" s="455"/>
      <c r="ES602" s="455"/>
      <c r="ET602" s="455"/>
      <c r="EU602" s="455"/>
      <c r="EV602" s="455"/>
      <c r="EW602" s="455"/>
      <c r="EX602" s="455"/>
      <c r="EY602" s="455"/>
      <c r="EZ602" s="455"/>
      <c r="FA602" s="455"/>
      <c r="FB602" s="455"/>
      <c r="FC602" s="455"/>
      <c r="FD602" s="455"/>
      <c r="FE602" s="455"/>
      <c r="FF602" s="455"/>
      <c r="FG602" s="455"/>
      <c r="FH602" s="455"/>
      <c r="FI602" s="455"/>
      <c r="FJ602" s="455"/>
      <c r="FK602" s="455"/>
      <c r="FL602" s="455"/>
      <c r="FM602" s="455"/>
      <c r="FN602" s="455"/>
      <c r="FO602" s="455"/>
      <c r="FP602" s="455"/>
      <c r="FQ602" s="455"/>
      <c r="FR602" s="455"/>
      <c r="FS602" s="455"/>
      <c r="FT602" s="455"/>
      <c r="FU602" s="455"/>
      <c r="FV602" s="455"/>
      <c r="FW602" s="455"/>
      <c r="FX602" s="455"/>
      <c r="FY602" s="455"/>
      <c r="FZ602" s="455"/>
      <c r="GA602" s="455"/>
      <c r="GB602" s="455"/>
      <c r="GC602" s="455"/>
      <c r="GD602" s="455"/>
      <c r="GE602" s="455"/>
      <c r="GF602" s="455"/>
      <c r="GG602" s="455"/>
      <c r="GH602" s="455"/>
      <c r="GI602" s="455"/>
      <c r="GJ602" s="455"/>
      <c r="GK602" s="455"/>
      <c r="GL602" s="455"/>
      <c r="GM602" s="455"/>
      <c r="GN602" s="455"/>
      <c r="GO602" s="455"/>
      <c r="GP602" s="455"/>
      <c r="GQ602" s="455"/>
      <c r="GR602" s="455"/>
      <c r="GS602" s="455"/>
      <c r="GT602" s="455"/>
      <c r="GU602" s="455"/>
      <c r="GV602" s="455"/>
      <c r="GW602" s="455"/>
      <c r="GX602" s="455"/>
      <c r="GY602" s="455"/>
      <c r="GZ602" s="455"/>
      <c r="HA602" s="455"/>
      <c r="HB602" s="455"/>
      <c r="HC602" s="455"/>
      <c r="HD602" s="455"/>
      <c r="HE602" s="455"/>
      <c r="HF602" s="455"/>
      <c r="HG602" s="455"/>
      <c r="HH602" s="455"/>
      <c r="HI602" s="455"/>
      <c r="HJ602" s="455"/>
      <c r="HK602" s="455"/>
      <c r="HL602" s="455"/>
      <c r="HM602" s="455"/>
      <c r="HN602" s="455"/>
      <c r="HO602" s="455"/>
      <c r="HP602" s="455"/>
      <c r="HQ602" s="455"/>
      <c r="HR602" s="455"/>
      <c r="HS602" s="455"/>
      <c r="HT602" s="455"/>
      <c r="HU602" s="455"/>
      <c r="HV602" s="455"/>
      <c r="HW602" s="455"/>
      <c r="HX602" s="455"/>
      <c r="HY602" s="455"/>
      <c r="HZ602" s="455"/>
      <c r="IA602" s="455"/>
      <c r="IB602" s="455"/>
      <c r="IC602" s="455"/>
      <c r="ID602" s="455"/>
      <c r="IE602" s="455"/>
      <c r="IF602" s="455"/>
      <c r="IG602" s="455"/>
      <c r="IH602" s="455"/>
      <c r="II602" s="455"/>
      <c r="IJ602" s="455"/>
      <c r="IK602" s="455"/>
      <c r="IL602" s="455"/>
      <c r="IM602" s="455"/>
      <c r="IN602" s="455"/>
      <c r="IO602" s="455"/>
      <c r="IP602" s="455"/>
      <c r="IQ602" s="455"/>
      <c r="IR602" s="455"/>
      <c r="IS602" s="455"/>
    </row>
    <row r="603" spans="1:253" s="458" customFormat="1" ht="45" x14ac:dyDescent="0.2">
      <c r="A603" s="444">
        <v>22740</v>
      </c>
      <c r="B603" s="445" t="s">
        <v>51</v>
      </c>
      <c r="C603" s="445" t="s">
        <v>85</v>
      </c>
      <c r="D603" s="445" t="s">
        <v>91</v>
      </c>
      <c r="E603" s="445"/>
      <c r="F603" s="445"/>
      <c r="G603" s="446">
        <v>86</v>
      </c>
      <c r="H603" s="445">
        <v>100</v>
      </c>
      <c r="I603" s="445"/>
      <c r="J603" s="445">
        <v>2</v>
      </c>
      <c r="K603" s="447">
        <v>2</v>
      </c>
      <c r="L603" s="445" t="s">
        <v>872</v>
      </c>
      <c r="M603" s="445">
        <v>1</v>
      </c>
      <c r="N603" s="445" t="s">
        <v>425</v>
      </c>
      <c r="O603" s="464" t="s">
        <v>1677</v>
      </c>
      <c r="P603" s="450">
        <v>4.4009999999999998</v>
      </c>
      <c r="Q603" s="451">
        <f t="shared" si="18"/>
        <v>4.4009999999999998</v>
      </c>
      <c r="R603" s="451">
        <f>SUMIF('Wege im Detail'!$A:$A,"22740",'Wege im Detail'!$P:$P)</f>
        <v>7.2859999999999996</v>
      </c>
      <c r="S603" s="452" t="s">
        <v>1676</v>
      </c>
      <c r="T603" s="453">
        <v>43952</v>
      </c>
      <c r="U603" s="448"/>
      <c r="V603" s="506"/>
      <c r="W603" s="448"/>
    </row>
    <row r="604" spans="1:253" s="458" customFormat="1" ht="45" x14ac:dyDescent="0.2">
      <c r="A604" s="444">
        <v>23464</v>
      </c>
      <c r="B604" s="445" t="s">
        <v>84</v>
      </c>
      <c r="C604" s="445" t="s">
        <v>85</v>
      </c>
      <c r="D604" s="445"/>
      <c r="E604" s="445"/>
      <c r="F604" s="445"/>
      <c r="G604" s="446">
        <v>157</v>
      </c>
      <c r="H604" s="445" t="s">
        <v>874</v>
      </c>
      <c r="I604" s="445"/>
      <c r="J604" s="445"/>
      <c r="K604" s="447"/>
      <c r="L604" s="445" t="s">
        <v>872</v>
      </c>
      <c r="M604" s="445">
        <v>3</v>
      </c>
      <c r="N604" s="445" t="s">
        <v>466</v>
      </c>
      <c r="O604" s="449" t="s">
        <v>1678</v>
      </c>
      <c r="P604" s="450">
        <v>3.3170000000000002</v>
      </c>
      <c r="Q604" s="451">
        <f t="shared" si="18"/>
        <v>3.3170000000000002</v>
      </c>
      <c r="R604" s="451">
        <f>SUMIF('Wege im Detail'!$A:$A,"23464",'Wege im Detail'!$P:$P)</f>
        <v>3.3170000000000002</v>
      </c>
      <c r="S604" s="452" t="s">
        <v>875</v>
      </c>
      <c r="T604" s="453">
        <v>43952</v>
      </c>
      <c r="U604" s="448"/>
      <c r="V604" s="455"/>
      <c r="W604" s="448"/>
      <c r="X604" s="455"/>
      <c r="Y604" s="455"/>
      <c r="Z604" s="455"/>
      <c r="AA604" s="455"/>
      <c r="AB604" s="455"/>
      <c r="AC604" s="455"/>
      <c r="AD604" s="455"/>
      <c r="AE604" s="455"/>
      <c r="AF604" s="455"/>
      <c r="AG604" s="455"/>
      <c r="AH604" s="455"/>
      <c r="AI604" s="455"/>
      <c r="AJ604" s="455"/>
      <c r="AK604" s="455"/>
      <c r="AL604" s="455"/>
      <c r="AM604" s="455"/>
      <c r="AN604" s="455"/>
      <c r="AO604" s="455"/>
      <c r="AP604" s="455"/>
      <c r="AQ604" s="455"/>
      <c r="AR604" s="455"/>
      <c r="AS604" s="455"/>
      <c r="AT604" s="455"/>
      <c r="AU604" s="455"/>
      <c r="AV604" s="455"/>
      <c r="AW604" s="455"/>
      <c r="AX604" s="455"/>
      <c r="AY604" s="455"/>
      <c r="AZ604" s="455"/>
      <c r="BA604" s="455"/>
      <c r="BB604" s="455"/>
      <c r="BC604" s="455"/>
      <c r="BD604" s="455"/>
      <c r="BE604" s="455"/>
      <c r="BF604" s="455"/>
      <c r="BG604" s="455"/>
      <c r="BH604" s="455"/>
      <c r="BI604" s="455"/>
      <c r="BJ604" s="455"/>
      <c r="BK604" s="455"/>
      <c r="BL604" s="455"/>
      <c r="BM604" s="455"/>
      <c r="BN604" s="455"/>
      <c r="BO604" s="455"/>
      <c r="BP604" s="455"/>
      <c r="BQ604" s="455"/>
      <c r="BR604" s="455"/>
      <c r="BS604" s="455"/>
      <c r="BT604" s="455"/>
      <c r="BU604" s="455"/>
      <c r="BV604" s="455"/>
      <c r="BW604" s="455"/>
      <c r="BX604" s="455"/>
      <c r="BY604" s="455"/>
      <c r="BZ604" s="455"/>
      <c r="CA604" s="455"/>
      <c r="CB604" s="455"/>
      <c r="CC604" s="455"/>
      <c r="CD604" s="455"/>
      <c r="CE604" s="455"/>
      <c r="CF604" s="455"/>
      <c r="CG604" s="455"/>
      <c r="CH604" s="455"/>
      <c r="CI604" s="455"/>
      <c r="CJ604" s="455"/>
      <c r="CK604" s="455"/>
      <c r="CL604" s="455"/>
      <c r="CM604" s="455"/>
      <c r="CN604" s="455"/>
      <c r="CO604" s="455"/>
      <c r="CP604" s="455"/>
      <c r="CQ604" s="455"/>
      <c r="CR604" s="455"/>
      <c r="CS604" s="455"/>
      <c r="CT604" s="455"/>
      <c r="CU604" s="455"/>
      <c r="CV604" s="455"/>
      <c r="CW604" s="455"/>
      <c r="CX604" s="455"/>
      <c r="CY604" s="455"/>
      <c r="CZ604" s="455"/>
      <c r="DA604" s="455"/>
      <c r="DB604" s="455"/>
      <c r="DC604" s="455"/>
      <c r="DD604" s="455"/>
      <c r="DE604" s="455"/>
      <c r="DF604" s="455"/>
      <c r="DG604" s="455"/>
      <c r="DH604" s="455"/>
      <c r="DI604" s="455"/>
      <c r="DJ604" s="455"/>
      <c r="DK604" s="455"/>
      <c r="DL604" s="455"/>
      <c r="DM604" s="455"/>
      <c r="DN604" s="455"/>
      <c r="DO604" s="455"/>
      <c r="DP604" s="455"/>
      <c r="DQ604" s="455"/>
      <c r="DR604" s="455"/>
      <c r="DS604" s="455"/>
      <c r="DT604" s="455"/>
      <c r="DU604" s="455"/>
      <c r="DV604" s="455"/>
      <c r="DW604" s="455"/>
      <c r="DX604" s="455"/>
      <c r="DY604" s="455"/>
      <c r="DZ604" s="455"/>
      <c r="EA604" s="455"/>
      <c r="EB604" s="455"/>
      <c r="EC604" s="455"/>
      <c r="ED604" s="455"/>
      <c r="EE604" s="455"/>
      <c r="EF604" s="455"/>
      <c r="EG604" s="455"/>
      <c r="EH604" s="455"/>
      <c r="EI604" s="455"/>
      <c r="EJ604" s="455"/>
      <c r="EK604" s="455"/>
      <c r="EL604" s="455"/>
      <c r="EM604" s="455"/>
      <c r="EN604" s="455"/>
      <c r="EO604" s="455"/>
      <c r="EP604" s="455"/>
      <c r="EQ604" s="455"/>
      <c r="ER604" s="455"/>
      <c r="ES604" s="455"/>
      <c r="ET604" s="455"/>
      <c r="EU604" s="455"/>
      <c r="EV604" s="455"/>
      <c r="EW604" s="455"/>
      <c r="EX604" s="455"/>
      <c r="EY604" s="455"/>
      <c r="EZ604" s="455"/>
      <c r="FA604" s="455"/>
      <c r="FB604" s="455"/>
      <c r="FC604" s="455"/>
      <c r="FD604" s="455"/>
      <c r="FE604" s="455"/>
      <c r="FF604" s="455"/>
      <c r="FG604" s="455"/>
      <c r="FH604" s="455"/>
      <c r="FI604" s="455"/>
      <c r="FJ604" s="455"/>
      <c r="FK604" s="455"/>
      <c r="FL604" s="455"/>
      <c r="FM604" s="455"/>
      <c r="FN604" s="455"/>
      <c r="FO604" s="455"/>
      <c r="FP604" s="455"/>
      <c r="FQ604" s="455"/>
      <c r="FR604" s="455"/>
      <c r="FS604" s="455"/>
      <c r="FT604" s="455"/>
      <c r="FU604" s="455"/>
      <c r="FV604" s="455"/>
      <c r="FW604" s="455"/>
      <c r="FX604" s="455"/>
      <c r="FY604" s="455"/>
      <c r="FZ604" s="455"/>
      <c r="GA604" s="455"/>
      <c r="GB604" s="455"/>
      <c r="GC604" s="455"/>
      <c r="GD604" s="455"/>
      <c r="GE604" s="455"/>
      <c r="GF604" s="455"/>
      <c r="GG604" s="455"/>
      <c r="GH604" s="455"/>
      <c r="GI604" s="455"/>
      <c r="GJ604" s="455"/>
      <c r="GK604" s="455"/>
      <c r="GL604" s="455"/>
      <c r="GM604" s="455"/>
      <c r="GN604" s="455"/>
      <c r="GO604" s="455"/>
      <c r="GP604" s="455"/>
      <c r="GQ604" s="455"/>
      <c r="GR604" s="455"/>
      <c r="GS604" s="455"/>
      <c r="GT604" s="455"/>
      <c r="GU604" s="455"/>
      <c r="GV604" s="455"/>
      <c r="GW604" s="455"/>
      <c r="GX604" s="455"/>
      <c r="GY604" s="455"/>
      <c r="GZ604" s="455"/>
      <c r="HA604" s="455"/>
      <c r="HB604" s="455"/>
      <c r="HC604" s="455"/>
      <c r="HD604" s="455"/>
      <c r="HE604" s="455"/>
      <c r="HF604" s="455"/>
      <c r="HG604" s="455"/>
      <c r="HH604" s="455"/>
      <c r="HI604" s="455"/>
      <c r="HJ604" s="455"/>
      <c r="HK604" s="455"/>
      <c r="HL604" s="455"/>
      <c r="HM604" s="455"/>
      <c r="HN604" s="455"/>
      <c r="HO604" s="455"/>
      <c r="HP604" s="455"/>
      <c r="HQ604" s="455"/>
      <c r="HR604" s="455"/>
      <c r="HS604" s="455"/>
      <c r="HT604" s="455"/>
      <c r="HU604" s="455"/>
      <c r="HV604" s="455"/>
      <c r="HW604" s="455"/>
      <c r="HX604" s="455"/>
      <c r="HY604" s="455"/>
      <c r="HZ604" s="455"/>
      <c r="IA604" s="455"/>
      <c r="IB604" s="455"/>
      <c r="IC604" s="455"/>
      <c r="ID604" s="455"/>
      <c r="IE604" s="455"/>
      <c r="IF604" s="455"/>
      <c r="IG604" s="455"/>
      <c r="IH604" s="455"/>
      <c r="II604" s="455"/>
      <c r="IJ604" s="455"/>
      <c r="IK604" s="455"/>
      <c r="IL604" s="455"/>
      <c r="IM604" s="455"/>
      <c r="IN604" s="455"/>
      <c r="IO604" s="455"/>
      <c r="IP604" s="455"/>
      <c r="IQ604" s="455"/>
      <c r="IR604" s="455"/>
      <c r="IS604" s="455"/>
    </row>
    <row r="605" spans="1:253" s="458" customFormat="1" ht="45" x14ac:dyDescent="0.2">
      <c r="A605" s="444">
        <v>23465</v>
      </c>
      <c r="B605" s="445" t="s">
        <v>84</v>
      </c>
      <c r="C605" s="445" t="s">
        <v>85</v>
      </c>
      <c r="D605" s="445" t="s">
        <v>366</v>
      </c>
      <c r="E605" s="445"/>
      <c r="F605" s="445"/>
      <c r="G605" s="446">
        <v>156</v>
      </c>
      <c r="H605" s="445" t="s">
        <v>876</v>
      </c>
      <c r="I605" s="445"/>
      <c r="J605" s="445"/>
      <c r="K605" s="447"/>
      <c r="L605" s="445" t="s">
        <v>1679</v>
      </c>
      <c r="M605" s="445">
        <v>3</v>
      </c>
      <c r="N605" s="445" t="s">
        <v>187</v>
      </c>
      <c r="O605" s="449" t="s">
        <v>1680</v>
      </c>
      <c r="P605" s="450">
        <v>2.3340000000000001</v>
      </c>
      <c r="Q605" s="451">
        <f t="shared" si="18"/>
        <v>2.3340000000000001</v>
      </c>
      <c r="R605" s="451">
        <f>SUMIF('Wege im Detail'!$A:$A,"2982",'Wege im Detail'!$P:$P)</f>
        <v>7.4969999999999999</v>
      </c>
      <c r="S605" s="452" t="s">
        <v>1681</v>
      </c>
      <c r="T605" s="453">
        <v>43922</v>
      </c>
      <c r="U605" s="448"/>
      <c r="V605" s="476"/>
      <c r="W605" s="448"/>
    </row>
    <row r="606" spans="1:253" s="458" customFormat="1" ht="75" customHeight="1" x14ac:dyDescent="0.2">
      <c r="A606" s="444">
        <v>24187</v>
      </c>
      <c r="B606" s="445" t="s">
        <v>51</v>
      </c>
      <c r="C606" s="445" t="s">
        <v>52</v>
      </c>
      <c r="D606" s="445" t="s">
        <v>91</v>
      </c>
      <c r="E606" s="445"/>
      <c r="F606" s="470"/>
      <c r="G606" s="446">
        <v>57</v>
      </c>
      <c r="H606" s="445">
        <v>101</v>
      </c>
      <c r="I606" s="445"/>
      <c r="J606" s="445">
        <v>1</v>
      </c>
      <c r="K606" s="447">
        <v>1</v>
      </c>
      <c r="L606" s="445" t="s">
        <v>879</v>
      </c>
      <c r="M606" s="445">
        <v>3</v>
      </c>
      <c r="N606" s="445" t="s">
        <v>206</v>
      </c>
      <c r="O606" s="449" t="s">
        <v>1682</v>
      </c>
      <c r="P606" s="450">
        <v>8.218</v>
      </c>
      <c r="Q606" s="451">
        <f t="shared" si="18"/>
        <v>8.218</v>
      </c>
      <c r="R606" s="451">
        <f>SUMIF('Wege im Detail'!$A:$A,"24187",'Wege im Detail'!$P:$P)</f>
        <v>8.218</v>
      </c>
      <c r="S606" s="452" t="s">
        <v>1683</v>
      </c>
      <c r="T606" s="453">
        <v>43952</v>
      </c>
      <c r="U606" s="448"/>
      <c r="V606" s="476"/>
      <c r="W606" s="448"/>
    </row>
    <row r="607" spans="1:253" s="458" customFormat="1" ht="52.5" customHeight="1" x14ac:dyDescent="0.2">
      <c r="A607" s="444">
        <v>24321</v>
      </c>
      <c r="B607" s="445" t="s">
        <v>84</v>
      </c>
      <c r="C607" s="445" t="s">
        <v>366</v>
      </c>
      <c r="D607" s="445" t="s">
        <v>366</v>
      </c>
      <c r="E607" s="445"/>
      <c r="F607" s="470"/>
      <c r="G607" s="446">
        <v>106</v>
      </c>
      <c r="H607" s="445" t="s">
        <v>881</v>
      </c>
      <c r="I607" s="445"/>
      <c r="J607" s="445"/>
      <c r="K607" s="447"/>
      <c r="L607" s="445" t="s">
        <v>882</v>
      </c>
      <c r="M607" s="445">
        <v>4</v>
      </c>
      <c r="N607" s="445" t="s">
        <v>124</v>
      </c>
      <c r="O607" s="449" t="s">
        <v>1684</v>
      </c>
      <c r="P607" s="450">
        <v>20.419</v>
      </c>
      <c r="Q607" s="451">
        <f t="shared" si="18"/>
        <v>20.419</v>
      </c>
      <c r="R607" s="451">
        <f>SUMIF('Wege im Detail'!$A:$A,"24321",'Wege im Detail'!$P:$P)</f>
        <v>20.419</v>
      </c>
      <c r="S607" s="452" t="s">
        <v>883</v>
      </c>
      <c r="T607" s="453">
        <v>43922</v>
      </c>
      <c r="U607" s="448"/>
      <c r="V607" s="448" t="s">
        <v>1685</v>
      </c>
      <c r="W607" s="448"/>
      <c r="X607" s="455"/>
      <c r="Y607" s="455"/>
      <c r="Z607" s="455"/>
      <c r="AA607" s="455"/>
      <c r="AB607" s="455"/>
      <c r="AC607" s="455"/>
      <c r="AD607" s="455"/>
      <c r="AE607" s="455"/>
      <c r="AF607" s="455"/>
      <c r="AG607" s="455"/>
      <c r="AH607" s="455"/>
      <c r="AI607" s="455"/>
      <c r="AJ607" s="455"/>
      <c r="AK607" s="455"/>
      <c r="AL607" s="455"/>
      <c r="AM607" s="455"/>
      <c r="AN607" s="455"/>
      <c r="AO607" s="455"/>
      <c r="AP607" s="455"/>
      <c r="AQ607" s="455"/>
      <c r="AR607" s="455"/>
      <c r="AS607" s="455"/>
      <c r="AT607" s="455"/>
      <c r="AU607" s="455"/>
      <c r="AV607" s="455"/>
      <c r="AW607" s="455"/>
      <c r="AX607" s="455"/>
      <c r="AY607" s="455"/>
      <c r="AZ607" s="455"/>
      <c r="BA607" s="455"/>
      <c r="BB607" s="455"/>
      <c r="BC607" s="455"/>
      <c r="BD607" s="455"/>
      <c r="BE607" s="455"/>
      <c r="BF607" s="455"/>
      <c r="BG607" s="455"/>
      <c r="BH607" s="455"/>
      <c r="BI607" s="455"/>
      <c r="BJ607" s="455"/>
      <c r="BK607" s="455"/>
      <c r="BL607" s="455"/>
      <c r="BM607" s="455"/>
      <c r="BN607" s="455"/>
      <c r="BO607" s="455"/>
      <c r="BP607" s="455"/>
      <c r="BQ607" s="455"/>
      <c r="BR607" s="455"/>
      <c r="BS607" s="455"/>
      <c r="BT607" s="455"/>
      <c r="BU607" s="455"/>
      <c r="BV607" s="455"/>
      <c r="BW607" s="455"/>
      <c r="BX607" s="455"/>
      <c r="BY607" s="455"/>
      <c r="BZ607" s="455"/>
      <c r="CA607" s="455"/>
      <c r="CB607" s="455"/>
      <c r="CC607" s="455"/>
      <c r="CD607" s="455"/>
      <c r="CE607" s="455"/>
      <c r="CF607" s="455"/>
      <c r="CG607" s="455"/>
      <c r="CH607" s="455"/>
      <c r="CI607" s="455"/>
      <c r="CJ607" s="455"/>
      <c r="CK607" s="455"/>
      <c r="CL607" s="455"/>
      <c r="CM607" s="455"/>
      <c r="CN607" s="455"/>
      <c r="CO607" s="455"/>
      <c r="CP607" s="455"/>
      <c r="CQ607" s="455"/>
      <c r="CR607" s="455"/>
      <c r="CS607" s="455"/>
      <c r="CT607" s="455"/>
      <c r="CU607" s="455"/>
      <c r="CV607" s="455"/>
      <c r="CW607" s="455"/>
      <c r="CX607" s="455"/>
      <c r="CY607" s="455"/>
      <c r="CZ607" s="455"/>
      <c r="DA607" s="455"/>
      <c r="DB607" s="455"/>
      <c r="DC607" s="455"/>
      <c r="DD607" s="455"/>
      <c r="DE607" s="455"/>
      <c r="DF607" s="455"/>
      <c r="DG607" s="455"/>
      <c r="DH607" s="455"/>
      <c r="DI607" s="455"/>
      <c r="DJ607" s="455"/>
      <c r="DK607" s="455"/>
      <c r="DL607" s="455"/>
      <c r="DM607" s="455"/>
      <c r="DN607" s="455"/>
      <c r="DO607" s="455"/>
      <c r="DP607" s="455"/>
      <c r="DQ607" s="455"/>
      <c r="DR607" s="455"/>
      <c r="DS607" s="455"/>
      <c r="DT607" s="455"/>
      <c r="DU607" s="455"/>
      <c r="DV607" s="455"/>
      <c r="DW607" s="455"/>
      <c r="DX607" s="455"/>
      <c r="DY607" s="455"/>
      <c r="DZ607" s="455"/>
      <c r="EA607" s="455"/>
      <c r="EB607" s="455"/>
      <c r="EC607" s="455"/>
      <c r="ED607" s="455"/>
      <c r="EE607" s="455"/>
      <c r="EF607" s="455"/>
      <c r="EG607" s="455"/>
      <c r="EH607" s="455"/>
      <c r="EI607" s="455"/>
      <c r="EJ607" s="455"/>
      <c r="EK607" s="455"/>
      <c r="EL607" s="455"/>
      <c r="EM607" s="455"/>
      <c r="EN607" s="455"/>
      <c r="EO607" s="455"/>
      <c r="EP607" s="455"/>
      <c r="EQ607" s="455"/>
      <c r="ER607" s="455"/>
      <c r="ES607" s="455"/>
      <c r="ET607" s="455"/>
      <c r="EU607" s="455"/>
      <c r="EV607" s="455"/>
      <c r="EW607" s="455"/>
      <c r="EX607" s="455"/>
      <c r="EY607" s="455"/>
      <c r="EZ607" s="455"/>
      <c r="FA607" s="455"/>
      <c r="FB607" s="455"/>
      <c r="FC607" s="455"/>
      <c r="FD607" s="455"/>
      <c r="FE607" s="455"/>
      <c r="FF607" s="455"/>
      <c r="FG607" s="455"/>
      <c r="FH607" s="455"/>
      <c r="FI607" s="455"/>
      <c r="FJ607" s="455"/>
      <c r="FK607" s="455"/>
      <c r="FL607" s="455"/>
      <c r="FM607" s="455"/>
      <c r="FN607" s="455"/>
      <c r="FO607" s="455"/>
      <c r="FP607" s="455"/>
      <c r="FQ607" s="455"/>
      <c r="FR607" s="455"/>
      <c r="FS607" s="455"/>
      <c r="FT607" s="455"/>
      <c r="FU607" s="455"/>
      <c r="FV607" s="455"/>
      <c r="FW607" s="455"/>
      <c r="FX607" s="455"/>
      <c r="FY607" s="455"/>
      <c r="FZ607" s="455"/>
      <c r="GA607" s="455"/>
      <c r="GB607" s="455"/>
      <c r="GC607" s="455"/>
      <c r="GD607" s="455"/>
      <c r="GE607" s="455"/>
      <c r="GF607" s="455"/>
      <c r="GG607" s="455"/>
      <c r="GH607" s="455"/>
      <c r="GI607" s="455"/>
      <c r="GJ607" s="455"/>
      <c r="GK607" s="455"/>
      <c r="GL607" s="455"/>
      <c r="GM607" s="455"/>
      <c r="GN607" s="455"/>
      <c r="GO607" s="455"/>
      <c r="GP607" s="455"/>
      <c r="GQ607" s="455"/>
      <c r="GR607" s="455"/>
      <c r="GS607" s="455"/>
      <c r="GT607" s="455"/>
      <c r="GU607" s="455"/>
      <c r="GV607" s="455"/>
      <c r="GW607" s="455"/>
      <c r="GX607" s="455"/>
      <c r="GY607" s="455"/>
      <c r="GZ607" s="455"/>
      <c r="HA607" s="455"/>
      <c r="HB607" s="455"/>
      <c r="HC607" s="455"/>
      <c r="HD607" s="455"/>
      <c r="HE607" s="455"/>
      <c r="HF607" s="455"/>
      <c r="HG607" s="455"/>
      <c r="HH607" s="455"/>
      <c r="HI607" s="455"/>
      <c r="HJ607" s="455"/>
      <c r="HK607" s="455"/>
      <c r="HL607" s="455"/>
      <c r="HM607" s="455"/>
      <c r="HN607" s="455"/>
      <c r="HO607" s="455"/>
      <c r="HP607" s="455"/>
      <c r="HQ607" s="455"/>
      <c r="HR607" s="455"/>
      <c r="HS607" s="455"/>
      <c r="HT607" s="455"/>
      <c r="HU607" s="455"/>
      <c r="HV607" s="455"/>
      <c r="HW607" s="455"/>
      <c r="HX607" s="455"/>
      <c r="HY607" s="455"/>
      <c r="HZ607" s="455"/>
      <c r="IA607" s="455"/>
      <c r="IB607" s="455"/>
      <c r="IC607" s="455"/>
      <c r="ID607" s="455"/>
      <c r="IE607" s="455"/>
      <c r="IF607" s="455"/>
      <c r="IG607" s="455"/>
      <c r="IH607" s="455"/>
      <c r="II607" s="455"/>
      <c r="IJ607" s="455"/>
      <c r="IK607" s="455"/>
      <c r="IL607" s="455"/>
      <c r="IM607" s="455"/>
      <c r="IN607" s="455"/>
      <c r="IO607" s="455"/>
      <c r="IP607" s="455"/>
      <c r="IQ607" s="455"/>
      <c r="IR607" s="455"/>
      <c r="IS607" s="455"/>
    </row>
    <row r="608" spans="1:253" s="458" customFormat="1" ht="56.25" x14ac:dyDescent="0.2">
      <c r="A608" s="444">
        <v>24322</v>
      </c>
      <c r="B608" s="445" t="s">
        <v>51</v>
      </c>
      <c r="C608" s="445" t="s">
        <v>85</v>
      </c>
      <c r="D608" s="445" t="s">
        <v>366</v>
      </c>
      <c r="E608" s="445"/>
      <c r="F608" s="470"/>
      <c r="G608" s="446">
        <v>106</v>
      </c>
      <c r="H608" s="445">
        <v>102</v>
      </c>
      <c r="I608" s="445"/>
      <c r="J608" s="445">
        <v>1</v>
      </c>
      <c r="K608" s="447">
        <v>2</v>
      </c>
      <c r="L608" s="445" t="s">
        <v>885</v>
      </c>
      <c r="M608" s="445">
        <v>4</v>
      </c>
      <c r="N608" s="445" t="s">
        <v>124</v>
      </c>
      <c r="O608" s="449" t="s">
        <v>1686</v>
      </c>
      <c r="P608" s="450">
        <v>4.0979999999999999</v>
      </c>
      <c r="Q608" s="451">
        <f t="shared" si="18"/>
        <v>4.0979999999999999</v>
      </c>
      <c r="R608" s="451">
        <f>SUMIF('Wege im Detail'!$A:$A,"24322",'Wege im Detail'!$P:$P)</f>
        <v>11.615</v>
      </c>
      <c r="S608" s="452" t="s">
        <v>1687</v>
      </c>
      <c r="T608" s="453">
        <v>43922</v>
      </c>
      <c r="U608" s="448"/>
      <c r="W608" s="448"/>
      <c r="X608" s="455"/>
      <c r="Y608" s="455"/>
      <c r="Z608" s="455"/>
      <c r="AA608" s="455"/>
      <c r="AB608" s="455"/>
      <c r="AC608" s="455"/>
      <c r="AD608" s="455"/>
      <c r="AE608" s="455"/>
      <c r="AF608" s="455"/>
      <c r="AG608" s="455"/>
      <c r="AH608" s="455"/>
      <c r="AI608" s="455"/>
      <c r="AJ608" s="455"/>
      <c r="AK608" s="455"/>
      <c r="AL608" s="455"/>
      <c r="AM608" s="455"/>
      <c r="AN608" s="455"/>
      <c r="AO608" s="455"/>
      <c r="AP608" s="455"/>
      <c r="AQ608" s="455"/>
      <c r="AR608" s="455"/>
      <c r="AS608" s="455"/>
      <c r="AT608" s="455"/>
      <c r="AU608" s="455"/>
      <c r="AV608" s="455"/>
      <c r="AW608" s="455"/>
      <c r="AX608" s="455"/>
      <c r="AY608" s="455"/>
      <c r="AZ608" s="455"/>
      <c r="BA608" s="455"/>
      <c r="BB608" s="455"/>
      <c r="BC608" s="455"/>
      <c r="BD608" s="455"/>
      <c r="BE608" s="455"/>
      <c r="BF608" s="455"/>
      <c r="BG608" s="455"/>
      <c r="BH608" s="455"/>
      <c r="BI608" s="455"/>
      <c r="BJ608" s="455"/>
      <c r="BK608" s="455"/>
      <c r="BL608" s="455"/>
      <c r="BM608" s="455"/>
      <c r="BN608" s="455"/>
      <c r="BO608" s="455"/>
      <c r="BP608" s="455"/>
      <c r="BQ608" s="455"/>
      <c r="BR608" s="455"/>
      <c r="BS608" s="455"/>
      <c r="BT608" s="455"/>
      <c r="BU608" s="455"/>
      <c r="BV608" s="455"/>
      <c r="BW608" s="455"/>
      <c r="BX608" s="455"/>
      <c r="BY608" s="455"/>
      <c r="BZ608" s="455"/>
      <c r="CA608" s="455"/>
      <c r="CB608" s="455"/>
      <c r="CC608" s="455"/>
      <c r="CD608" s="455"/>
      <c r="CE608" s="455"/>
      <c r="CF608" s="455"/>
      <c r="CG608" s="455"/>
      <c r="CH608" s="455"/>
      <c r="CI608" s="455"/>
      <c r="CJ608" s="455"/>
      <c r="CK608" s="455"/>
      <c r="CL608" s="455"/>
      <c r="CM608" s="455"/>
      <c r="CN608" s="455"/>
      <c r="CO608" s="455"/>
      <c r="CP608" s="455"/>
      <c r="CQ608" s="455"/>
      <c r="CR608" s="455"/>
      <c r="CS608" s="455"/>
      <c r="CT608" s="455"/>
      <c r="CU608" s="455"/>
      <c r="CV608" s="455"/>
      <c r="CW608" s="455"/>
      <c r="CX608" s="455"/>
      <c r="CY608" s="455"/>
      <c r="CZ608" s="455"/>
      <c r="DA608" s="455"/>
      <c r="DB608" s="455"/>
      <c r="DC608" s="455"/>
      <c r="DD608" s="455"/>
      <c r="DE608" s="455"/>
      <c r="DF608" s="455"/>
      <c r="DG608" s="455"/>
      <c r="DH608" s="455"/>
      <c r="DI608" s="455"/>
      <c r="DJ608" s="455"/>
      <c r="DK608" s="455"/>
      <c r="DL608" s="455"/>
      <c r="DM608" s="455"/>
      <c r="DN608" s="455"/>
      <c r="DO608" s="455"/>
      <c r="DP608" s="455"/>
      <c r="DQ608" s="455"/>
      <c r="DR608" s="455"/>
      <c r="DS608" s="455"/>
      <c r="DT608" s="455"/>
      <c r="DU608" s="455"/>
      <c r="DV608" s="455"/>
      <c r="DW608" s="455"/>
      <c r="DX608" s="455"/>
      <c r="DY608" s="455"/>
      <c r="DZ608" s="455"/>
      <c r="EA608" s="455"/>
      <c r="EB608" s="455"/>
      <c r="EC608" s="455"/>
      <c r="ED608" s="455"/>
      <c r="EE608" s="455"/>
      <c r="EF608" s="455"/>
      <c r="EG608" s="455"/>
      <c r="EH608" s="455"/>
      <c r="EI608" s="455"/>
      <c r="EJ608" s="455"/>
      <c r="EK608" s="455"/>
      <c r="EL608" s="455"/>
      <c r="EM608" s="455"/>
      <c r="EN608" s="455"/>
      <c r="EO608" s="455"/>
      <c r="EP608" s="455"/>
      <c r="EQ608" s="455"/>
      <c r="ER608" s="455"/>
      <c r="ES608" s="455"/>
      <c r="ET608" s="455"/>
      <c r="EU608" s="455"/>
      <c r="EV608" s="455"/>
      <c r="EW608" s="455"/>
      <c r="EX608" s="455"/>
      <c r="EY608" s="455"/>
      <c r="EZ608" s="455"/>
      <c r="FA608" s="455"/>
      <c r="FB608" s="455"/>
      <c r="FC608" s="455"/>
      <c r="FD608" s="455"/>
      <c r="FE608" s="455"/>
      <c r="FF608" s="455"/>
      <c r="FG608" s="455"/>
      <c r="FH608" s="455"/>
      <c r="FI608" s="455"/>
      <c r="FJ608" s="455"/>
      <c r="FK608" s="455"/>
      <c r="FL608" s="455"/>
      <c r="FM608" s="455"/>
      <c r="FN608" s="455"/>
      <c r="FO608" s="455"/>
      <c r="FP608" s="455"/>
      <c r="FQ608" s="455"/>
      <c r="FR608" s="455"/>
      <c r="FS608" s="455"/>
      <c r="FT608" s="455"/>
      <c r="FU608" s="455"/>
      <c r="FV608" s="455"/>
      <c r="FW608" s="455"/>
      <c r="FX608" s="455"/>
      <c r="FY608" s="455"/>
      <c r="FZ608" s="455"/>
      <c r="GA608" s="455"/>
      <c r="GB608" s="455"/>
      <c r="GC608" s="455"/>
      <c r="GD608" s="455"/>
      <c r="GE608" s="455"/>
      <c r="GF608" s="455"/>
      <c r="GG608" s="455"/>
      <c r="GH608" s="455"/>
      <c r="GI608" s="455"/>
      <c r="GJ608" s="455"/>
      <c r="GK608" s="455"/>
      <c r="GL608" s="455"/>
      <c r="GM608" s="455"/>
      <c r="GN608" s="455"/>
      <c r="GO608" s="455"/>
      <c r="GP608" s="455"/>
      <c r="GQ608" s="455"/>
      <c r="GR608" s="455"/>
      <c r="GS608" s="455"/>
      <c r="GT608" s="455"/>
      <c r="GU608" s="455"/>
      <c r="GV608" s="455"/>
      <c r="GW608" s="455"/>
      <c r="GX608" s="455"/>
      <c r="GY608" s="455"/>
      <c r="GZ608" s="455"/>
      <c r="HA608" s="455"/>
      <c r="HB608" s="455"/>
      <c r="HC608" s="455"/>
      <c r="HD608" s="455"/>
      <c r="HE608" s="455"/>
      <c r="HF608" s="455"/>
      <c r="HG608" s="455"/>
      <c r="HH608" s="455"/>
      <c r="HI608" s="455"/>
      <c r="HJ608" s="455"/>
      <c r="HK608" s="455"/>
      <c r="HL608" s="455"/>
      <c r="HM608" s="455"/>
      <c r="HN608" s="455"/>
      <c r="HO608" s="455"/>
      <c r="HP608" s="455"/>
      <c r="HQ608" s="455"/>
      <c r="HR608" s="455"/>
      <c r="HS608" s="455"/>
      <c r="HT608" s="455"/>
      <c r="HU608" s="455"/>
      <c r="HV608" s="455"/>
      <c r="HW608" s="455"/>
      <c r="HX608" s="455"/>
      <c r="HY608" s="455"/>
      <c r="HZ608" s="455"/>
      <c r="IA608" s="455"/>
      <c r="IB608" s="455"/>
      <c r="IC608" s="455"/>
      <c r="ID608" s="455"/>
      <c r="IE608" s="455"/>
      <c r="IF608" s="455"/>
      <c r="IG608" s="455"/>
      <c r="IH608" s="455"/>
      <c r="II608" s="455"/>
      <c r="IJ608" s="455"/>
      <c r="IK608" s="455"/>
      <c r="IL608" s="455"/>
      <c r="IM608" s="455"/>
      <c r="IN608" s="455"/>
      <c r="IO608" s="455"/>
      <c r="IP608" s="455"/>
      <c r="IQ608" s="455"/>
      <c r="IR608" s="455"/>
      <c r="IS608" s="455"/>
    </row>
    <row r="609" spans="1:253" s="506" customFormat="1" ht="45" x14ac:dyDescent="0.2">
      <c r="A609" s="444">
        <v>24322</v>
      </c>
      <c r="B609" s="445" t="s">
        <v>51</v>
      </c>
      <c r="C609" s="445" t="s">
        <v>85</v>
      </c>
      <c r="D609" s="445" t="s">
        <v>366</v>
      </c>
      <c r="E609" s="445"/>
      <c r="F609" s="470"/>
      <c r="G609" s="446">
        <v>106</v>
      </c>
      <c r="H609" s="445">
        <v>102</v>
      </c>
      <c r="I609" s="445"/>
      <c r="J609" s="445">
        <v>2</v>
      </c>
      <c r="K609" s="447">
        <v>2</v>
      </c>
      <c r="L609" s="445" t="s">
        <v>885</v>
      </c>
      <c r="M609" s="445">
        <v>1</v>
      </c>
      <c r="N609" s="445" t="s">
        <v>384</v>
      </c>
      <c r="O609" s="449" t="s">
        <v>1688</v>
      </c>
      <c r="P609" s="450">
        <v>7.5170000000000003</v>
      </c>
      <c r="Q609" s="451">
        <f t="shared" si="18"/>
        <v>7.5170000000000003</v>
      </c>
      <c r="R609" s="451">
        <f>SUMIF('Wege im Detail'!$A:$A,"24322",'Wege im Detail'!$P:$P)</f>
        <v>11.615</v>
      </c>
      <c r="S609" s="452" t="s">
        <v>1687</v>
      </c>
      <c r="T609" s="453">
        <v>43922</v>
      </c>
      <c r="U609" s="448"/>
      <c r="V609" s="458"/>
      <c r="W609" s="448"/>
      <c r="X609" s="455"/>
      <c r="Y609" s="455"/>
      <c r="Z609" s="455"/>
      <c r="AA609" s="455"/>
      <c r="AB609" s="455"/>
      <c r="AC609" s="455"/>
      <c r="AD609" s="455"/>
      <c r="AE609" s="455"/>
      <c r="AF609" s="455"/>
      <c r="AG609" s="455"/>
      <c r="AH609" s="455"/>
      <c r="AI609" s="455"/>
      <c r="AJ609" s="455"/>
      <c r="AK609" s="455"/>
      <c r="AL609" s="455"/>
      <c r="AM609" s="455"/>
      <c r="AN609" s="455"/>
      <c r="AO609" s="455"/>
      <c r="AP609" s="455"/>
      <c r="AQ609" s="455"/>
      <c r="AR609" s="455"/>
      <c r="AS609" s="455"/>
      <c r="AT609" s="455"/>
      <c r="AU609" s="455"/>
      <c r="AV609" s="455"/>
      <c r="AW609" s="455"/>
      <c r="AX609" s="455"/>
      <c r="AY609" s="455"/>
      <c r="AZ609" s="455"/>
      <c r="BA609" s="455"/>
      <c r="BB609" s="455"/>
      <c r="BC609" s="455"/>
      <c r="BD609" s="455"/>
      <c r="BE609" s="455"/>
      <c r="BF609" s="455"/>
      <c r="BG609" s="455"/>
      <c r="BH609" s="455"/>
      <c r="BI609" s="455"/>
      <c r="BJ609" s="455"/>
      <c r="BK609" s="455"/>
      <c r="BL609" s="455"/>
      <c r="BM609" s="455"/>
      <c r="BN609" s="455"/>
      <c r="BO609" s="455"/>
      <c r="BP609" s="455"/>
      <c r="BQ609" s="455"/>
      <c r="BR609" s="455"/>
      <c r="BS609" s="455"/>
      <c r="BT609" s="455"/>
      <c r="BU609" s="455"/>
      <c r="BV609" s="455"/>
      <c r="BW609" s="455"/>
      <c r="BX609" s="455"/>
      <c r="BY609" s="455"/>
      <c r="BZ609" s="455"/>
      <c r="CA609" s="455"/>
      <c r="CB609" s="455"/>
      <c r="CC609" s="455"/>
      <c r="CD609" s="455"/>
      <c r="CE609" s="455"/>
      <c r="CF609" s="455"/>
      <c r="CG609" s="455"/>
      <c r="CH609" s="455"/>
      <c r="CI609" s="455"/>
      <c r="CJ609" s="455"/>
      <c r="CK609" s="455"/>
      <c r="CL609" s="455"/>
      <c r="CM609" s="455"/>
      <c r="CN609" s="455"/>
      <c r="CO609" s="455"/>
      <c r="CP609" s="455"/>
      <c r="CQ609" s="455"/>
      <c r="CR609" s="455"/>
      <c r="CS609" s="455"/>
      <c r="CT609" s="455"/>
      <c r="CU609" s="455"/>
      <c r="CV609" s="455"/>
      <c r="CW609" s="455"/>
      <c r="CX609" s="455"/>
      <c r="CY609" s="455"/>
      <c r="CZ609" s="455"/>
      <c r="DA609" s="455"/>
      <c r="DB609" s="455"/>
      <c r="DC609" s="455"/>
      <c r="DD609" s="455"/>
      <c r="DE609" s="455"/>
      <c r="DF609" s="455"/>
      <c r="DG609" s="455"/>
      <c r="DH609" s="455"/>
      <c r="DI609" s="455"/>
      <c r="DJ609" s="455"/>
      <c r="DK609" s="455"/>
      <c r="DL609" s="455"/>
      <c r="DM609" s="455"/>
      <c r="DN609" s="455"/>
      <c r="DO609" s="455"/>
      <c r="DP609" s="455"/>
      <c r="DQ609" s="455"/>
      <c r="DR609" s="455"/>
      <c r="DS609" s="455"/>
      <c r="DT609" s="455"/>
      <c r="DU609" s="455"/>
      <c r="DV609" s="455"/>
      <c r="DW609" s="455"/>
      <c r="DX609" s="455"/>
      <c r="DY609" s="455"/>
      <c r="DZ609" s="455"/>
      <c r="EA609" s="455"/>
      <c r="EB609" s="455"/>
      <c r="EC609" s="455"/>
      <c r="ED609" s="455"/>
      <c r="EE609" s="455"/>
      <c r="EF609" s="455"/>
      <c r="EG609" s="455"/>
      <c r="EH609" s="455"/>
      <c r="EI609" s="455"/>
      <c r="EJ609" s="455"/>
      <c r="EK609" s="455"/>
      <c r="EL609" s="455"/>
      <c r="EM609" s="455"/>
      <c r="EN609" s="455"/>
      <c r="EO609" s="455"/>
      <c r="EP609" s="455"/>
      <c r="EQ609" s="455"/>
      <c r="ER609" s="455"/>
      <c r="ES609" s="455"/>
      <c r="ET609" s="455"/>
      <c r="EU609" s="455"/>
      <c r="EV609" s="455"/>
      <c r="EW609" s="455"/>
      <c r="EX609" s="455"/>
      <c r="EY609" s="455"/>
      <c r="EZ609" s="455"/>
      <c r="FA609" s="455"/>
      <c r="FB609" s="455"/>
      <c r="FC609" s="455"/>
      <c r="FD609" s="455"/>
      <c r="FE609" s="455"/>
      <c r="FF609" s="455"/>
      <c r="FG609" s="455"/>
      <c r="FH609" s="455"/>
      <c r="FI609" s="455"/>
      <c r="FJ609" s="455"/>
      <c r="FK609" s="455"/>
      <c r="FL609" s="455"/>
      <c r="FM609" s="455"/>
      <c r="FN609" s="455"/>
      <c r="FO609" s="455"/>
      <c r="FP609" s="455"/>
      <c r="FQ609" s="455"/>
      <c r="FR609" s="455"/>
      <c r="FS609" s="455"/>
      <c r="FT609" s="455"/>
      <c r="FU609" s="455"/>
      <c r="FV609" s="455"/>
      <c r="FW609" s="455"/>
      <c r="FX609" s="455"/>
      <c r="FY609" s="455"/>
      <c r="FZ609" s="455"/>
      <c r="GA609" s="455"/>
      <c r="GB609" s="455"/>
      <c r="GC609" s="455"/>
      <c r="GD609" s="455"/>
      <c r="GE609" s="455"/>
      <c r="GF609" s="455"/>
      <c r="GG609" s="455"/>
      <c r="GH609" s="455"/>
      <c r="GI609" s="455"/>
      <c r="GJ609" s="455"/>
      <c r="GK609" s="455"/>
      <c r="GL609" s="455"/>
      <c r="GM609" s="455"/>
      <c r="GN609" s="455"/>
      <c r="GO609" s="455"/>
      <c r="GP609" s="455"/>
      <c r="GQ609" s="455"/>
      <c r="GR609" s="455"/>
      <c r="GS609" s="455"/>
      <c r="GT609" s="455"/>
      <c r="GU609" s="455"/>
      <c r="GV609" s="455"/>
      <c r="GW609" s="455"/>
      <c r="GX609" s="455"/>
      <c r="GY609" s="455"/>
      <c r="GZ609" s="455"/>
      <c r="HA609" s="455"/>
      <c r="HB609" s="455"/>
      <c r="HC609" s="455"/>
      <c r="HD609" s="455"/>
      <c r="HE609" s="455"/>
      <c r="HF609" s="455"/>
      <c r="HG609" s="455"/>
      <c r="HH609" s="455"/>
      <c r="HI609" s="455"/>
      <c r="HJ609" s="455"/>
      <c r="HK609" s="455"/>
      <c r="HL609" s="455"/>
      <c r="HM609" s="455"/>
      <c r="HN609" s="455"/>
      <c r="HO609" s="455"/>
      <c r="HP609" s="455"/>
      <c r="HQ609" s="455"/>
      <c r="HR609" s="455"/>
      <c r="HS609" s="455"/>
      <c r="HT609" s="455"/>
      <c r="HU609" s="455"/>
      <c r="HV609" s="455"/>
      <c r="HW609" s="455"/>
      <c r="HX609" s="455"/>
      <c r="HY609" s="455"/>
      <c r="HZ609" s="455"/>
      <c r="IA609" s="455"/>
      <c r="IB609" s="455"/>
      <c r="IC609" s="455"/>
      <c r="ID609" s="455"/>
      <c r="IE609" s="455"/>
      <c r="IF609" s="455"/>
      <c r="IG609" s="455"/>
      <c r="IH609" s="455"/>
      <c r="II609" s="455"/>
      <c r="IJ609" s="455"/>
      <c r="IK609" s="455"/>
      <c r="IL609" s="455"/>
      <c r="IM609" s="455"/>
      <c r="IN609" s="455"/>
      <c r="IO609" s="455"/>
      <c r="IP609" s="455"/>
      <c r="IQ609" s="455"/>
      <c r="IR609" s="455"/>
      <c r="IS609" s="455"/>
    </row>
    <row r="610" spans="1:253" s="506" customFormat="1" ht="33.75" x14ac:dyDescent="0.2">
      <c r="A610" s="444">
        <v>24547</v>
      </c>
      <c r="B610" s="499" t="s">
        <v>84</v>
      </c>
      <c r="C610" s="445" t="s">
        <v>85</v>
      </c>
      <c r="D610" s="445"/>
      <c r="E610" s="445"/>
      <c r="F610" s="500"/>
      <c r="G610" s="473" t="s">
        <v>1689</v>
      </c>
      <c r="H610" s="445" t="s">
        <v>887</v>
      </c>
      <c r="I610" s="499"/>
      <c r="J610" s="445">
        <v>1</v>
      </c>
      <c r="K610" s="447">
        <v>2</v>
      </c>
      <c r="L610" s="499" t="s">
        <v>888</v>
      </c>
      <c r="M610" s="501" t="s">
        <v>1690</v>
      </c>
      <c r="N610" s="499" t="s">
        <v>98</v>
      </c>
      <c r="O610" s="449" t="s">
        <v>1691</v>
      </c>
      <c r="P610" s="450">
        <v>7.39</v>
      </c>
      <c r="Q610" s="451"/>
      <c r="R610" s="451">
        <f>SUMIF('Wege im Detail'!$A:$A,"24547",'Wege im Detail'!$P:$P)</f>
        <v>11.068</v>
      </c>
      <c r="S610" s="452" t="s">
        <v>889</v>
      </c>
      <c r="T610" s="453">
        <v>43160</v>
      </c>
      <c r="U610" s="448"/>
      <c r="V610" s="476" t="s">
        <v>1692</v>
      </c>
      <c r="W610" s="448"/>
      <c r="X610" s="455"/>
      <c r="Y610" s="455"/>
      <c r="Z610" s="455"/>
      <c r="AA610" s="455"/>
      <c r="AB610" s="455"/>
      <c r="AC610" s="455"/>
      <c r="AD610" s="455"/>
      <c r="AE610" s="455"/>
      <c r="AF610" s="455"/>
      <c r="AG610" s="455"/>
      <c r="AH610" s="455"/>
      <c r="AI610" s="455"/>
      <c r="AJ610" s="455"/>
      <c r="AK610" s="455"/>
      <c r="AL610" s="455"/>
      <c r="AM610" s="455"/>
      <c r="AN610" s="455"/>
      <c r="AO610" s="455"/>
      <c r="AP610" s="455"/>
      <c r="AQ610" s="455"/>
      <c r="AR610" s="455"/>
      <c r="AS610" s="455"/>
      <c r="AT610" s="455"/>
      <c r="AU610" s="455"/>
      <c r="AV610" s="455"/>
      <c r="AW610" s="455"/>
      <c r="AX610" s="455"/>
      <c r="AY610" s="455"/>
      <c r="AZ610" s="455"/>
      <c r="BA610" s="455"/>
      <c r="BB610" s="455"/>
      <c r="BC610" s="455"/>
      <c r="BD610" s="455"/>
      <c r="BE610" s="455"/>
      <c r="BF610" s="455"/>
      <c r="BG610" s="455"/>
      <c r="BH610" s="455"/>
      <c r="BI610" s="455"/>
      <c r="BJ610" s="455"/>
      <c r="BK610" s="455"/>
      <c r="BL610" s="455"/>
      <c r="BM610" s="455"/>
      <c r="BN610" s="455"/>
      <c r="BO610" s="455"/>
      <c r="BP610" s="455"/>
      <c r="BQ610" s="455"/>
      <c r="BR610" s="455"/>
      <c r="BS610" s="455"/>
      <c r="BT610" s="455"/>
      <c r="BU610" s="455"/>
      <c r="BV610" s="455"/>
      <c r="BW610" s="455"/>
      <c r="BX610" s="455"/>
      <c r="BY610" s="455"/>
      <c r="BZ610" s="455"/>
      <c r="CA610" s="455"/>
      <c r="CB610" s="455"/>
      <c r="CC610" s="455"/>
      <c r="CD610" s="455"/>
      <c r="CE610" s="455"/>
      <c r="CF610" s="455"/>
      <c r="CG610" s="455"/>
      <c r="CH610" s="455"/>
      <c r="CI610" s="455"/>
      <c r="CJ610" s="455"/>
      <c r="CK610" s="455"/>
      <c r="CL610" s="455"/>
      <c r="CM610" s="455"/>
      <c r="CN610" s="455"/>
      <c r="CO610" s="455"/>
      <c r="CP610" s="455"/>
      <c r="CQ610" s="455"/>
      <c r="CR610" s="455"/>
      <c r="CS610" s="455"/>
      <c r="CT610" s="455"/>
      <c r="CU610" s="455"/>
      <c r="CV610" s="455"/>
      <c r="CW610" s="455"/>
      <c r="CX610" s="455"/>
      <c r="CY610" s="455"/>
      <c r="CZ610" s="455"/>
      <c r="DA610" s="455"/>
      <c r="DB610" s="455"/>
      <c r="DC610" s="455"/>
      <c r="DD610" s="455"/>
      <c r="DE610" s="455"/>
      <c r="DF610" s="455"/>
      <c r="DG610" s="455"/>
      <c r="DH610" s="455"/>
      <c r="DI610" s="455"/>
      <c r="DJ610" s="455"/>
      <c r="DK610" s="455"/>
      <c r="DL610" s="455"/>
      <c r="DM610" s="455"/>
      <c r="DN610" s="455"/>
      <c r="DO610" s="455"/>
      <c r="DP610" s="455"/>
      <c r="DQ610" s="455"/>
      <c r="DR610" s="455"/>
      <c r="DS610" s="455"/>
      <c r="DT610" s="455"/>
      <c r="DU610" s="455"/>
      <c r="DV610" s="455"/>
      <c r="DW610" s="455"/>
      <c r="DX610" s="455"/>
      <c r="DY610" s="455"/>
      <c r="DZ610" s="455"/>
      <c r="EA610" s="455"/>
      <c r="EB610" s="455"/>
      <c r="EC610" s="455"/>
      <c r="ED610" s="455"/>
      <c r="EE610" s="455"/>
      <c r="EF610" s="455"/>
      <c r="EG610" s="455"/>
      <c r="EH610" s="455"/>
      <c r="EI610" s="455"/>
      <c r="EJ610" s="455"/>
      <c r="EK610" s="455"/>
      <c r="EL610" s="455"/>
      <c r="EM610" s="455"/>
      <c r="EN610" s="455"/>
      <c r="EO610" s="455"/>
      <c r="EP610" s="455"/>
      <c r="EQ610" s="455"/>
      <c r="ER610" s="455"/>
      <c r="ES610" s="455"/>
      <c r="ET610" s="455"/>
      <c r="EU610" s="455"/>
      <c r="EV610" s="455"/>
      <c r="EW610" s="455"/>
      <c r="EX610" s="455"/>
      <c r="EY610" s="455"/>
      <c r="EZ610" s="455"/>
      <c r="FA610" s="455"/>
      <c r="FB610" s="455"/>
      <c r="FC610" s="455"/>
      <c r="FD610" s="455"/>
      <c r="FE610" s="455"/>
      <c r="FF610" s="455"/>
      <c r="FG610" s="455"/>
      <c r="FH610" s="455"/>
      <c r="FI610" s="455"/>
      <c r="FJ610" s="455"/>
      <c r="FK610" s="455"/>
      <c r="FL610" s="455"/>
      <c r="FM610" s="455"/>
      <c r="FN610" s="455"/>
      <c r="FO610" s="455"/>
      <c r="FP610" s="455"/>
      <c r="FQ610" s="455"/>
      <c r="FR610" s="455"/>
      <c r="FS610" s="455"/>
      <c r="FT610" s="455"/>
      <c r="FU610" s="455"/>
      <c r="FV610" s="455"/>
      <c r="FW610" s="455"/>
      <c r="FX610" s="455"/>
      <c r="FY610" s="455"/>
      <c r="FZ610" s="455"/>
      <c r="GA610" s="455"/>
      <c r="GB610" s="455"/>
      <c r="GC610" s="455"/>
      <c r="GD610" s="455"/>
      <c r="GE610" s="455"/>
      <c r="GF610" s="455"/>
      <c r="GG610" s="455"/>
      <c r="GH610" s="455"/>
      <c r="GI610" s="455"/>
      <c r="GJ610" s="455"/>
      <c r="GK610" s="455"/>
      <c r="GL610" s="455"/>
      <c r="GM610" s="455"/>
      <c r="GN610" s="455"/>
      <c r="GO610" s="455"/>
      <c r="GP610" s="455"/>
      <c r="GQ610" s="455"/>
      <c r="GR610" s="455"/>
      <c r="GS610" s="455"/>
      <c r="GT610" s="455"/>
      <c r="GU610" s="455"/>
      <c r="GV610" s="455"/>
      <c r="GW610" s="455"/>
      <c r="GX610" s="455"/>
      <c r="GY610" s="455"/>
      <c r="GZ610" s="455"/>
      <c r="HA610" s="455"/>
      <c r="HB610" s="455"/>
      <c r="HC610" s="455"/>
      <c r="HD610" s="455"/>
      <c r="HE610" s="455"/>
      <c r="HF610" s="455"/>
      <c r="HG610" s="455"/>
      <c r="HH610" s="455"/>
      <c r="HI610" s="455"/>
      <c r="HJ610" s="455"/>
      <c r="HK610" s="455"/>
      <c r="HL610" s="455"/>
      <c r="HM610" s="455"/>
      <c r="HN610" s="455"/>
      <c r="HO610" s="455"/>
      <c r="HP610" s="455"/>
      <c r="HQ610" s="455"/>
      <c r="HR610" s="455"/>
      <c r="HS610" s="455"/>
      <c r="HT610" s="455"/>
      <c r="HU610" s="455"/>
      <c r="HV610" s="455"/>
      <c r="HW610" s="455"/>
      <c r="HX610" s="455"/>
      <c r="HY610" s="455"/>
      <c r="HZ610" s="455"/>
      <c r="IA610" s="455"/>
      <c r="IB610" s="455"/>
      <c r="IC610" s="455"/>
      <c r="ID610" s="455"/>
      <c r="IE610" s="455"/>
      <c r="IF610" s="455"/>
      <c r="IG610" s="455"/>
      <c r="IH610" s="455"/>
      <c r="II610" s="455"/>
      <c r="IJ610" s="455"/>
      <c r="IK610" s="455"/>
      <c r="IL610" s="455"/>
      <c r="IM610" s="455"/>
      <c r="IN610" s="455"/>
      <c r="IO610" s="455"/>
      <c r="IP610" s="455"/>
      <c r="IQ610" s="455"/>
      <c r="IR610" s="455"/>
      <c r="IS610" s="455"/>
    </row>
    <row r="611" spans="1:253" s="458" customFormat="1" ht="45" x14ac:dyDescent="0.2">
      <c r="A611" s="444">
        <v>24547</v>
      </c>
      <c r="B611" s="499" t="s">
        <v>84</v>
      </c>
      <c r="C611" s="445" t="s">
        <v>85</v>
      </c>
      <c r="D611" s="445"/>
      <c r="E611" s="445"/>
      <c r="F611" s="500"/>
      <c r="G611" s="473" t="s">
        <v>1689</v>
      </c>
      <c r="H611" s="445" t="s">
        <v>887</v>
      </c>
      <c r="I611" s="499"/>
      <c r="J611" s="445">
        <v>2</v>
      </c>
      <c r="K611" s="447">
        <v>2</v>
      </c>
      <c r="L611" s="499" t="s">
        <v>888</v>
      </c>
      <c r="M611" s="501" t="s">
        <v>1693</v>
      </c>
      <c r="N611" s="499" t="s">
        <v>987</v>
      </c>
      <c r="O611" s="449" t="s">
        <v>1694</v>
      </c>
      <c r="P611" s="450">
        <v>3.6779999999999999</v>
      </c>
      <c r="Q611" s="451"/>
      <c r="R611" s="451">
        <f>SUMIF('Wege im Detail'!$A:$A,"24547",'Wege im Detail'!$P:$P)</f>
        <v>11.068</v>
      </c>
      <c r="S611" s="452" t="s">
        <v>889</v>
      </c>
      <c r="T611" s="453">
        <v>43160</v>
      </c>
      <c r="U611" s="448"/>
      <c r="V611" s="476" t="s">
        <v>1692</v>
      </c>
      <c r="W611" s="448"/>
      <c r="X611" s="455"/>
      <c r="Y611" s="455"/>
      <c r="Z611" s="455"/>
      <c r="AA611" s="455"/>
      <c r="AB611" s="455"/>
      <c r="AC611" s="455"/>
      <c r="AD611" s="455"/>
      <c r="AE611" s="455"/>
      <c r="AF611" s="455"/>
      <c r="AG611" s="455"/>
      <c r="AH611" s="455"/>
      <c r="AI611" s="455"/>
      <c r="AJ611" s="455"/>
      <c r="AK611" s="455"/>
      <c r="AL611" s="455"/>
      <c r="AM611" s="455"/>
      <c r="AN611" s="455"/>
      <c r="AO611" s="455"/>
      <c r="AP611" s="455"/>
      <c r="AQ611" s="455"/>
      <c r="AR611" s="455"/>
      <c r="AS611" s="455"/>
      <c r="AT611" s="455"/>
      <c r="AU611" s="455"/>
      <c r="AV611" s="455"/>
      <c r="AW611" s="455"/>
      <c r="AX611" s="455"/>
      <c r="AY611" s="455"/>
      <c r="AZ611" s="455"/>
      <c r="BA611" s="455"/>
      <c r="BB611" s="455"/>
      <c r="BC611" s="455"/>
      <c r="BD611" s="455"/>
      <c r="BE611" s="455"/>
      <c r="BF611" s="455"/>
      <c r="BG611" s="455"/>
      <c r="BH611" s="455"/>
      <c r="BI611" s="455"/>
      <c r="BJ611" s="455"/>
      <c r="BK611" s="455"/>
      <c r="BL611" s="455"/>
      <c r="BM611" s="455"/>
      <c r="BN611" s="455"/>
      <c r="BO611" s="455"/>
      <c r="BP611" s="455"/>
      <c r="BQ611" s="455"/>
      <c r="BR611" s="455"/>
      <c r="BS611" s="455"/>
      <c r="BT611" s="455"/>
      <c r="BU611" s="455"/>
      <c r="BV611" s="455"/>
      <c r="BW611" s="455"/>
      <c r="BX611" s="455"/>
      <c r="BY611" s="455"/>
      <c r="BZ611" s="455"/>
      <c r="CA611" s="455"/>
      <c r="CB611" s="455"/>
      <c r="CC611" s="455"/>
      <c r="CD611" s="455"/>
      <c r="CE611" s="455"/>
      <c r="CF611" s="455"/>
      <c r="CG611" s="455"/>
      <c r="CH611" s="455"/>
      <c r="CI611" s="455"/>
      <c r="CJ611" s="455"/>
      <c r="CK611" s="455"/>
      <c r="CL611" s="455"/>
      <c r="CM611" s="455"/>
      <c r="CN611" s="455"/>
      <c r="CO611" s="455"/>
      <c r="CP611" s="455"/>
      <c r="CQ611" s="455"/>
      <c r="CR611" s="455"/>
      <c r="CS611" s="455"/>
      <c r="CT611" s="455"/>
      <c r="CU611" s="455"/>
      <c r="CV611" s="455"/>
      <c r="CW611" s="455"/>
      <c r="CX611" s="455"/>
      <c r="CY611" s="455"/>
      <c r="CZ611" s="455"/>
      <c r="DA611" s="455"/>
      <c r="DB611" s="455"/>
      <c r="DC611" s="455"/>
      <c r="DD611" s="455"/>
      <c r="DE611" s="455"/>
      <c r="DF611" s="455"/>
      <c r="DG611" s="455"/>
      <c r="DH611" s="455"/>
      <c r="DI611" s="455"/>
      <c r="DJ611" s="455"/>
      <c r="DK611" s="455"/>
      <c r="DL611" s="455"/>
      <c r="DM611" s="455"/>
      <c r="DN611" s="455"/>
      <c r="DO611" s="455"/>
      <c r="DP611" s="455"/>
      <c r="DQ611" s="455"/>
      <c r="DR611" s="455"/>
      <c r="DS611" s="455"/>
      <c r="DT611" s="455"/>
      <c r="DU611" s="455"/>
      <c r="DV611" s="455"/>
      <c r="DW611" s="455"/>
      <c r="DX611" s="455"/>
      <c r="DY611" s="455"/>
      <c r="DZ611" s="455"/>
      <c r="EA611" s="455"/>
      <c r="EB611" s="455"/>
      <c r="EC611" s="455"/>
      <c r="ED611" s="455"/>
      <c r="EE611" s="455"/>
      <c r="EF611" s="455"/>
      <c r="EG611" s="455"/>
      <c r="EH611" s="455"/>
      <c r="EI611" s="455"/>
      <c r="EJ611" s="455"/>
      <c r="EK611" s="455"/>
      <c r="EL611" s="455"/>
      <c r="EM611" s="455"/>
      <c r="EN611" s="455"/>
      <c r="EO611" s="455"/>
      <c r="EP611" s="455"/>
      <c r="EQ611" s="455"/>
      <c r="ER611" s="455"/>
      <c r="ES611" s="455"/>
      <c r="ET611" s="455"/>
      <c r="EU611" s="455"/>
      <c r="EV611" s="455"/>
      <c r="EW611" s="455"/>
      <c r="EX611" s="455"/>
      <c r="EY611" s="455"/>
      <c r="EZ611" s="455"/>
      <c r="FA611" s="455"/>
      <c r="FB611" s="455"/>
      <c r="FC611" s="455"/>
      <c r="FD611" s="455"/>
      <c r="FE611" s="455"/>
      <c r="FF611" s="455"/>
      <c r="FG611" s="455"/>
      <c r="FH611" s="455"/>
      <c r="FI611" s="455"/>
      <c r="FJ611" s="455"/>
      <c r="FK611" s="455"/>
      <c r="FL611" s="455"/>
      <c r="FM611" s="455"/>
      <c r="FN611" s="455"/>
      <c r="FO611" s="455"/>
      <c r="FP611" s="455"/>
      <c r="FQ611" s="455"/>
      <c r="FR611" s="455"/>
      <c r="FS611" s="455"/>
      <c r="FT611" s="455"/>
      <c r="FU611" s="455"/>
      <c r="FV611" s="455"/>
      <c r="FW611" s="455"/>
      <c r="FX611" s="455"/>
      <c r="FY611" s="455"/>
      <c r="FZ611" s="455"/>
      <c r="GA611" s="455"/>
      <c r="GB611" s="455"/>
      <c r="GC611" s="455"/>
      <c r="GD611" s="455"/>
      <c r="GE611" s="455"/>
      <c r="GF611" s="455"/>
      <c r="GG611" s="455"/>
      <c r="GH611" s="455"/>
      <c r="GI611" s="455"/>
      <c r="GJ611" s="455"/>
      <c r="GK611" s="455"/>
      <c r="GL611" s="455"/>
      <c r="GM611" s="455"/>
      <c r="GN611" s="455"/>
      <c r="GO611" s="455"/>
      <c r="GP611" s="455"/>
      <c r="GQ611" s="455"/>
      <c r="GR611" s="455"/>
      <c r="GS611" s="455"/>
      <c r="GT611" s="455"/>
      <c r="GU611" s="455"/>
      <c r="GV611" s="455"/>
      <c r="GW611" s="455"/>
      <c r="GX611" s="455"/>
      <c r="GY611" s="455"/>
      <c r="GZ611" s="455"/>
      <c r="HA611" s="455"/>
      <c r="HB611" s="455"/>
      <c r="HC611" s="455"/>
      <c r="HD611" s="455"/>
      <c r="HE611" s="455"/>
      <c r="HF611" s="455"/>
      <c r="HG611" s="455"/>
      <c r="HH611" s="455"/>
      <c r="HI611" s="455"/>
      <c r="HJ611" s="455"/>
      <c r="HK611" s="455"/>
      <c r="HL611" s="455"/>
      <c r="HM611" s="455"/>
      <c r="HN611" s="455"/>
      <c r="HO611" s="455"/>
      <c r="HP611" s="455"/>
      <c r="HQ611" s="455"/>
      <c r="HR611" s="455"/>
      <c r="HS611" s="455"/>
      <c r="HT611" s="455"/>
      <c r="HU611" s="455"/>
      <c r="HV611" s="455"/>
      <c r="HW611" s="455"/>
      <c r="HX611" s="455"/>
      <c r="HY611" s="455"/>
      <c r="HZ611" s="455"/>
      <c r="IA611" s="455"/>
      <c r="IB611" s="455"/>
      <c r="IC611" s="455"/>
      <c r="ID611" s="455"/>
      <c r="IE611" s="455"/>
      <c r="IF611" s="455"/>
      <c r="IG611" s="455"/>
      <c r="IH611" s="455"/>
      <c r="II611" s="455"/>
      <c r="IJ611" s="455"/>
      <c r="IK611" s="455"/>
      <c r="IL611" s="455"/>
      <c r="IM611" s="455"/>
      <c r="IN611" s="455"/>
      <c r="IO611" s="455"/>
      <c r="IP611" s="455"/>
      <c r="IQ611" s="455"/>
      <c r="IR611" s="455"/>
      <c r="IS611" s="455"/>
    </row>
    <row r="612" spans="1:253" s="458" customFormat="1" ht="45" x14ac:dyDescent="0.2">
      <c r="A612" s="444">
        <v>24711</v>
      </c>
      <c r="B612" s="445" t="s">
        <v>84</v>
      </c>
      <c r="C612" s="445" t="s">
        <v>85</v>
      </c>
      <c r="D612" s="445"/>
      <c r="E612" s="445"/>
      <c r="F612" s="445"/>
      <c r="G612" s="446">
        <v>241</v>
      </c>
      <c r="H612" s="445" t="s">
        <v>891</v>
      </c>
      <c r="I612" s="445"/>
      <c r="J612" s="445"/>
      <c r="K612" s="447"/>
      <c r="L612" s="445" t="s">
        <v>142</v>
      </c>
      <c r="M612" s="445">
        <v>4</v>
      </c>
      <c r="N612" s="445" t="s">
        <v>89</v>
      </c>
      <c r="O612" s="449" t="s">
        <v>1695</v>
      </c>
      <c r="P612" s="450">
        <v>3.452</v>
      </c>
      <c r="Q612" s="451">
        <f>P612</f>
        <v>3.452</v>
      </c>
      <c r="R612" s="451">
        <f>SUMIF('Wege im Detail'!$A:$A,"24711",'Wege im Detail'!$P:$P)</f>
        <v>3.452</v>
      </c>
      <c r="S612" s="452" t="s">
        <v>892</v>
      </c>
      <c r="T612" s="453">
        <v>43529</v>
      </c>
      <c r="U612" s="448"/>
      <c r="V612" s="475"/>
      <c r="W612" s="448"/>
    </row>
    <row r="613" spans="1:253" s="458" customFormat="1" ht="78.75" x14ac:dyDescent="0.2">
      <c r="A613" s="444">
        <v>24713</v>
      </c>
      <c r="B613" s="445" t="s">
        <v>84</v>
      </c>
      <c r="C613" s="445" t="s">
        <v>85</v>
      </c>
      <c r="D613" s="445"/>
      <c r="E613" s="445"/>
      <c r="F613" s="445"/>
      <c r="G613" s="446">
        <v>246</v>
      </c>
      <c r="H613" s="445" t="s">
        <v>894</v>
      </c>
      <c r="I613" s="445"/>
      <c r="J613" s="445"/>
      <c r="K613" s="447"/>
      <c r="L613" s="445" t="s">
        <v>172</v>
      </c>
      <c r="M613" s="445">
        <v>4</v>
      </c>
      <c r="N613" s="445" t="s">
        <v>89</v>
      </c>
      <c r="O613" s="449" t="s">
        <v>1696</v>
      </c>
      <c r="P613" s="450">
        <v>15.282999999999999</v>
      </c>
      <c r="Q613" s="451">
        <f>P613</f>
        <v>15.282999999999999</v>
      </c>
      <c r="R613" s="451">
        <f>SUMIF('Wege im Detail'!$A:$A,"024713",'Wege im Detail'!$P:$P)</f>
        <v>15.282999999999999</v>
      </c>
      <c r="S613" s="452" t="s">
        <v>895</v>
      </c>
      <c r="T613" s="453">
        <v>43531</v>
      </c>
      <c r="U613" s="448"/>
      <c r="V613" s="475"/>
      <c r="W613" s="448"/>
    </row>
    <row r="614" spans="1:253" s="458" customFormat="1" ht="56.25" x14ac:dyDescent="0.2">
      <c r="A614" s="444">
        <v>24714</v>
      </c>
      <c r="B614" s="445" t="s">
        <v>84</v>
      </c>
      <c r="C614" s="445" t="s">
        <v>85</v>
      </c>
      <c r="D614" s="445"/>
      <c r="E614" s="445"/>
      <c r="F614" s="445"/>
      <c r="G614" s="446">
        <v>242</v>
      </c>
      <c r="H614" s="445" t="s">
        <v>897</v>
      </c>
      <c r="I614" s="445"/>
      <c r="J614" s="445"/>
      <c r="K614" s="447"/>
      <c r="L614" s="445" t="s">
        <v>147</v>
      </c>
      <c r="M614" s="445">
        <v>4</v>
      </c>
      <c r="N614" s="445" t="s">
        <v>89</v>
      </c>
      <c r="O614" s="449" t="s">
        <v>1697</v>
      </c>
      <c r="P614" s="450">
        <v>4.8120000000000003</v>
      </c>
      <c r="Q614" s="451">
        <f>P614</f>
        <v>4.8120000000000003</v>
      </c>
      <c r="R614" s="451">
        <f>SUMIF('Wege im Detail'!$A:$A,"24714",'Wege im Detail'!$P:$P)</f>
        <v>4.8120000000000003</v>
      </c>
      <c r="S614" s="452" t="s">
        <v>898</v>
      </c>
      <c r="T614" s="453">
        <v>43530</v>
      </c>
      <c r="U614" s="448"/>
      <c r="V614" s="475"/>
      <c r="W614" s="448"/>
    </row>
    <row r="615" spans="1:253" s="458" customFormat="1" ht="56.25" x14ac:dyDescent="0.2">
      <c r="A615" s="444">
        <v>24844</v>
      </c>
      <c r="B615" s="445" t="s">
        <v>84</v>
      </c>
      <c r="C615" s="445" t="s">
        <v>85</v>
      </c>
      <c r="D615" s="445"/>
      <c r="E615" s="445"/>
      <c r="F615" s="445"/>
      <c r="G615" s="445">
        <v>251</v>
      </c>
      <c r="H615" s="445" t="s">
        <v>899</v>
      </c>
      <c r="I615" s="445"/>
      <c r="J615" s="445"/>
      <c r="K615" s="447"/>
      <c r="L615" s="445" t="s">
        <v>142</v>
      </c>
      <c r="M615" s="445">
        <v>1</v>
      </c>
      <c r="N615" s="445" t="s">
        <v>1184</v>
      </c>
      <c r="O615" s="464" t="s">
        <v>1698</v>
      </c>
      <c r="P615" s="450">
        <v>9.5530000000000008</v>
      </c>
      <c r="Q615" s="451"/>
      <c r="R615" s="451">
        <f>SUMIF('Wege im Detail'!$A:$A,"24844",'Wege im Detail'!$P:$P)</f>
        <v>9.5530000000000008</v>
      </c>
      <c r="S615" s="452" t="s">
        <v>1699</v>
      </c>
      <c r="T615" s="453">
        <v>43952</v>
      </c>
      <c r="U615" s="448"/>
      <c r="V615" s="527" t="s">
        <v>1700</v>
      </c>
      <c r="W615" s="448"/>
    </row>
    <row r="616" spans="1:253" s="458" customFormat="1" ht="45" x14ac:dyDescent="0.2">
      <c r="A616" s="444">
        <v>24845</v>
      </c>
      <c r="B616" s="445" t="s">
        <v>84</v>
      </c>
      <c r="C616" s="445" t="s">
        <v>85</v>
      </c>
      <c r="D616" s="445"/>
      <c r="E616" s="445"/>
      <c r="F616" s="445"/>
      <c r="G616" s="445">
        <v>252</v>
      </c>
      <c r="H616" s="445" t="s">
        <v>901</v>
      </c>
      <c r="I616" s="445"/>
      <c r="J616" s="445"/>
      <c r="K616" s="447"/>
      <c r="L616" s="445" t="s">
        <v>147</v>
      </c>
      <c r="M616" s="445">
        <v>1</v>
      </c>
      <c r="N616" s="445" t="s">
        <v>1184</v>
      </c>
      <c r="O616" s="464" t="s">
        <v>1701</v>
      </c>
      <c r="P616" s="450">
        <v>3.0139999999999998</v>
      </c>
      <c r="Q616" s="451"/>
      <c r="R616" s="451">
        <f>SUMIF('Wege im Detail'!$A:$A,"24845",'Wege im Detail'!$P:$P)</f>
        <v>3.0139999999999998</v>
      </c>
      <c r="S616" s="452" t="s">
        <v>1702</v>
      </c>
      <c r="T616" s="453">
        <v>43952</v>
      </c>
      <c r="U616" s="448"/>
      <c r="V616" s="527" t="s">
        <v>1703</v>
      </c>
      <c r="W616" s="448"/>
    </row>
    <row r="617" spans="1:253" s="458" customFormat="1" ht="45" x14ac:dyDescent="0.2">
      <c r="A617" s="444">
        <v>24846</v>
      </c>
      <c r="B617" s="445" t="s">
        <v>84</v>
      </c>
      <c r="C617" s="445" t="s">
        <v>85</v>
      </c>
      <c r="D617" s="445"/>
      <c r="E617" s="445"/>
      <c r="F617" s="445"/>
      <c r="G617" s="445">
        <v>253</v>
      </c>
      <c r="H617" s="445" t="s">
        <v>903</v>
      </c>
      <c r="I617" s="445"/>
      <c r="J617" s="445"/>
      <c r="K617" s="447"/>
      <c r="L617" s="445" t="s">
        <v>133</v>
      </c>
      <c r="M617" s="445">
        <v>1</v>
      </c>
      <c r="N617" s="445" t="s">
        <v>1184</v>
      </c>
      <c r="O617" s="464" t="s">
        <v>1704</v>
      </c>
      <c r="P617" s="450">
        <v>6.5110000000000001</v>
      </c>
      <c r="Q617" s="451"/>
      <c r="R617" s="451">
        <f>SUMIF('Wege im Detail'!$A:$A,"24846",'Wege im Detail'!$P:$P)</f>
        <v>6.5110000000000001</v>
      </c>
      <c r="S617" s="452" t="s">
        <v>1705</v>
      </c>
      <c r="T617" s="453">
        <v>43952</v>
      </c>
      <c r="U617" s="448"/>
      <c r="V617" s="527" t="s">
        <v>1703</v>
      </c>
      <c r="W617" s="448"/>
    </row>
    <row r="618" spans="1:253" s="458" customFormat="1" ht="56.25" x14ac:dyDescent="0.2">
      <c r="A618" s="444">
        <v>25194</v>
      </c>
      <c r="B618" s="445" t="s">
        <v>84</v>
      </c>
      <c r="C618" s="445" t="s">
        <v>85</v>
      </c>
      <c r="D618" s="445"/>
      <c r="E618" s="445"/>
      <c r="F618" s="445"/>
      <c r="G618" s="445">
        <v>211</v>
      </c>
      <c r="H618" s="445" t="s">
        <v>905</v>
      </c>
      <c r="I618" s="445"/>
      <c r="J618" s="445"/>
      <c r="K618" s="447"/>
      <c r="L618" s="445" t="s">
        <v>1706</v>
      </c>
      <c r="M618" s="445">
        <v>5</v>
      </c>
      <c r="N618" s="445" t="s">
        <v>164</v>
      </c>
      <c r="O618" s="464" t="s">
        <v>1707</v>
      </c>
      <c r="P618" s="450">
        <v>4.4610000000000003</v>
      </c>
      <c r="Q618" s="451"/>
      <c r="R618" s="451">
        <f>SUMIF('Wege im Detail'!$A:$A,"025194",'Wege im Detail'!$P:$P)</f>
        <v>4.4610000000000003</v>
      </c>
      <c r="S618" s="452" t="s">
        <v>907</v>
      </c>
      <c r="T618" s="453">
        <v>44105</v>
      </c>
      <c r="U618" s="448"/>
      <c r="V618" s="527" t="s">
        <v>1708</v>
      </c>
      <c r="W618" s="448"/>
    </row>
    <row r="619" spans="1:253" s="458" customFormat="1" ht="67.5" x14ac:dyDescent="0.2">
      <c r="A619" s="444">
        <v>25195</v>
      </c>
      <c r="B619" s="445" t="s">
        <v>84</v>
      </c>
      <c r="C619" s="445" t="s">
        <v>85</v>
      </c>
      <c r="D619" s="445"/>
      <c r="E619" s="445"/>
      <c r="F619" s="445"/>
      <c r="G619" s="445">
        <v>212</v>
      </c>
      <c r="H619" s="445" t="s">
        <v>908</v>
      </c>
      <c r="I619" s="445"/>
      <c r="J619" s="445"/>
      <c r="K619" s="447"/>
      <c r="L619" s="445" t="s">
        <v>1709</v>
      </c>
      <c r="M619" s="445">
        <v>5</v>
      </c>
      <c r="N619" s="445" t="s">
        <v>164</v>
      </c>
      <c r="O619" s="464" t="s">
        <v>1710</v>
      </c>
      <c r="P619" s="450">
        <v>5.4539999999999997</v>
      </c>
      <c r="Q619" s="451"/>
      <c r="R619" s="451">
        <f>SUMIF('Wege im Detail'!$A:$A,"025195",'Wege im Detail'!$P:$P)</f>
        <v>5.4539999999999997</v>
      </c>
      <c r="S619" s="452" t="s">
        <v>910</v>
      </c>
      <c r="T619" s="453">
        <v>44105</v>
      </c>
      <c r="U619" s="448"/>
      <c r="V619" s="527" t="s">
        <v>1711</v>
      </c>
      <c r="W619" s="448"/>
    </row>
    <row r="620" spans="1:253" s="458" customFormat="1" ht="45" x14ac:dyDescent="0.2">
      <c r="A620" s="444">
        <v>25196</v>
      </c>
      <c r="B620" s="445" t="s">
        <v>84</v>
      </c>
      <c r="C620" s="445" t="s">
        <v>85</v>
      </c>
      <c r="D620" s="445"/>
      <c r="E620" s="445"/>
      <c r="F620" s="445"/>
      <c r="G620" s="445">
        <v>213</v>
      </c>
      <c r="H620" s="445" t="s">
        <v>911</v>
      </c>
      <c r="I620" s="445"/>
      <c r="J620" s="445"/>
      <c r="K620" s="447"/>
      <c r="L620" s="445" t="s">
        <v>1712</v>
      </c>
      <c r="M620" s="445">
        <v>5</v>
      </c>
      <c r="N620" s="445" t="s">
        <v>164</v>
      </c>
      <c r="O620" s="464" t="s">
        <v>1713</v>
      </c>
      <c r="P620" s="450">
        <v>3.17</v>
      </c>
      <c r="Q620" s="451"/>
      <c r="R620" s="451">
        <f>SUMIF('Wege im Detail'!$A:$A,"025196",'Wege im Detail'!$P:$P)</f>
        <v>3.17</v>
      </c>
      <c r="S620" s="452" t="s">
        <v>913</v>
      </c>
      <c r="T620" s="453">
        <v>44197</v>
      </c>
      <c r="U620" s="448"/>
      <c r="V620" s="527" t="s">
        <v>1714</v>
      </c>
      <c r="W620" s="448"/>
    </row>
    <row r="621" spans="1:253" s="458" customFormat="1" ht="33.75" x14ac:dyDescent="0.2">
      <c r="A621" s="535">
        <v>25197</v>
      </c>
      <c r="B621" s="445" t="s">
        <v>84</v>
      </c>
      <c r="C621" s="445" t="s">
        <v>85</v>
      </c>
      <c r="D621" s="445"/>
      <c r="E621" s="445"/>
      <c r="F621" s="445"/>
      <c r="G621" s="445">
        <v>214</v>
      </c>
      <c r="H621" s="445" t="s">
        <v>914</v>
      </c>
      <c r="I621" s="445"/>
      <c r="J621" s="445"/>
      <c r="K621" s="447"/>
      <c r="L621" s="445" t="s">
        <v>1715</v>
      </c>
      <c r="M621" s="445">
        <v>5</v>
      </c>
      <c r="N621" s="445" t="s">
        <v>164</v>
      </c>
      <c r="O621" s="464" t="s">
        <v>1716</v>
      </c>
      <c r="P621" s="450">
        <v>2.5190000000000001</v>
      </c>
      <c r="Q621" s="451"/>
      <c r="R621" s="451">
        <f>SUMIF('Wege im Detail'!$A:$A,"025197",'Wege im Detail'!$P:$P)</f>
        <v>2.5190000000000001</v>
      </c>
      <c r="S621" s="452" t="s">
        <v>1717</v>
      </c>
      <c r="T621" s="453">
        <v>44197</v>
      </c>
      <c r="U621" s="448"/>
      <c r="V621" s="527" t="s">
        <v>1718</v>
      </c>
      <c r="W621" s="448"/>
    </row>
    <row r="622" spans="1:253" s="458" customFormat="1" ht="56.25" x14ac:dyDescent="0.2">
      <c r="A622" s="535">
        <v>25353</v>
      </c>
      <c r="B622" s="445" t="s">
        <v>84</v>
      </c>
      <c r="C622" s="445" t="s">
        <v>85</v>
      </c>
      <c r="D622" s="445"/>
      <c r="E622" s="445"/>
      <c r="F622" s="445"/>
      <c r="G622" s="445">
        <v>202</v>
      </c>
      <c r="H622" s="445" t="s">
        <v>917</v>
      </c>
      <c r="I622" s="445"/>
      <c r="J622" s="445"/>
      <c r="K622" s="447"/>
      <c r="L622" s="445" t="s">
        <v>147</v>
      </c>
      <c r="M622" s="445">
        <v>5</v>
      </c>
      <c r="N622" s="445" t="s">
        <v>111</v>
      </c>
      <c r="O622" s="464" t="s">
        <v>1720</v>
      </c>
      <c r="P622" s="450">
        <v>9.8800000000000008</v>
      </c>
      <c r="Q622" s="451"/>
      <c r="R622" s="451">
        <f>SUMIF('Wege im Detail'!$A:$A,"025353",'Wege im Detail'!$P:$P)</f>
        <v>9.8800000000000008</v>
      </c>
      <c r="S622" s="452" t="s">
        <v>1721</v>
      </c>
      <c r="T622" s="453">
        <v>44197</v>
      </c>
      <c r="U622" s="448"/>
      <c r="V622" s="536" t="s">
        <v>1722</v>
      </c>
      <c r="W622" s="448"/>
    </row>
    <row r="623" spans="1:253" s="458" customFormat="1" ht="45" x14ac:dyDescent="0.2">
      <c r="A623" s="444">
        <v>25354</v>
      </c>
      <c r="B623" s="445" t="s">
        <v>84</v>
      </c>
      <c r="C623" s="445" t="s">
        <v>85</v>
      </c>
      <c r="D623" s="445"/>
      <c r="E623" s="445"/>
      <c r="F623" s="445"/>
      <c r="G623" s="445">
        <v>204</v>
      </c>
      <c r="H623" s="445" t="s">
        <v>919</v>
      </c>
      <c r="I623" s="445"/>
      <c r="J623" s="445"/>
      <c r="K623" s="447"/>
      <c r="L623" s="445" t="s">
        <v>138</v>
      </c>
      <c r="M623" s="445">
        <v>5</v>
      </c>
      <c r="N623" s="445" t="s">
        <v>111</v>
      </c>
      <c r="O623" s="464" t="s">
        <v>1723</v>
      </c>
      <c r="P623" s="450">
        <v>8.6440000000000001</v>
      </c>
      <c r="Q623" s="451"/>
      <c r="R623" s="451">
        <f>SUMIF('Wege im Detail'!$A:$A,"025354",'Wege im Detail'!$P:$P)</f>
        <v>8.6440000000000001</v>
      </c>
      <c r="S623" s="452" t="s">
        <v>1724</v>
      </c>
      <c r="T623" s="453">
        <v>44197</v>
      </c>
      <c r="U623" s="448"/>
      <c r="V623" s="536" t="s">
        <v>1725</v>
      </c>
      <c r="W623" s="448"/>
    </row>
    <row r="624" spans="1:253" s="458" customFormat="1" ht="56.25" x14ac:dyDescent="0.2">
      <c r="A624" s="444">
        <v>25355</v>
      </c>
      <c r="B624" s="445" t="s">
        <v>84</v>
      </c>
      <c r="C624" s="445" t="s">
        <v>85</v>
      </c>
      <c r="D624" s="445"/>
      <c r="E624" s="445"/>
      <c r="F624" s="445"/>
      <c r="G624" s="445">
        <v>203</v>
      </c>
      <c r="H624" s="445" t="s">
        <v>920</v>
      </c>
      <c r="I624" s="445"/>
      <c r="J624" s="445"/>
      <c r="K624" s="447"/>
      <c r="L624" s="445" t="s">
        <v>133</v>
      </c>
      <c r="M624" s="445">
        <v>5</v>
      </c>
      <c r="N624" s="445" t="s">
        <v>111</v>
      </c>
      <c r="O624" s="464" t="s">
        <v>1726</v>
      </c>
      <c r="P624" s="450">
        <v>9.0090000000000003</v>
      </c>
      <c r="Q624" s="451"/>
      <c r="R624" s="451">
        <f>SUMIF('Wege im Detail'!$A:$A,"025356",'Wege im Detail'!$P:$P)</f>
        <v>9.08</v>
      </c>
      <c r="S624" s="452" t="s">
        <v>918</v>
      </c>
      <c r="T624" s="453">
        <v>43983</v>
      </c>
      <c r="U624" s="448"/>
      <c r="V624" s="527" t="s">
        <v>1727</v>
      </c>
      <c r="W624" s="448"/>
    </row>
    <row r="625" spans="1:253" s="458" customFormat="1" ht="67.5" x14ac:dyDescent="0.2">
      <c r="A625" s="444">
        <v>25356</v>
      </c>
      <c r="B625" s="445" t="s">
        <v>84</v>
      </c>
      <c r="C625" s="445" t="s">
        <v>85</v>
      </c>
      <c r="D625" s="445"/>
      <c r="E625" s="445"/>
      <c r="F625" s="445"/>
      <c r="G625" s="445">
        <v>201</v>
      </c>
      <c r="H625" s="445" t="s">
        <v>921</v>
      </c>
      <c r="I625" s="445"/>
      <c r="J625" s="445"/>
      <c r="K625" s="447"/>
      <c r="L625" s="445" t="s">
        <v>142</v>
      </c>
      <c r="M625" s="445">
        <v>5</v>
      </c>
      <c r="N625" s="445" t="s">
        <v>111</v>
      </c>
      <c r="O625" s="464" t="s">
        <v>1728</v>
      </c>
      <c r="P625" s="450">
        <v>9.08</v>
      </c>
      <c r="Q625" s="451"/>
      <c r="R625" s="451">
        <f>SUMIF('Wege im Detail'!$A:$A,"025356",'Wege im Detail'!$P:$P)</f>
        <v>9.08</v>
      </c>
      <c r="S625" s="452" t="s">
        <v>922</v>
      </c>
      <c r="T625" s="453">
        <v>43983</v>
      </c>
      <c r="U625" s="448"/>
      <c r="V625" s="527" t="s">
        <v>1729</v>
      </c>
      <c r="W625" s="448"/>
    </row>
    <row r="626" spans="1:253" s="455" customFormat="1" ht="56.25" x14ac:dyDescent="0.2">
      <c r="A626" s="444">
        <v>25732</v>
      </c>
      <c r="B626" s="445" t="s">
        <v>84</v>
      </c>
      <c r="C626" s="445" t="s">
        <v>85</v>
      </c>
      <c r="D626" s="445"/>
      <c r="E626" s="445"/>
      <c r="F626" s="479"/>
      <c r="G626" s="446">
        <v>266</v>
      </c>
      <c r="H626" s="445" t="s">
        <v>923</v>
      </c>
      <c r="I626" s="445"/>
      <c r="J626" s="445"/>
      <c r="K626" s="447"/>
      <c r="L626" s="448" t="s">
        <v>172</v>
      </c>
      <c r="M626" s="445">
        <v>1</v>
      </c>
      <c r="N626" s="445" t="s">
        <v>436</v>
      </c>
      <c r="O626" s="449" t="s">
        <v>1730</v>
      </c>
      <c r="P626" s="450">
        <v>7.5250000000000004</v>
      </c>
      <c r="Q626" s="451">
        <f>P626</f>
        <v>7.5250000000000004</v>
      </c>
      <c r="R626" s="451">
        <f>SUMIF('Wege im Detail'!$A:$A,"025732",'Wege im Detail'!$P:$P)</f>
        <v>7.5250000000000004</v>
      </c>
      <c r="S626" s="452" t="s">
        <v>1731</v>
      </c>
      <c r="T626" s="453">
        <v>44348</v>
      </c>
      <c r="U626" s="448" t="s">
        <v>1732</v>
      </c>
      <c r="V626" s="479" t="s">
        <v>1733</v>
      </c>
      <c r="W626" s="448"/>
    </row>
    <row r="627" spans="1:253" s="455" customFormat="1" ht="67.5" x14ac:dyDescent="0.2">
      <c r="A627" s="444">
        <v>25912</v>
      </c>
      <c r="B627" s="445" t="s">
        <v>84</v>
      </c>
      <c r="C627" s="445" t="s">
        <v>85</v>
      </c>
      <c r="D627" s="445"/>
      <c r="E627" s="445" t="s">
        <v>286</v>
      </c>
      <c r="F627" s="445"/>
      <c r="G627" s="446">
        <v>159</v>
      </c>
      <c r="H627" s="445" t="s">
        <v>925</v>
      </c>
      <c r="I627" s="445"/>
      <c r="J627" s="445"/>
      <c r="K627" s="592"/>
      <c r="L627" s="445" t="s">
        <v>926</v>
      </c>
      <c r="M627" s="445">
        <v>3</v>
      </c>
      <c r="N627" s="445" t="s">
        <v>187</v>
      </c>
      <c r="O627" s="449" t="s">
        <v>1734</v>
      </c>
      <c r="P627" s="450">
        <v>10.5</v>
      </c>
      <c r="Q627" s="593"/>
      <c r="R627" s="451">
        <f>SUMIF('Wege im Detail'!$A:$A,"025912",'Wege im Detail'!$P:$P)</f>
        <v>10.5</v>
      </c>
      <c r="S627" s="594" t="s">
        <v>927</v>
      </c>
      <c r="T627" s="595">
        <v>44570</v>
      </c>
      <c r="V627" s="445" t="s">
        <v>1735</v>
      </c>
      <c r="W627" s="445"/>
    </row>
    <row r="628" spans="1:253" s="458" customFormat="1" ht="67.5" x14ac:dyDescent="0.2">
      <c r="A628" s="444">
        <v>26469</v>
      </c>
      <c r="B628" s="445" t="s">
        <v>84</v>
      </c>
      <c r="C628" s="445" t="s">
        <v>85</v>
      </c>
      <c r="D628" s="445"/>
      <c r="E628" s="445" t="s">
        <v>2282</v>
      </c>
      <c r="F628" s="445"/>
      <c r="G628" s="446">
        <v>163</v>
      </c>
      <c r="H628" s="445" t="s">
        <v>928</v>
      </c>
      <c r="I628" s="445"/>
      <c r="J628" s="445"/>
      <c r="K628" s="592"/>
      <c r="L628" s="445" t="s">
        <v>1736</v>
      </c>
      <c r="M628" s="445">
        <v>3</v>
      </c>
      <c r="N628" s="445" t="s">
        <v>187</v>
      </c>
      <c r="O628" s="449" t="s">
        <v>1737</v>
      </c>
      <c r="P628" s="450">
        <v>10.51</v>
      </c>
      <c r="Q628" s="593"/>
      <c r="R628" s="451">
        <f>SUMIF('Wege im Detail'!$A:$A,"026469",'Wege im Detail'!$P:$P)</f>
        <v>10.51</v>
      </c>
      <c r="S628" s="594" t="s">
        <v>930</v>
      </c>
      <c r="T628" s="595">
        <v>44958</v>
      </c>
      <c r="U628" s="455"/>
      <c r="V628" s="445" t="s">
        <v>1738</v>
      </c>
      <c r="W628" s="445"/>
    </row>
    <row r="629" spans="1:253" s="458" customFormat="1" ht="90" x14ac:dyDescent="0.2">
      <c r="A629" s="444">
        <v>26708</v>
      </c>
      <c r="B629" s="445" t="s">
        <v>84</v>
      </c>
      <c r="C629" s="445" t="s">
        <v>85</v>
      </c>
      <c r="D629" s="445" t="s">
        <v>320</v>
      </c>
      <c r="E629" s="445"/>
      <c r="F629" s="445"/>
      <c r="G629" s="446">
        <v>164</v>
      </c>
      <c r="H629" s="445" t="s">
        <v>932</v>
      </c>
      <c r="I629" s="445"/>
      <c r="J629" s="445"/>
      <c r="K629" s="592"/>
      <c r="L629" s="445" t="s">
        <v>1739</v>
      </c>
      <c r="M629" s="445">
        <v>2</v>
      </c>
      <c r="N629" s="445" t="s">
        <v>458</v>
      </c>
      <c r="O629" s="449" t="s">
        <v>2266</v>
      </c>
      <c r="P629" s="450">
        <v>14.7</v>
      </c>
      <c r="Q629" s="686"/>
      <c r="R629" s="451">
        <f>SUMIF('Wege im Detail'!$A:$A,"026708",'Wege im Detail'!$P:$P)</f>
        <v>14.7</v>
      </c>
      <c r="S629" s="508" t="s">
        <v>2267</v>
      </c>
      <c r="T629" s="453">
        <v>45139</v>
      </c>
      <c r="U629" s="455"/>
      <c r="V629" s="445"/>
      <c r="W629" s="445"/>
    </row>
    <row r="630" spans="1:253" s="458" customFormat="1" ht="56.25" x14ac:dyDescent="0.2">
      <c r="A630" s="438" t="s">
        <v>2291</v>
      </c>
      <c r="B630" s="445" t="s">
        <v>84</v>
      </c>
      <c r="C630" s="445" t="s">
        <v>85</v>
      </c>
      <c r="D630" s="445" t="s">
        <v>2292</v>
      </c>
      <c r="E630" s="445"/>
      <c r="F630" s="445"/>
      <c r="G630" s="446">
        <v>167</v>
      </c>
      <c r="H630" s="445" t="s">
        <v>2294</v>
      </c>
      <c r="I630" s="445"/>
      <c r="J630" s="445"/>
      <c r="K630" s="592"/>
      <c r="L630" s="445" t="s">
        <v>2293</v>
      </c>
      <c r="M630" s="445"/>
      <c r="N630" s="445" t="s">
        <v>63</v>
      </c>
      <c r="O630" s="464" t="s">
        <v>2297</v>
      </c>
      <c r="P630" s="450">
        <v>15.62</v>
      </c>
      <c r="Q630" s="686"/>
      <c r="R630" s="451">
        <f>SUMIF('Wege im Detail'!$A:$A,"N-2023_Hupferweg",'Wege im Detail'!$P:$P)</f>
        <v>15.62</v>
      </c>
      <c r="S630" s="508" t="s">
        <v>2295</v>
      </c>
      <c r="T630" s="453">
        <v>45139</v>
      </c>
      <c r="U630" s="448" t="s">
        <v>2291</v>
      </c>
      <c r="V630" s="445" t="s">
        <v>2296</v>
      </c>
      <c r="W630" s="445"/>
    </row>
    <row r="631" spans="1:253" s="455" customFormat="1" ht="12" x14ac:dyDescent="0.2">
      <c r="A631" s="444"/>
      <c r="B631" s="445"/>
      <c r="C631" s="479"/>
      <c r="D631" s="479"/>
      <c r="E631" s="479"/>
      <c r="F631" s="479"/>
      <c r="G631" s="446"/>
      <c r="H631" s="445"/>
      <c r="I631" s="445"/>
      <c r="J631" s="445"/>
      <c r="K631" s="447"/>
      <c r="L631" s="448"/>
      <c r="M631" s="448"/>
      <c r="N631" s="445"/>
      <c r="O631" s="509"/>
      <c r="P631" s="450"/>
      <c r="Q631" s="451"/>
      <c r="R631" s="507"/>
      <c r="S631" s="508"/>
      <c r="T631" s="472"/>
      <c r="U631" s="448"/>
      <c r="V631" s="458"/>
      <c r="W631" s="448"/>
      <c r="X631" s="458"/>
      <c r="Y631" s="458"/>
      <c r="Z631" s="458"/>
      <c r="AA631" s="458"/>
      <c r="AB631" s="458"/>
      <c r="AC631" s="458"/>
      <c r="AD631" s="458"/>
      <c r="AE631" s="458"/>
      <c r="AF631" s="458"/>
      <c r="AG631" s="458"/>
      <c r="AH631" s="458"/>
      <c r="AI631" s="458"/>
      <c r="AJ631" s="458"/>
      <c r="AK631" s="458"/>
      <c r="AL631" s="458"/>
      <c r="AM631" s="458"/>
      <c r="AN631" s="458"/>
      <c r="AO631" s="458"/>
      <c r="AP631" s="458"/>
      <c r="AQ631" s="458"/>
      <c r="AR631" s="458"/>
      <c r="AS631" s="458"/>
      <c r="AT631" s="458"/>
      <c r="AU631" s="458"/>
      <c r="AV631" s="458"/>
      <c r="AW631" s="458"/>
      <c r="AX631" s="458"/>
      <c r="AY631" s="458"/>
      <c r="AZ631" s="458"/>
      <c r="BA631" s="458"/>
      <c r="BB631" s="458"/>
      <c r="BC631" s="458"/>
      <c r="BD631" s="458"/>
      <c r="BE631" s="458"/>
      <c r="BF631" s="458"/>
      <c r="BG631" s="458"/>
      <c r="BH631" s="458"/>
      <c r="BI631" s="458"/>
      <c r="BJ631" s="458"/>
      <c r="BK631" s="458"/>
      <c r="BL631" s="458"/>
      <c r="BM631" s="458"/>
      <c r="BN631" s="458"/>
      <c r="BO631" s="458"/>
      <c r="BP631" s="458"/>
      <c r="BQ631" s="458"/>
      <c r="BR631" s="458"/>
      <c r="BS631" s="458"/>
      <c r="BT631" s="458"/>
      <c r="BU631" s="458"/>
      <c r="BV631" s="458"/>
      <c r="BW631" s="458"/>
      <c r="BX631" s="458"/>
      <c r="BY631" s="458"/>
      <c r="BZ631" s="458"/>
      <c r="CA631" s="458"/>
      <c r="CB631" s="458"/>
      <c r="CC631" s="458"/>
      <c r="CD631" s="458"/>
      <c r="CE631" s="458"/>
      <c r="CF631" s="458"/>
      <c r="CG631" s="458"/>
      <c r="CH631" s="458"/>
      <c r="CI631" s="458"/>
      <c r="CJ631" s="458"/>
      <c r="CK631" s="458"/>
      <c r="CL631" s="458"/>
      <c r="CM631" s="458"/>
      <c r="CN631" s="458"/>
      <c r="CO631" s="458"/>
      <c r="CP631" s="458"/>
      <c r="CQ631" s="458"/>
      <c r="CR631" s="458"/>
      <c r="CS631" s="458"/>
      <c r="CT631" s="458"/>
      <c r="CU631" s="458"/>
      <c r="CV631" s="458"/>
      <c r="CW631" s="458"/>
      <c r="CX631" s="458"/>
      <c r="CY631" s="458"/>
      <c r="CZ631" s="458"/>
      <c r="DA631" s="458"/>
      <c r="DB631" s="458"/>
      <c r="DC631" s="458"/>
      <c r="DD631" s="458"/>
      <c r="DE631" s="458"/>
      <c r="DF631" s="458"/>
      <c r="DG631" s="458"/>
      <c r="DH631" s="458"/>
      <c r="DI631" s="458"/>
      <c r="DJ631" s="458"/>
      <c r="DK631" s="458"/>
      <c r="DL631" s="458"/>
      <c r="DM631" s="458"/>
      <c r="DN631" s="458"/>
      <c r="DO631" s="458"/>
      <c r="DP631" s="458"/>
      <c r="DQ631" s="458"/>
      <c r="DR631" s="458"/>
      <c r="DS631" s="458"/>
      <c r="DT631" s="458"/>
      <c r="DU631" s="458"/>
      <c r="DV631" s="458"/>
      <c r="DW631" s="458"/>
      <c r="DX631" s="458"/>
      <c r="DY631" s="458"/>
      <c r="DZ631" s="458"/>
      <c r="EA631" s="458"/>
      <c r="EB631" s="458"/>
      <c r="EC631" s="458"/>
      <c r="ED631" s="458"/>
      <c r="EE631" s="458"/>
      <c r="EF631" s="458"/>
      <c r="EG631" s="458"/>
      <c r="EH631" s="458"/>
      <c r="EI631" s="458"/>
      <c r="EJ631" s="458"/>
      <c r="EK631" s="458"/>
      <c r="EL631" s="458"/>
      <c r="EM631" s="458"/>
      <c r="EN631" s="458"/>
      <c r="EO631" s="458"/>
      <c r="EP631" s="458"/>
      <c r="EQ631" s="458"/>
      <c r="ER631" s="458"/>
      <c r="ES631" s="458"/>
      <c r="ET631" s="458"/>
      <c r="EU631" s="458"/>
      <c r="EV631" s="458"/>
      <c r="EW631" s="458"/>
      <c r="EX631" s="458"/>
      <c r="EY631" s="458"/>
      <c r="EZ631" s="458"/>
      <c r="FA631" s="458"/>
      <c r="FB631" s="458"/>
      <c r="FC631" s="458"/>
      <c r="FD631" s="458"/>
      <c r="FE631" s="458"/>
      <c r="FF631" s="458"/>
      <c r="FG631" s="458"/>
      <c r="FH631" s="458"/>
      <c r="FI631" s="458"/>
      <c r="FJ631" s="458"/>
      <c r="FK631" s="458"/>
      <c r="FL631" s="458"/>
      <c r="FM631" s="458"/>
      <c r="FN631" s="458"/>
      <c r="FO631" s="458"/>
      <c r="FP631" s="458"/>
      <c r="FQ631" s="458"/>
      <c r="FR631" s="458"/>
      <c r="FS631" s="458"/>
      <c r="FT631" s="458"/>
      <c r="FU631" s="458"/>
      <c r="FV631" s="458"/>
      <c r="FW631" s="458"/>
      <c r="FX631" s="458"/>
      <c r="FY631" s="458"/>
      <c r="FZ631" s="458"/>
      <c r="GA631" s="458"/>
      <c r="GB631" s="458"/>
      <c r="GC631" s="458"/>
      <c r="GD631" s="458"/>
      <c r="GE631" s="458"/>
      <c r="GF631" s="458"/>
      <c r="GG631" s="458"/>
      <c r="GH631" s="458"/>
      <c r="GI631" s="458"/>
      <c r="GJ631" s="458"/>
      <c r="GK631" s="458"/>
      <c r="GL631" s="458"/>
      <c r="GM631" s="458"/>
      <c r="GN631" s="458"/>
      <c r="GO631" s="458"/>
      <c r="GP631" s="458"/>
      <c r="GQ631" s="458"/>
      <c r="GR631" s="458"/>
      <c r="GS631" s="458"/>
      <c r="GT631" s="458"/>
      <c r="GU631" s="458"/>
      <c r="GV631" s="458"/>
      <c r="GW631" s="458"/>
      <c r="GX631" s="458"/>
      <c r="GY631" s="458"/>
      <c r="GZ631" s="458"/>
      <c r="HA631" s="458"/>
      <c r="HB631" s="458"/>
      <c r="HC631" s="458"/>
      <c r="HD631" s="458"/>
      <c r="HE631" s="458"/>
      <c r="HF631" s="458"/>
      <c r="HG631" s="458"/>
      <c r="HH631" s="458"/>
      <c r="HI631" s="458"/>
      <c r="HJ631" s="458"/>
      <c r="HK631" s="458"/>
      <c r="HL631" s="458"/>
      <c r="HM631" s="458"/>
      <c r="HN631" s="458"/>
      <c r="HO631" s="458"/>
      <c r="HP631" s="458"/>
      <c r="HQ631" s="458"/>
      <c r="HR631" s="458"/>
      <c r="HS631" s="458"/>
      <c r="HT631" s="458"/>
      <c r="HU631" s="458"/>
      <c r="HV631" s="458"/>
      <c r="HW631" s="458"/>
      <c r="HX631" s="458"/>
      <c r="HY631" s="458"/>
      <c r="HZ631" s="458"/>
      <c r="IA631" s="458"/>
      <c r="IB631" s="458"/>
      <c r="IC631" s="458"/>
      <c r="ID631" s="458"/>
      <c r="IE631" s="458"/>
      <c r="IF631" s="458"/>
      <c r="IG631" s="458"/>
      <c r="IH631" s="458"/>
      <c r="II631" s="458"/>
      <c r="IJ631" s="458"/>
      <c r="IK631" s="458"/>
      <c r="IL631" s="458"/>
      <c r="IM631" s="458"/>
      <c r="IN631" s="458"/>
      <c r="IO631" s="458"/>
      <c r="IP631" s="458"/>
      <c r="IQ631" s="458"/>
      <c r="IR631" s="458"/>
      <c r="IS631" s="458"/>
    </row>
    <row r="632" spans="1:253" s="458" customFormat="1" ht="25.5" x14ac:dyDescent="0.2">
      <c r="A632" s="438"/>
      <c r="B632" s="541" t="s">
        <v>934</v>
      </c>
      <c r="C632" s="479"/>
      <c r="D632" s="184"/>
      <c r="E632" s="541" t="s">
        <v>2283</v>
      </c>
      <c r="F632" s="479"/>
      <c r="G632" s="446"/>
      <c r="H632" s="445"/>
      <c r="I632" s="445"/>
      <c r="J632" s="445"/>
      <c r="K632" s="447"/>
      <c r="L632" s="448"/>
      <c r="M632" s="448"/>
      <c r="N632" s="445"/>
      <c r="O632" s="509"/>
      <c r="P632" s="450"/>
      <c r="Q632" s="451"/>
      <c r="R632" s="507"/>
      <c r="S632" s="508"/>
      <c r="T632" s="472"/>
      <c r="U632" s="448"/>
      <c r="W632" s="448"/>
      <c r="X632" s="455"/>
      <c r="Y632" s="455"/>
      <c r="Z632" s="455"/>
      <c r="AA632" s="455"/>
      <c r="AB632" s="455"/>
      <c r="AC632" s="455"/>
      <c r="AD632" s="455"/>
      <c r="AE632" s="455"/>
      <c r="AF632" s="455"/>
      <c r="AG632" s="455"/>
      <c r="AH632" s="455"/>
      <c r="AI632" s="455"/>
      <c r="AJ632" s="455"/>
      <c r="AK632" s="455"/>
      <c r="AL632" s="455"/>
      <c r="AM632" s="455"/>
      <c r="AN632" s="455"/>
      <c r="AO632" s="455"/>
      <c r="AP632" s="455"/>
      <c r="AQ632" s="455"/>
      <c r="AR632" s="455"/>
      <c r="AS632" s="455"/>
      <c r="AT632" s="455"/>
      <c r="AU632" s="455"/>
      <c r="AV632" s="455"/>
      <c r="AW632" s="455"/>
      <c r="AX632" s="455"/>
      <c r="AY632" s="455"/>
      <c r="AZ632" s="455"/>
      <c r="BA632" s="455"/>
      <c r="BB632" s="455"/>
      <c r="BC632" s="455"/>
      <c r="BD632" s="455"/>
      <c r="BE632" s="455"/>
      <c r="BF632" s="455"/>
      <c r="BG632" s="455"/>
      <c r="BH632" s="455"/>
      <c r="BI632" s="455"/>
      <c r="BJ632" s="455"/>
      <c r="BK632" s="455"/>
      <c r="BL632" s="455"/>
      <c r="BM632" s="455"/>
      <c r="BN632" s="455"/>
      <c r="BO632" s="455"/>
      <c r="BP632" s="455"/>
      <c r="BQ632" s="455"/>
      <c r="BR632" s="455"/>
      <c r="BS632" s="455"/>
      <c r="BT632" s="455"/>
      <c r="BU632" s="455"/>
      <c r="BV632" s="455"/>
      <c r="BW632" s="455"/>
      <c r="BX632" s="455"/>
      <c r="BY632" s="455"/>
      <c r="BZ632" s="455"/>
      <c r="CA632" s="455"/>
      <c r="CB632" s="455"/>
      <c r="CC632" s="455"/>
      <c r="CD632" s="455"/>
      <c r="CE632" s="455"/>
      <c r="CF632" s="455"/>
      <c r="CG632" s="455"/>
      <c r="CH632" s="455"/>
      <c r="CI632" s="455"/>
      <c r="CJ632" s="455"/>
      <c r="CK632" s="455"/>
      <c r="CL632" s="455"/>
      <c r="CM632" s="455"/>
      <c r="CN632" s="455"/>
      <c r="CO632" s="455"/>
      <c r="CP632" s="455"/>
      <c r="CQ632" s="455"/>
      <c r="CR632" s="455"/>
      <c r="CS632" s="455"/>
      <c r="CT632" s="455"/>
      <c r="CU632" s="455"/>
      <c r="CV632" s="455"/>
      <c r="CW632" s="455"/>
      <c r="CX632" s="455"/>
      <c r="CY632" s="455"/>
      <c r="CZ632" s="455"/>
      <c r="DA632" s="455"/>
      <c r="DB632" s="455"/>
      <c r="DC632" s="455"/>
      <c r="DD632" s="455"/>
      <c r="DE632" s="455"/>
      <c r="DF632" s="455"/>
      <c r="DG632" s="455"/>
      <c r="DH632" s="455"/>
      <c r="DI632" s="455"/>
      <c r="DJ632" s="455"/>
      <c r="DK632" s="455"/>
      <c r="DL632" s="455"/>
      <c r="DM632" s="455"/>
      <c r="DN632" s="455"/>
      <c r="DO632" s="455"/>
      <c r="DP632" s="455"/>
      <c r="DQ632" s="455"/>
      <c r="DR632" s="455"/>
      <c r="DS632" s="455"/>
      <c r="DT632" s="455"/>
      <c r="DU632" s="455"/>
      <c r="DV632" s="455"/>
      <c r="DW632" s="455"/>
      <c r="DX632" s="455"/>
      <c r="DY632" s="455"/>
      <c r="DZ632" s="455"/>
      <c r="EA632" s="455"/>
      <c r="EB632" s="455"/>
      <c r="EC632" s="455"/>
      <c r="ED632" s="455"/>
      <c r="EE632" s="455"/>
      <c r="EF632" s="455"/>
      <c r="EG632" s="455"/>
      <c r="EH632" s="455"/>
      <c r="EI632" s="455"/>
      <c r="EJ632" s="455"/>
      <c r="EK632" s="455"/>
      <c r="EL632" s="455"/>
      <c r="EM632" s="455"/>
      <c r="EN632" s="455"/>
      <c r="EO632" s="455"/>
      <c r="EP632" s="455"/>
      <c r="EQ632" s="455"/>
      <c r="ER632" s="455"/>
      <c r="ES632" s="455"/>
      <c r="ET632" s="455"/>
      <c r="EU632" s="455"/>
      <c r="EV632" s="455"/>
      <c r="EW632" s="455"/>
      <c r="EX632" s="455"/>
      <c r="EY632" s="455"/>
      <c r="EZ632" s="455"/>
      <c r="FA632" s="455"/>
      <c r="FB632" s="455"/>
      <c r="FC632" s="455"/>
      <c r="FD632" s="455"/>
      <c r="FE632" s="455"/>
      <c r="FF632" s="455"/>
      <c r="FG632" s="455"/>
      <c r="FH632" s="455"/>
      <c r="FI632" s="455"/>
      <c r="FJ632" s="455"/>
      <c r="FK632" s="455"/>
      <c r="FL632" s="455"/>
      <c r="FM632" s="455"/>
      <c r="FN632" s="455"/>
      <c r="FO632" s="455"/>
      <c r="FP632" s="455"/>
      <c r="FQ632" s="455"/>
      <c r="FR632" s="455"/>
      <c r="FS632" s="455"/>
      <c r="FT632" s="455"/>
      <c r="FU632" s="455"/>
      <c r="FV632" s="455"/>
      <c r="FW632" s="455"/>
      <c r="FX632" s="455"/>
      <c r="FY632" s="455"/>
      <c r="FZ632" s="455"/>
      <c r="GA632" s="455"/>
      <c r="GB632" s="455"/>
      <c r="GC632" s="455"/>
      <c r="GD632" s="455"/>
      <c r="GE632" s="455"/>
      <c r="GF632" s="455"/>
      <c r="GG632" s="455"/>
      <c r="GH632" s="455"/>
      <c r="GI632" s="455"/>
      <c r="GJ632" s="455"/>
      <c r="GK632" s="455"/>
      <c r="GL632" s="455"/>
      <c r="GM632" s="455"/>
      <c r="GN632" s="455"/>
      <c r="GO632" s="455"/>
      <c r="GP632" s="455"/>
      <c r="GQ632" s="455"/>
      <c r="GR632" s="455"/>
      <c r="GS632" s="455"/>
      <c r="GT632" s="455"/>
      <c r="GU632" s="455"/>
      <c r="GV632" s="455"/>
      <c r="GW632" s="455"/>
      <c r="GX632" s="455"/>
      <c r="GY632" s="455"/>
      <c r="GZ632" s="455"/>
      <c r="HA632" s="455"/>
      <c r="HB632" s="455"/>
      <c r="HC632" s="455"/>
      <c r="HD632" s="455"/>
      <c r="HE632" s="455"/>
      <c r="HF632" s="455"/>
      <c r="HG632" s="455"/>
      <c r="HH632" s="455"/>
      <c r="HI632" s="455"/>
      <c r="HJ632" s="455"/>
      <c r="HK632" s="455"/>
      <c r="HL632" s="455"/>
      <c r="HM632" s="455"/>
      <c r="HN632" s="455"/>
      <c r="HO632" s="455"/>
      <c r="HP632" s="455"/>
      <c r="HQ632" s="455"/>
      <c r="HR632" s="455"/>
      <c r="HS632" s="455"/>
      <c r="HT632" s="455"/>
      <c r="HU632" s="455"/>
      <c r="HV632" s="455"/>
      <c r="HW632" s="455"/>
      <c r="HX632" s="455"/>
      <c r="HY632" s="455"/>
      <c r="HZ632" s="455"/>
      <c r="IA632" s="455"/>
      <c r="IB632" s="455"/>
      <c r="IC632" s="455"/>
      <c r="ID632" s="455"/>
      <c r="IE632" s="455"/>
      <c r="IF632" s="455"/>
      <c r="IG632" s="455"/>
      <c r="IH632" s="455"/>
      <c r="II632" s="455"/>
      <c r="IJ632" s="455"/>
      <c r="IK632" s="455"/>
      <c r="IL632" s="455"/>
      <c r="IM632" s="455"/>
      <c r="IN632" s="455"/>
      <c r="IO632" s="455"/>
      <c r="IP632" s="455"/>
      <c r="IQ632" s="455"/>
      <c r="IR632" s="455"/>
      <c r="IS632" s="455"/>
    </row>
    <row r="633" spans="1:253" s="458" customFormat="1" ht="12" x14ac:dyDescent="0.2">
      <c r="C633" s="479"/>
      <c r="D633" s="479"/>
      <c r="E633" s="479"/>
      <c r="F633" s="479"/>
      <c r="G633" s="446"/>
      <c r="H633" s="445"/>
      <c r="I633" s="445"/>
      <c r="J633" s="445"/>
      <c r="K633" s="447"/>
      <c r="L633" s="448"/>
      <c r="M633" s="448"/>
      <c r="N633" s="445"/>
      <c r="O633" s="509"/>
      <c r="Q633" s="451"/>
      <c r="R633" s="510">
        <f>SUM(P4:P632)</f>
        <v>3899.0060999999964</v>
      </c>
      <c r="S633" s="508"/>
      <c r="T633" s="472"/>
      <c r="U633" s="448"/>
      <c r="W633" s="448"/>
      <c r="X633" s="455"/>
      <c r="Y633" s="455"/>
      <c r="Z633" s="455"/>
      <c r="AA633" s="455"/>
      <c r="AB633" s="455"/>
      <c r="AC633" s="455"/>
      <c r="AD633" s="455"/>
      <c r="AE633" s="455"/>
      <c r="AF633" s="455"/>
      <c r="AG633" s="455"/>
      <c r="AH633" s="455"/>
      <c r="AI633" s="455"/>
      <c r="AJ633" s="455"/>
      <c r="AK633" s="455"/>
      <c r="AL633" s="455"/>
      <c r="AM633" s="455"/>
      <c r="AN633" s="455"/>
      <c r="AO633" s="455"/>
      <c r="AP633" s="455"/>
      <c r="AQ633" s="455"/>
      <c r="AR633" s="455"/>
      <c r="AS633" s="455"/>
      <c r="AT633" s="455"/>
      <c r="AU633" s="455"/>
      <c r="AV633" s="455"/>
      <c r="AW633" s="455"/>
      <c r="AX633" s="455"/>
      <c r="AY633" s="455"/>
      <c r="AZ633" s="455"/>
      <c r="BA633" s="455"/>
      <c r="BB633" s="455"/>
      <c r="BC633" s="455"/>
      <c r="BD633" s="455"/>
      <c r="BE633" s="455"/>
      <c r="BF633" s="455"/>
      <c r="BG633" s="455"/>
      <c r="BH633" s="455"/>
      <c r="BI633" s="455"/>
      <c r="BJ633" s="455"/>
      <c r="BK633" s="455"/>
      <c r="BL633" s="455"/>
      <c r="BM633" s="455"/>
      <c r="BN633" s="455"/>
      <c r="BO633" s="455"/>
      <c r="BP633" s="455"/>
      <c r="BQ633" s="455"/>
      <c r="BR633" s="455"/>
      <c r="BS633" s="455"/>
      <c r="BT633" s="455"/>
      <c r="BU633" s="455"/>
      <c r="BV633" s="455"/>
      <c r="BW633" s="455"/>
      <c r="BX633" s="455"/>
      <c r="BY633" s="455"/>
      <c r="BZ633" s="455"/>
      <c r="CA633" s="455"/>
      <c r="CB633" s="455"/>
      <c r="CC633" s="455"/>
      <c r="CD633" s="455"/>
      <c r="CE633" s="455"/>
      <c r="CF633" s="455"/>
      <c r="CG633" s="455"/>
      <c r="CH633" s="455"/>
      <c r="CI633" s="455"/>
      <c r="CJ633" s="455"/>
      <c r="CK633" s="455"/>
      <c r="CL633" s="455"/>
      <c r="CM633" s="455"/>
      <c r="CN633" s="455"/>
      <c r="CO633" s="455"/>
      <c r="CP633" s="455"/>
      <c r="CQ633" s="455"/>
      <c r="CR633" s="455"/>
      <c r="CS633" s="455"/>
      <c r="CT633" s="455"/>
      <c r="CU633" s="455"/>
      <c r="CV633" s="455"/>
      <c r="CW633" s="455"/>
      <c r="CX633" s="455"/>
      <c r="CY633" s="455"/>
      <c r="CZ633" s="455"/>
      <c r="DA633" s="455"/>
      <c r="DB633" s="455"/>
      <c r="DC633" s="455"/>
      <c r="DD633" s="455"/>
      <c r="DE633" s="455"/>
      <c r="DF633" s="455"/>
      <c r="DG633" s="455"/>
      <c r="DH633" s="455"/>
      <c r="DI633" s="455"/>
      <c r="DJ633" s="455"/>
      <c r="DK633" s="455"/>
      <c r="DL633" s="455"/>
      <c r="DM633" s="455"/>
      <c r="DN633" s="455"/>
      <c r="DO633" s="455"/>
      <c r="DP633" s="455"/>
      <c r="DQ633" s="455"/>
      <c r="DR633" s="455"/>
      <c r="DS633" s="455"/>
      <c r="DT633" s="455"/>
      <c r="DU633" s="455"/>
      <c r="DV633" s="455"/>
      <c r="DW633" s="455"/>
      <c r="DX633" s="455"/>
      <c r="DY633" s="455"/>
      <c r="DZ633" s="455"/>
      <c r="EA633" s="455"/>
      <c r="EB633" s="455"/>
      <c r="EC633" s="455"/>
      <c r="ED633" s="455"/>
      <c r="EE633" s="455"/>
      <c r="EF633" s="455"/>
      <c r="EG633" s="455"/>
      <c r="EH633" s="455"/>
      <c r="EI633" s="455"/>
      <c r="EJ633" s="455"/>
      <c r="EK633" s="455"/>
      <c r="EL633" s="455"/>
      <c r="EM633" s="455"/>
      <c r="EN633" s="455"/>
      <c r="EO633" s="455"/>
      <c r="EP633" s="455"/>
      <c r="EQ633" s="455"/>
      <c r="ER633" s="455"/>
      <c r="ES633" s="455"/>
      <c r="ET633" s="455"/>
      <c r="EU633" s="455"/>
      <c r="EV633" s="455"/>
      <c r="EW633" s="455"/>
      <c r="EX633" s="455"/>
      <c r="EY633" s="455"/>
      <c r="EZ633" s="455"/>
      <c r="FA633" s="455"/>
      <c r="FB633" s="455"/>
      <c r="FC633" s="455"/>
      <c r="FD633" s="455"/>
      <c r="FE633" s="455"/>
      <c r="FF633" s="455"/>
      <c r="FG633" s="455"/>
      <c r="FH633" s="455"/>
      <c r="FI633" s="455"/>
      <c r="FJ633" s="455"/>
      <c r="FK633" s="455"/>
      <c r="FL633" s="455"/>
      <c r="FM633" s="455"/>
      <c r="FN633" s="455"/>
      <c r="FO633" s="455"/>
      <c r="FP633" s="455"/>
      <c r="FQ633" s="455"/>
      <c r="FR633" s="455"/>
      <c r="FS633" s="455"/>
      <c r="FT633" s="455"/>
      <c r="FU633" s="455"/>
      <c r="FV633" s="455"/>
      <c r="FW633" s="455"/>
      <c r="FX633" s="455"/>
      <c r="FY633" s="455"/>
      <c r="FZ633" s="455"/>
      <c r="GA633" s="455"/>
      <c r="GB633" s="455"/>
      <c r="GC633" s="455"/>
      <c r="GD633" s="455"/>
      <c r="GE633" s="455"/>
      <c r="GF633" s="455"/>
      <c r="GG633" s="455"/>
      <c r="GH633" s="455"/>
      <c r="GI633" s="455"/>
      <c r="GJ633" s="455"/>
      <c r="GK633" s="455"/>
      <c r="GL633" s="455"/>
      <c r="GM633" s="455"/>
      <c r="GN633" s="455"/>
      <c r="GO633" s="455"/>
      <c r="GP633" s="455"/>
      <c r="GQ633" s="455"/>
      <c r="GR633" s="455"/>
      <c r="GS633" s="455"/>
      <c r="GT633" s="455"/>
      <c r="GU633" s="455"/>
      <c r="GV633" s="455"/>
      <c r="GW633" s="455"/>
      <c r="GX633" s="455"/>
      <c r="GY633" s="455"/>
      <c r="GZ633" s="455"/>
      <c r="HA633" s="455"/>
      <c r="HB633" s="455"/>
      <c r="HC633" s="455"/>
      <c r="HD633" s="455"/>
      <c r="HE633" s="455"/>
      <c r="HF633" s="455"/>
      <c r="HG633" s="455"/>
      <c r="HH633" s="455"/>
      <c r="HI633" s="455"/>
      <c r="HJ633" s="455"/>
      <c r="HK633" s="455"/>
      <c r="HL633" s="455"/>
      <c r="HM633" s="455"/>
      <c r="HN633" s="455"/>
      <c r="HO633" s="455"/>
      <c r="HP633" s="455"/>
      <c r="HQ633" s="455"/>
      <c r="HR633" s="455"/>
      <c r="HS633" s="455"/>
      <c r="HT633" s="455"/>
      <c r="HU633" s="455"/>
      <c r="HV633" s="455"/>
      <c r="HW633" s="455"/>
      <c r="HX633" s="455"/>
      <c r="HY633" s="455"/>
      <c r="HZ633" s="455"/>
      <c r="IA633" s="455"/>
      <c r="IB633" s="455"/>
      <c r="IC633" s="455"/>
      <c r="ID633" s="455"/>
      <c r="IE633" s="455"/>
      <c r="IF633" s="455"/>
      <c r="IG633" s="455"/>
      <c r="IH633" s="455"/>
      <c r="II633" s="455"/>
      <c r="IJ633" s="455"/>
      <c r="IK633" s="455"/>
      <c r="IL633" s="455"/>
      <c r="IM633" s="455"/>
      <c r="IN633" s="455"/>
      <c r="IO633" s="455"/>
      <c r="IP633" s="455"/>
      <c r="IQ633" s="455"/>
      <c r="IR633" s="455"/>
      <c r="IS633" s="455"/>
    </row>
    <row r="634" spans="1:253" s="458" customFormat="1" ht="12.75" x14ac:dyDescent="0.2">
      <c r="A634" s="444"/>
      <c r="B634" s="717"/>
      <c r="C634" s="479"/>
      <c r="D634" s="479"/>
      <c r="E634" s="479"/>
      <c r="F634" s="479"/>
      <c r="G634" s="446"/>
      <c r="H634" s="445"/>
      <c r="I634" s="445"/>
      <c r="J634" s="445"/>
      <c r="K634" s="447"/>
      <c r="L634" s="448"/>
      <c r="M634" s="448"/>
      <c r="N634" s="445"/>
      <c r="O634" s="449"/>
      <c r="P634" s="450"/>
      <c r="Q634" s="451"/>
      <c r="R634" s="507"/>
      <c r="S634" s="508"/>
      <c r="T634" s="472"/>
      <c r="U634" s="448"/>
      <c r="W634" s="448"/>
      <c r="X634" s="455"/>
      <c r="Y634" s="455"/>
      <c r="Z634" s="455"/>
      <c r="AA634" s="455"/>
      <c r="AB634" s="455"/>
      <c r="AC634" s="455"/>
      <c r="AD634" s="455"/>
      <c r="AE634" s="455"/>
      <c r="AF634" s="455"/>
      <c r="AG634" s="455"/>
      <c r="AH634" s="455"/>
      <c r="AI634" s="455"/>
      <c r="AJ634" s="455"/>
      <c r="AK634" s="455"/>
      <c r="AL634" s="455"/>
      <c r="AM634" s="455"/>
      <c r="AN634" s="455"/>
      <c r="AO634" s="455"/>
      <c r="AP634" s="455"/>
      <c r="AQ634" s="455"/>
      <c r="AR634" s="455"/>
      <c r="AS634" s="455"/>
      <c r="AT634" s="455"/>
      <c r="AU634" s="455"/>
      <c r="AV634" s="455"/>
      <c r="AW634" s="455"/>
      <c r="AX634" s="455"/>
      <c r="AY634" s="455"/>
      <c r="AZ634" s="455"/>
      <c r="BA634" s="455"/>
      <c r="BB634" s="455"/>
      <c r="BC634" s="455"/>
      <c r="BD634" s="455"/>
      <c r="BE634" s="455"/>
      <c r="BF634" s="455"/>
      <c r="BG634" s="455"/>
      <c r="BH634" s="455"/>
      <c r="BI634" s="455"/>
      <c r="BJ634" s="455"/>
      <c r="BK634" s="455"/>
      <c r="BL634" s="455"/>
      <c r="BM634" s="455"/>
      <c r="BN634" s="455"/>
      <c r="BO634" s="455"/>
      <c r="BP634" s="455"/>
      <c r="BQ634" s="455"/>
      <c r="BR634" s="455"/>
      <c r="BS634" s="455"/>
      <c r="BT634" s="455"/>
      <c r="BU634" s="455"/>
      <c r="BV634" s="455"/>
      <c r="BW634" s="455"/>
      <c r="BX634" s="455"/>
      <c r="BY634" s="455"/>
      <c r="BZ634" s="455"/>
      <c r="CA634" s="455"/>
      <c r="CB634" s="455"/>
      <c r="CC634" s="455"/>
      <c r="CD634" s="455"/>
      <c r="CE634" s="455"/>
      <c r="CF634" s="455"/>
      <c r="CG634" s="455"/>
      <c r="CH634" s="455"/>
      <c r="CI634" s="455"/>
      <c r="CJ634" s="455"/>
      <c r="CK634" s="455"/>
      <c r="CL634" s="455"/>
      <c r="CM634" s="455"/>
      <c r="CN634" s="455"/>
      <c r="CO634" s="455"/>
      <c r="CP634" s="455"/>
      <c r="CQ634" s="455"/>
      <c r="CR634" s="455"/>
      <c r="CS634" s="455"/>
      <c r="CT634" s="455"/>
      <c r="CU634" s="455"/>
      <c r="CV634" s="455"/>
      <c r="CW634" s="455"/>
      <c r="CX634" s="455"/>
      <c r="CY634" s="455"/>
      <c r="CZ634" s="455"/>
      <c r="DA634" s="455"/>
      <c r="DB634" s="455"/>
      <c r="DC634" s="455"/>
      <c r="DD634" s="455"/>
      <c r="DE634" s="455"/>
      <c r="DF634" s="455"/>
      <c r="DG634" s="455"/>
      <c r="DH634" s="455"/>
      <c r="DI634" s="455"/>
      <c r="DJ634" s="455"/>
      <c r="DK634" s="455"/>
      <c r="DL634" s="455"/>
      <c r="DM634" s="455"/>
      <c r="DN634" s="455"/>
      <c r="DO634" s="455"/>
      <c r="DP634" s="455"/>
      <c r="DQ634" s="455"/>
      <c r="DR634" s="455"/>
      <c r="DS634" s="455"/>
      <c r="DT634" s="455"/>
      <c r="DU634" s="455"/>
      <c r="DV634" s="455"/>
      <c r="DW634" s="455"/>
      <c r="DX634" s="455"/>
      <c r="DY634" s="455"/>
      <c r="DZ634" s="455"/>
      <c r="EA634" s="455"/>
      <c r="EB634" s="455"/>
      <c r="EC634" s="455"/>
      <c r="ED634" s="455"/>
      <c r="EE634" s="455"/>
      <c r="EF634" s="455"/>
      <c r="EG634" s="455"/>
      <c r="EH634" s="455"/>
      <c r="EI634" s="455"/>
      <c r="EJ634" s="455"/>
      <c r="EK634" s="455"/>
      <c r="EL634" s="455"/>
      <c r="EM634" s="455"/>
      <c r="EN634" s="455"/>
      <c r="EO634" s="455"/>
      <c r="EP634" s="455"/>
      <c r="EQ634" s="455"/>
      <c r="ER634" s="455"/>
      <c r="ES634" s="455"/>
      <c r="ET634" s="455"/>
      <c r="EU634" s="455"/>
      <c r="EV634" s="455"/>
      <c r="EW634" s="455"/>
      <c r="EX634" s="455"/>
      <c r="EY634" s="455"/>
      <c r="EZ634" s="455"/>
      <c r="FA634" s="455"/>
      <c r="FB634" s="455"/>
      <c r="FC634" s="455"/>
      <c r="FD634" s="455"/>
      <c r="FE634" s="455"/>
      <c r="FF634" s="455"/>
      <c r="FG634" s="455"/>
      <c r="FH634" s="455"/>
      <c r="FI634" s="455"/>
      <c r="FJ634" s="455"/>
      <c r="FK634" s="455"/>
      <c r="FL634" s="455"/>
      <c r="FM634" s="455"/>
      <c r="FN634" s="455"/>
      <c r="FO634" s="455"/>
      <c r="FP634" s="455"/>
      <c r="FQ634" s="455"/>
      <c r="FR634" s="455"/>
      <c r="FS634" s="455"/>
      <c r="FT634" s="455"/>
      <c r="FU634" s="455"/>
      <c r="FV634" s="455"/>
      <c r="FW634" s="455"/>
      <c r="FX634" s="455"/>
      <c r="FY634" s="455"/>
      <c r="FZ634" s="455"/>
      <c r="GA634" s="455"/>
      <c r="GB634" s="455"/>
      <c r="GC634" s="455"/>
      <c r="GD634" s="455"/>
      <c r="GE634" s="455"/>
      <c r="GF634" s="455"/>
      <c r="GG634" s="455"/>
      <c r="GH634" s="455"/>
      <c r="GI634" s="455"/>
      <c r="GJ634" s="455"/>
      <c r="GK634" s="455"/>
      <c r="GL634" s="455"/>
      <c r="GM634" s="455"/>
      <c r="GN634" s="455"/>
      <c r="GO634" s="455"/>
      <c r="GP634" s="455"/>
      <c r="GQ634" s="455"/>
      <c r="GR634" s="455"/>
      <c r="GS634" s="455"/>
      <c r="GT634" s="455"/>
      <c r="GU634" s="455"/>
      <c r="GV634" s="455"/>
      <c r="GW634" s="455"/>
      <c r="GX634" s="455"/>
      <c r="GY634" s="455"/>
      <c r="GZ634" s="455"/>
      <c r="HA634" s="455"/>
      <c r="HB634" s="455"/>
      <c r="HC634" s="455"/>
      <c r="HD634" s="455"/>
      <c r="HE634" s="455"/>
      <c r="HF634" s="455"/>
      <c r="HG634" s="455"/>
      <c r="HH634" s="455"/>
      <c r="HI634" s="455"/>
      <c r="HJ634" s="455"/>
      <c r="HK634" s="455"/>
      <c r="HL634" s="455"/>
      <c r="HM634" s="455"/>
      <c r="HN634" s="455"/>
      <c r="HO634" s="455"/>
      <c r="HP634" s="455"/>
      <c r="HQ634" s="455"/>
      <c r="HR634" s="455"/>
      <c r="HS634" s="455"/>
      <c r="HT634" s="455"/>
      <c r="HU634" s="455"/>
      <c r="HV634" s="455"/>
      <c r="HW634" s="455"/>
      <c r="HX634" s="455"/>
      <c r="HY634" s="455"/>
      <c r="HZ634" s="455"/>
      <c r="IA634" s="455"/>
      <c r="IB634" s="455"/>
      <c r="IC634" s="455"/>
      <c r="ID634" s="455"/>
      <c r="IE634" s="455"/>
      <c r="IF634" s="455"/>
      <c r="IG634" s="455"/>
      <c r="IH634" s="455"/>
      <c r="II634" s="455"/>
      <c r="IJ634" s="455"/>
      <c r="IK634" s="455"/>
      <c r="IL634" s="455"/>
      <c r="IM634" s="455"/>
      <c r="IN634" s="455"/>
      <c r="IO634" s="455"/>
      <c r="IP634" s="455"/>
      <c r="IQ634" s="455"/>
      <c r="IR634" s="455"/>
      <c r="IS634" s="455"/>
    </row>
    <row r="635" spans="1:253" s="458" customFormat="1" ht="12" x14ac:dyDescent="0.2">
      <c r="A635" s="444"/>
      <c r="B635" s="445"/>
      <c r="C635" s="479"/>
      <c r="D635" s="479"/>
      <c r="E635" s="479"/>
      <c r="F635" s="479"/>
      <c r="G635" s="446"/>
      <c r="H635" s="445"/>
      <c r="I635" s="445"/>
      <c r="J635" s="445"/>
      <c r="K635" s="447"/>
      <c r="L635" s="448"/>
      <c r="M635" s="448"/>
      <c r="N635" s="445"/>
      <c r="O635" s="449"/>
      <c r="P635" s="450"/>
      <c r="Q635" s="451"/>
      <c r="R635" s="507"/>
      <c r="S635" s="508"/>
      <c r="T635" s="472"/>
      <c r="U635" s="448"/>
      <c r="W635" s="448"/>
      <c r="X635" s="455"/>
      <c r="Y635" s="455"/>
      <c r="Z635" s="455"/>
      <c r="AA635" s="455"/>
      <c r="AB635" s="455"/>
      <c r="AC635" s="455"/>
      <c r="AD635" s="455"/>
      <c r="AE635" s="455"/>
      <c r="AF635" s="455"/>
      <c r="AG635" s="455"/>
      <c r="AH635" s="455"/>
      <c r="AI635" s="455"/>
      <c r="AJ635" s="455"/>
      <c r="AK635" s="455"/>
      <c r="AL635" s="455"/>
      <c r="AM635" s="455"/>
      <c r="AN635" s="455"/>
      <c r="AO635" s="455"/>
      <c r="AP635" s="455"/>
      <c r="AQ635" s="455"/>
      <c r="AR635" s="455"/>
      <c r="AS635" s="455"/>
      <c r="AT635" s="455"/>
      <c r="AU635" s="455"/>
      <c r="AV635" s="455"/>
      <c r="AW635" s="455"/>
      <c r="AX635" s="455"/>
      <c r="AY635" s="455"/>
      <c r="AZ635" s="455"/>
      <c r="BA635" s="455"/>
      <c r="BB635" s="455"/>
      <c r="BC635" s="455"/>
      <c r="BD635" s="455"/>
      <c r="BE635" s="455"/>
      <c r="BF635" s="455"/>
      <c r="BG635" s="455"/>
      <c r="BH635" s="455"/>
      <c r="BI635" s="455"/>
      <c r="BJ635" s="455"/>
      <c r="BK635" s="455"/>
      <c r="BL635" s="455"/>
      <c r="BM635" s="455"/>
      <c r="BN635" s="455"/>
      <c r="BO635" s="455"/>
      <c r="BP635" s="455"/>
      <c r="BQ635" s="455"/>
      <c r="BR635" s="455"/>
      <c r="BS635" s="455"/>
      <c r="BT635" s="455"/>
      <c r="BU635" s="455"/>
      <c r="BV635" s="455"/>
      <c r="BW635" s="455"/>
      <c r="BX635" s="455"/>
      <c r="BY635" s="455"/>
      <c r="BZ635" s="455"/>
      <c r="CA635" s="455"/>
      <c r="CB635" s="455"/>
      <c r="CC635" s="455"/>
      <c r="CD635" s="455"/>
      <c r="CE635" s="455"/>
      <c r="CF635" s="455"/>
      <c r="CG635" s="455"/>
      <c r="CH635" s="455"/>
      <c r="CI635" s="455"/>
      <c r="CJ635" s="455"/>
      <c r="CK635" s="455"/>
      <c r="CL635" s="455"/>
      <c r="CM635" s="455"/>
      <c r="CN635" s="455"/>
      <c r="CO635" s="455"/>
      <c r="CP635" s="455"/>
      <c r="CQ635" s="455"/>
      <c r="CR635" s="455"/>
      <c r="CS635" s="455"/>
      <c r="CT635" s="455"/>
      <c r="CU635" s="455"/>
      <c r="CV635" s="455"/>
      <c r="CW635" s="455"/>
      <c r="CX635" s="455"/>
      <c r="CY635" s="455"/>
      <c r="CZ635" s="455"/>
      <c r="DA635" s="455"/>
      <c r="DB635" s="455"/>
      <c r="DC635" s="455"/>
      <c r="DD635" s="455"/>
      <c r="DE635" s="455"/>
      <c r="DF635" s="455"/>
      <c r="DG635" s="455"/>
      <c r="DH635" s="455"/>
      <c r="DI635" s="455"/>
      <c r="DJ635" s="455"/>
      <c r="DK635" s="455"/>
      <c r="DL635" s="455"/>
      <c r="DM635" s="455"/>
      <c r="DN635" s="455"/>
      <c r="DO635" s="455"/>
      <c r="DP635" s="455"/>
      <c r="DQ635" s="455"/>
      <c r="DR635" s="455"/>
      <c r="DS635" s="455"/>
      <c r="DT635" s="455"/>
      <c r="DU635" s="455"/>
      <c r="DV635" s="455"/>
      <c r="DW635" s="455"/>
      <c r="DX635" s="455"/>
      <c r="DY635" s="455"/>
      <c r="DZ635" s="455"/>
      <c r="EA635" s="455"/>
      <c r="EB635" s="455"/>
      <c r="EC635" s="455"/>
      <c r="ED635" s="455"/>
      <c r="EE635" s="455"/>
      <c r="EF635" s="455"/>
      <c r="EG635" s="455"/>
      <c r="EH635" s="455"/>
      <c r="EI635" s="455"/>
      <c r="EJ635" s="455"/>
      <c r="EK635" s="455"/>
      <c r="EL635" s="455"/>
      <c r="EM635" s="455"/>
      <c r="EN635" s="455"/>
      <c r="EO635" s="455"/>
      <c r="EP635" s="455"/>
      <c r="EQ635" s="455"/>
      <c r="ER635" s="455"/>
      <c r="ES635" s="455"/>
      <c r="ET635" s="455"/>
      <c r="EU635" s="455"/>
      <c r="EV635" s="455"/>
      <c r="EW635" s="455"/>
      <c r="EX635" s="455"/>
      <c r="EY635" s="455"/>
      <c r="EZ635" s="455"/>
      <c r="FA635" s="455"/>
      <c r="FB635" s="455"/>
      <c r="FC635" s="455"/>
      <c r="FD635" s="455"/>
      <c r="FE635" s="455"/>
      <c r="FF635" s="455"/>
      <c r="FG635" s="455"/>
      <c r="FH635" s="455"/>
      <c r="FI635" s="455"/>
      <c r="FJ635" s="455"/>
      <c r="FK635" s="455"/>
      <c r="FL635" s="455"/>
      <c r="FM635" s="455"/>
      <c r="FN635" s="455"/>
      <c r="FO635" s="455"/>
      <c r="FP635" s="455"/>
      <c r="FQ635" s="455"/>
      <c r="FR635" s="455"/>
      <c r="FS635" s="455"/>
      <c r="FT635" s="455"/>
      <c r="FU635" s="455"/>
      <c r="FV635" s="455"/>
      <c r="FW635" s="455"/>
      <c r="FX635" s="455"/>
      <c r="FY635" s="455"/>
      <c r="FZ635" s="455"/>
      <c r="GA635" s="455"/>
      <c r="GB635" s="455"/>
      <c r="GC635" s="455"/>
      <c r="GD635" s="455"/>
      <c r="GE635" s="455"/>
      <c r="GF635" s="455"/>
      <c r="GG635" s="455"/>
      <c r="GH635" s="455"/>
      <c r="GI635" s="455"/>
      <c r="GJ635" s="455"/>
      <c r="GK635" s="455"/>
      <c r="GL635" s="455"/>
      <c r="GM635" s="455"/>
      <c r="GN635" s="455"/>
      <c r="GO635" s="455"/>
      <c r="GP635" s="455"/>
      <c r="GQ635" s="455"/>
      <c r="GR635" s="455"/>
      <c r="GS635" s="455"/>
      <c r="GT635" s="455"/>
      <c r="GU635" s="455"/>
      <c r="GV635" s="455"/>
      <c r="GW635" s="455"/>
      <c r="GX635" s="455"/>
      <c r="GY635" s="455"/>
      <c r="GZ635" s="455"/>
      <c r="HA635" s="455"/>
      <c r="HB635" s="455"/>
      <c r="HC635" s="455"/>
      <c r="HD635" s="455"/>
      <c r="HE635" s="455"/>
      <c r="HF635" s="455"/>
      <c r="HG635" s="455"/>
      <c r="HH635" s="455"/>
      <c r="HI635" s="455"/>
      <c r="HJ635" s="455"/>
      <c r="HK635" s="455"/>
      <c r="HL635" s="455"/>
      <c r="HM635" s="455"/>
      <c r="HN635" s="455"/>
      <c r="HO635" s="455"/>
      <c r="HP635" s="455"/>
      <c r="HQ635" s="455"/>
      <c r="HR635" s="455"/>
      <c r="HS635" s="455"/>
      <c r="HT635" s="455"/>
      <c r="HU635" s="455"/>
      <c r="HV635" s="455"/>
      <c r="HW635" s="455"/>
      <c r="HX635" s="455"/>
      <c r="HY635" s="455"/>
      <c r="HZ635" s="455"/>
      <c r="IA635" s="455"/>
      <c r="IB635" s="455"/>
      <c r="IC635" s="455"/>
      <c r="ID635" s="455"/>
      <c r="IE635" s="455"/>
      <c r="IF635" s="455"/>
      <c r="IG635" s="455"/>
      <c r="IH635" s="455"/>
      <c r="II635" s="455"/>
      <c r="IJ635" s="455"/>
      <c r="IK635" s="455"/>
      <c r="IL635" s="455"/>
      <c r="IM635" s="455"/>
      <c r="IN635" s="455"/>
      <c r="IO635" s="455"/>
      <c r="IP635" s="455"/>
      <c r="IQ635" s="455"/>
      <c r="IR635" s="455"/>
      <c r="IS635" s="455"/>
    </row>
    <row r="636" spans="1:253" s="458" customFormat="1" ht="12" x14ac:dyDescent="0.2">
      <c r="A636" s="444"/>
      <c r="B636" s="445"/>
      <c r="C636" s="479"/>
      <c r="D636" s="479"/>
      <c r="E636" s="479"/>
      <c r="F636" s="479"/>
      <c r="G636" s="446"/>
      <c r="H636" s="445"/>
      <c r="I636" s="445"/>
      <c r="J636" s="445"/>
      <c r="K636" s="447"/>
      <c r="L636" s="448"/>
      <c r="M636" s="448"/>
      <c r="N636" s="445"/>
      <c r="O636" s="449"/>
      <c r="P636" s="450"/>
      <c r="Q636" s="451"/>
      <c r="R636" s="507"/>
      <c r="S636" s="508"/>
      <c r="T636" s="472"/>
      <c r="U636" s="448"/>
      <c r="W636" s="448"/>
      <c r="X636" s="455"/>
      <c r="Y636" s="455"/>
      <c r="Z636" s="455"/>
      <c r="AA636" s="455"/>
      <c r="AB636" s="455"/>
      <c r="AC636" s="455"/>
      <c r="AD636" s="455"/>
      <c r="AE636" s="455"/>
      <c r="AF636" s="455"/>
      <c r="AG636" s="455"/>
      <c r="AH636" s="455"/>
      <c r="AI636" s="455"/>
      <c r="AJ636" s="455"/>
      <c r="AK636" s="455"/>
      <c r="AL636" s="455"/>
      <c r="AM636" s="455"/>
      <c r="AN636" s="455"/>
      <c r="AO636" s="455"/>
      <c r="AP636" s="455"/>
      <c r="AQ636" s="455"/>
      <c r="AR636" s="455"/>
      <c r="AS636" s="455"/>
      <c r="AT636" s="455"/>
      <c r="AU636" s="455"/>
      <c r="AV636" s="455"/>
      <c r="AW636" s="455"/>
      <c r="AX636" s="455"/>
      <c r="AY636" s="455"/>
      <c r="AZ636" s="455"/>
      <c r="BA636" s="455"/>
      <c r="BB636" s="455"/>
      <c r="BC636" s="455"/>
      <c r="BD636" s="455"/>
      <c r="BE636" s="455"/>
      <c r="BF636" s="455"/>
      <c r="BG636" s="455"/>
      <c r="BH636" s="455"/>
      <c r="BI636" s="455"/>
      <c r="BJ636" s="455"/>
      <c r="BK636" s="455"/>
      <c r="BL636" s="455"/>
      <c r="BM636" s="455"/>
      <c r="BN636" s="455"/>
      <c r="BO636" s="455"/>
      <c r="BP636" s="455"/>
      <c r="BQ636" s="455"/>
      <c r="BR636" s="455"/>
      <c r="BS636" s="455"/>
      <c r="BT636" s="455"/>
      <c r="BU636" s="455"/>
      <c r="BV636" s="455"/>
      <c r="BW636" s="455"/>
      <c r="BX636" s="455"/>
      <c r="BY636" s="455"/>
      <c r="BZ636" s="455"/>
      <c r="CA636" s="455"/>
      <c r="CB636" s="455"/>
      <c r="CC636" s="455"/>
      <c r="CD636" s="455"/>
      <c r="CE636" s="455"/>
      <c r="CF636" s="455"/>
      <c r="CG636" s="455"/>
      <c r="CH636" s="455"/>
      <c r="CI636" s="455"/>
      <c r="CJ636" s="455"/>
      <c r="CK636" s="455"/>
      <c r="CL636" s="455"/>
      <c r="CM636" s="455"/>
      <c r="CN636" s="455"/>
      <c r="CO636" s="455"/>
      <c r="CP636" s="455"/>
      <c r="CQ636" s="455"/>
      <c r="CR636" s="455"/>
      <c r="CS636" s="455"/>
      <c r="CT636" s="455"/>
      <c r="CU636" s="455"/>
      <c r="CV636" s="455"/>
      <c r="CW636" s="455"/>
      <c r="CX636" s="455"/>
      <c r="CY636" s="455"/>
      <c r="CZ636" s="455"/>
      <c r="DA636" s="455"/>
      <c r="DB636" s="455"/>
      <c r="DC636" s="455"/>
      <c r="DD636" s="455"/>
      <c r="DE636" s="455"/>
      <c r="DF636" s="455"/>
      <c r="DG636" s="455"/>
      <c r="DH636" s="455"/>
      <c r="DI636" s="455"/>
      <c r="DJ636" s="455"/>
      <c r="DK636" s="455"/>
      <c r="DL636" s="455"/>
      <c r="DM636" s="455"/>
      <c r="DN636" s="455"/>
      <c r="DO636" s="455"/>
      <c r="DP636" s="455"/>
      <c r="DQ636" s="455"/>
      <c r="DR636" s="455"/>
      <c r="DS636" s="455"/>
      <c r="DT636" s="455"/>
      <c r="DU636" s="455"/>
      <c r="DV636" s="455"/>
      <c r="DW636" s="455"/>
      <c r="DX636" s="455"/>
      <c r="DY636" s="455"/>
      <c r="DZ636" s="455"/>
      <c r="EA636" s="455"/>
      <c r="EB636" s="455"/>
      <c r="EC636" s="455"/>
      <c r="ED636" s="455"/>
      <c r="EE636" s="455"/>
      <c r="EF636" s="455"/>
      <c r="EG636" s="455"/>
      <c r="EH636" s="455"/>
      <c r="EI636" s="455"/>
      <c r="EJ636" s="455"/>
      <c r="EK636" s="455"/>
      <c r="EL636" s="455"/>
      <c r="EM636" s="455"/>
      <c r="EN636" s="455"/>
      <c r="EO636" s="455"/>
      <c r="EP636" s="455"/>
      <c r="EQ636" s="455"/>
      <c r="ER636" s="455"/>
      <c r="ES636" s="455"/>
      <c r="ET636" s="455"/>
      <c r="EU636" s="455"/>
      <c r="EV636" s="455"/>
      <c r="EW636" s="455"/>
      <c r="EX636" s="455"/>
      <c r="EY636" s="455"/>
      <c r="EZ636" s="455"/>
      <c r="FA636" s="455"/>
      <c r="FB636" s="455"/>
      <c r="FC636" s="455"/>
      <c r="FD636" s="455"/>
      <c r="FE636" s="455"/>
      <c r="FF636" s="455"/>
      <c r="FG636" s="455"/>
      <c r="FH636" s="455"/>
      <c r="FI636" s="455"/>
      <c r="FJ636" s="455"/>
      <c r="FK636" s="455"/>
      <c r="FL636" s="455"/>
      <c r="FM636" s="455"/>
      <c r="FN636" s="455"/>
      <c r="FO636" s="455"/>
      <c r="FP636" s="455"/>
      <c r="FQ636" s="455"/>
      <c r="FR636" s="455"/>
      <c r="FS636" s="455"/>
      <c r="FT636" s="455"/>
      <c r="FU636" s="455"/>
      <c r="FV636" s="455"/>
      <c r="FW636" s="455"/>
      <c r="FX636" s="455"/>
      <c r="FY636" s="455"/>
      <c r="FZ636" s="455"/>
      <c r="GA636" s="455"/>
      <c r="GB636" s="455"/>
      <c r="GC636" s="455"/>
      <c r="GD636" s="455"/>
      <c r="GE636" s="455"/>
      <c r="GF636" s="455"/>
      <c r="GG636" s="455"/>
      <c r="GH636" s="455"/>
      <c r="GI636" s="455"/>
      <c r="GJ636" s="455"/>
      <c r="GK636" s="455"/>
      <c r="GL636" s="455"/>
      <c r="GM636" s="455"/>
      <c r="GN636" s="455"/>
      <c r="GO636" s="455"/>
      <c r="GP636" s="455"/>
      <c r="GQ636" s="455"/>
      <c r="GR636" s="455"/>
      <c r="GS636" s="455"/>
      <c r="GT636" s="455"/>
      <c r="GU636" s="455"/>
      <c r="GV636" s="455"/>
      <c r="GW636" s="455"/>
      <c r="GX636" s="455"/>
      <c r="GY636" s="455"/>
      <c r="GZ636" s="455"/>
      <c r="HA636" s="455"/>
      <c r="HB636" s="455"/>
      <c r="HC636" s="455"/>
      <c r="HD636" s="455"/>
      <c r="HE636" s="455"/>
      <c r="HF636" s="455"/>
      <c r="HG636" s="455"/>
      <c r="HH636" s="455"/>
      <c r="HI636" s="455"/>
      <c r="HJ636" s="455"/>
      <c r="HK636" s="455"/>
      <c r="HL636" s="455"/>
      <c r="HM636" s="455"/>
      <c r="HN636" s="455"/>
      <c r="HO636" s="455"/>
      <c r="HP636" s="455"/>
      <c r="HQ636" s="455"/>
      <c r="HR636" s="455"/>
      <c r="HS636" s="455"/>
      <c r="HT636" s="455"/>
      <c r="HU636" s="455"/>
      <c r="HV636" s="455"/>
      <c r="HW636" s="455"/>
      <c r="HX636" s="455"/>
      <c r="HY636" s="455"/>
      <c r="HZ636" s="455"/>
      <c r="IA636" s="455"/>
      <c r="IB636" s="455"/>
      <c r="IC636" s="455"/>
      <c r="ID636" s="455"/>
      <c r="IE636" s="455"/>
      <c r="IF636" s="455"/>
      <c r="IG636" s="455"/>
      <c r="IH636" s="455"/>
      <c r="II636" s="455"/>
      <c r="IJ636" s="455"/>
      <c r="IK636" s="455"/>
      <c r="IL636" s="455"/>
      <c r="IM636" s="455"/>
      <c r="IN636" s="455"/>
      <c r="IO636" s="455"/>
      <c r="IP636" s="455"/>
      <c r="IQ636" s="455"/>
      <c r="IR636" s="455"/>
      <c r="IS636" s="455"/>
    </row>
    <row r="637" spans="1:253" s="458" customFormat="1" ht="12" x14ac:dyDescent="0.2">
      <c r="A637" s="444"/>
      <c r="B637" s="445"/>
      <c r="C637" s="479"/>
      <c r="D637" s="479"/>
      <c r="E637" s="479"/>
      <c r="F637" s="479"/>
      <c r="G637" s="446"/>
      <c r="H637" s="445"/>
      <c r="I637" s="445"/>
      <c r="J637" s="445"/>
      <c r="K637" s="447"/>
      <c r="L637" s="448"/>
      <c r="M637" s="448"/>
      <c r="N637" s="445"/>
      <c r="O637" s="449"/>
      <c r="P637" s="502"/>
      <c r="Q637" s="451"/>
      <c r="R637" s="507"/>
      <c r="S637" s="508"/>
      <c r="T637" s="472"/>
      <c r="U637" s="448"/>
      <c r="W637" s="448"/>
      <c r="X637" s="455"/>
      <c r="Y637" s="455"/>
      <c r="Z637" s="455"/>
      <c r="AA637" s="455"/>
      <c r="AB637" s="455"/>
      <c r="AC637" s="455"/>
      <c r="AD637" s="455"/>
      <c r="AE637" s="455"/>
      <c r="AF637" s="455"/>
      <c r="AG637" s="455"/>
      <c r="AH637" s="455"/>
      <c r="AI637" s="455"/>
      <c r="AJ637" s="455"/>
      <c r="AK637" s="455"/>
      <c r="AL637" s="455"/>
      <c r="AM637" s="455"/>
      <c r="AN637" s="455"/>
      <c r="AO637" s="455"/>
      <c r="AP637" s="455"/>
      <c r="AQ637" s="455"/>
      <c r="AR637" s="455"/>
      <c r="AS637" s="455"/>
      <c r="AT637" s="455"/>
      <c r="AU637" s="455"/>
      <c r="AV637" s="455"/>
      <c r="AW637" s="455"/>
      <c r="AX637" s="455"/>
      <c r="AY637" s="455"/>
      <c r="AZ637" s="455"/>
      <c r="BA637" s="455"/>
      <c r="BB637" s="455"/>
      <c r="BC637" s="455"/>
      <c r="BD637" s="455"/>
      <c r="BE637" s="455"/>
      <c r="BF637" s="455"/>
      <c r="BG637" s="455"/>
      <c r="BH637" s="455"/>
      <c r="BI637" s="455"/>
      <c r="BJ637" s="455"/>
      <c r="BK637" s="455"/>
      <c r="BL637" s="455"/>
      <c r="BM637" s="455"/>
      <c r="BN637" s="455"/>
      <c r="BO637" s="455"/>
      <c r="BP637" s="455"/>
      <c r="BQ637" s="455"/>
      <c r="BR637" s="455"/>
      <c r="BS637" s="455"/>
      <c r="BT637" s="455"/>
      <c r="BU637" s="455"/>
      <c r="BV637" s="455"/>
      <c r="BW637" s="455"/>
      <c r="BX637" s="455"/>
      <c r="BY637" s="455"/>
      <c r="BZ637" s="455"/>
      <c r="CA637" s="455"/>
      <c r="CB637" s="455"/>
      <c r="CC637" s="455"/>
      <c r="CD637" s="455"/>
      <c r="CE637" s="455"/>
      <c r="CF637" s="455"/>
      <c r="CG637" s="455"/>
      <c r="CH637" s="455"/>
      <c r="CI637" s="455"/>
      <c r="CJ637" s="455"/>
      <c r="CK637" s="455"/>
      <c r="CL637" s="455"/>
      <c r="CM637" s="455"/>
      <c r="CN637" s="455"/>
      <c r="CO637" s="455"/>
      <c r="CP637" s="455"/>
      <c r="CQ637" s="455"/>
      <c r="CR637" s="455"/>
      <c r="CS637" s="455"/>
      <c r="CT637" s="455"/>
      <c r="CU637" s="455"/>
      <c r="CV637" s="455"/>
      <c r="CW637" s="455"/>
      <c r="CX637" s="455"/>
      <c r="CY637" s="455"/>
      <c r="CZ637" s="455"/>
      <c r="DA637" s="455"/>
      <c r="DB637" s="455"/>
      <c r="DC637" s="455"/>
      <c r="DD637" s="455"/>
      <c r="DE637" s="455"/>
      <c r="DF637" s="455"/>
      <c r="DG637" s="455"/>
      <c r="DH637" s="455"/>
      <c r="DI637" s="455"/>
      <c r="DJ637" s="455"/>
      <c r="DK637" s="455"/>
      <c r="DL637" s="455"/>
      <c r="DM637" s="455"/>
      <c r="DN637" s="455"/>
      <c r="DO637" s="455"/>
      <c r="DP637" s="455"/>
      <c r="DQ637" s="455"/>
      <c r="DR637" s="455"/>
      <c r="DS637" s="455"/>
      <c r="DT637" s="455"/>
      <c r="DU637" s="455"/>
      <c r="DV637" s="455"/>
      <c r="DW637" s="455"/>
      <c r="DX637" s="455"/>
      <c r="DY637" s="455"/>
      <c r="DZ637" s="455"/>
      <c r="EA637" s="455"/>
      <c r="EB637" s="455"/>
      <c r="EC637" s="455"/>
      <c r="ED637" s="455"/>
      <c r="EE637" s="455"/>
      <c r="EF637" s="455"/>
      <c r="EG637" s="455"/>
      <c r="EH637" s="455"/>
      <c r="EI637" s="455"/>
      <c r="EJ637" s="455"/>
      <c r="EK637" s="455"/>
      <c r="EL637" s="455"/>
      <c r="EM637" s="455"/>
      <c r="EN637" s="455"/>
      <c r="EO637" s="455"/>
      <c r="EP637" s="455"/>
      <c r="EQ637" s="455"/>
      <c r="ER637" s="455"/>
      <c r="ES637" s="455"/>
      <c r="ET637" s="455"/>
      <c r="EU637" s="455"/>
      <c r="EV637" s="455"/>
      <c r="EW637" s="455"/>
      <c r="EX637" s="455"/>
      <c r="EY637" s="455"/>
      <c r="EZ637" s="455"/>
      <c r="FA637" s="455"/>
      <c r="FB637" s="455"/>
      <c r="FC637" s="455"/>
      <c r="FD637" s="455"/>
      <c r="FE637" s="455"/>
      <c r="FF637" s="455"/>
      <c r="FG637" s="455"/>
      <c r="FH637" s="455"/>
      <c r="FI637" s="455"/>
      <c r="FJ637" s="455"/>
      <c r="FK637" s="455"/>
      <c r="FL637" s="455"/>
      <c r="FM637" s="455"/>
      <c r="FN637" s="455"/>
      <c r="FO637" s="455"/>
      <c r="FP637" s="455"/>
      <c r="FQ637" s="455"/>
      <c r="FR637" s="455"/>
      <c r="FS637" s="455"/>
      <c r="FT637" s="455"/>
      <c r="FU637" s="455"/>
      <c r="FV637" s="455"/>
      <c r="FW637" s="455"/>
      <c r="FX637" s="455"/>
      <c r="FY637" s="455"/>
      <c r="FZ637" s="455"/>
      <c r="GA637" s="455"/>
      <c r="GB637" s="455"/>
      <c r="GC637" s="455"/>
      <c r="GD637" s="455"/>
      <c r="GE637" s="455"/>
      <c r="GF637" s="455"/>
      <c r="GG637" s="455"/>
      <c r="GH637" s="455"/>
      <c r="GI637" s="455"/>
      <c r="GJ637" s="455"/>
      <c r="GK637" s="455"/>
      <c r="GL637" s="455"/>
      <c r="GM637" s="455"/>
      <c r="GN637" s="455"/>
      <c r="GO637" s="455"/>
      <c r="GP637" s="455"/>
      <c r="GQ637" s="455"/>
      <c r="GR637" s="455"/>
      <c r="GS637" s="455"/>
      <c r="GT637" s="455"/>
      <c r="GU637" s="455"/>
      <c r="GV637" s="455"/>
      <c r="GW637" s="455"/>
      <c r="GX637" s="455"/>
      <c r="GY637" s="455"/>
      <c r="GZ637" s="455"/>
      <c r="HA637" s="455"/>
      <c r="HB637" s="455"/>
      <c r="HC637" s="455"/>
      <c r="HD637" s="455"/>
      <c r="HE637" s="455"/>
      <c r="HF637" s="455"/>
      <c r="HG637" s="455"/>
      <c r="HH637" s="455"/>
      <c r="HI637" s="455"/>
      <c r="HJ637" s="455"/>
      <c r="HK637" s="455"/>
      <c r="HL637" s="455"/>
      <c r="HM637" s="455"/>
      <c r="HN637" s="455"/>
      <c r="HO637" s="455"/>
      <c r="HP637" s="455"/>
      <c r="HQ637" s="455"/>
      <c r="HR637" s="455"/>
      <c r="HS637" s="455"/>
      <c r="HT637" s="455"/>
      <c r="HU637" s="455"/>
      <c r="HV637" s="455"/>
      <c r="HW637" s="455"/>
      <c r="HX637" s="455"/>
      <c r="HY637" s="455"/>
      <c r="HZ637" s="455"/>
      <c r="IA637" s="455"/>
      <c r="IB637" s="455"/>
      <c r="IC637" s="455"/>
      <c r="ID637" s="455"/>
      <c r="IE637" s="455"/>
      <c r="IF637" s="455"/>
      <c r="IG637" s="455"/>
      <c r="IH637" s="455"/>
      <c r="II637" s="455"/>
      <c r="IJ637" s="455"/>
      <c r="IK637" s="455"/>
      <c r="IL637" s="455"/>
      <c r="IM637" s="455"/>
      <c r="IN637" s="455"/>
      <c r="IO637" s="455"/>
      <c r="IP637" s="455"/>
      <c r="IQ637" s="455"/>
      <c r="IR637" s="455"/>
      <c r="IS637" s="455"/>
    </row>
    <row r="638" spans="1:253" s="458" customFormat="1" ht="12" x14ac:dyDescent="0.2">
      <c r="A638" s="444"/>
      <c r="B638" s="445"/>
      <c r="C638" s="479"/>
      <c r="D638" s="479"/>
      <c r="E638" s="479"/>
      <c r="F638" s="479"/>
      <c r="G638" s="446"/>
      <c r="H638" s="445"/>
      <c r="I638" s="445"/>
      <c r="J638" s="445"/>
      <c r="K638" s="447"/>
      <c r="L638" s="448"/>
      <c r="M638" s="448"/>
      <c r="N638" s="445"/>
      <c r="O638" s="449"/>
      <c r="P638" s="450"/>
      <c r="Q638" s="451"/>
      <c r="R638" s="507"/>
      <c r="S638" s="508"/>
      <c r="T638" s="472"/>
      <c r="U638" s="448"/>
      <c r="W638" s="448"/>
      <c r="X638" s="455"/>
      <c r="Y638" s="455"/>
      <c r="Z638" s="455"/>
      <c r="AA638" s="455"/>
      <c r="AB638" s="455"/>
      <c r="AC638" s="455"/>
      <c r="AD638" s="455"/>
      <c r="AE638" s="455"/>
      <c r="AF638" s="455"/>
      <c r="AG638" s="455"/>
      <c r="AH638" s="455"/>
      <c r="AI638" s="455"/>
      <c r="AJ638" s="455"/>
      <c r="AK638" s="455"/>
      <c r="AL638" s="455"/>
      <c r="AM638" s="455"/>
      <c r="AN638" s="455"/>
      <c r="AO638" s="455"/>
      <c r="AP638" s="455"/>
      <c r="AQ638" s="455"/>
      <c r="AR638" s="455"/>
      <c r="AS638" s="455"/>
      <c r="AT638" s="455"/>
      <c r="AU638" s="455"/>
      <c r="AV638" s="455"/>
      <c r="AW638" s="455"/>
      <c r="AX638" s="455"/>
      <c r="AY638" s="455"/>
      <c r="AZ638" s="455"/>
      <c r="BA638" s="455"/>
      <c r="BB638" s="455"/>
      <c r="BC638" s="455"/>
      <c r="BD638" s="455"/>
      <c r="BE638" s="455"/>
      <c r="BF638" s="455"/>
      <c r="BG638" s="455"/>
      <c r="BH638" s="455"/>
      <c r="BI638" s="455"/>
      <c r="BJ638" s="455"/>
      <c r="BK638" s="455"/>
      <c r="BL638" s="455"/>
      <c r="BM638" s="455"/>
      <c r="BN638" s="455"/>
      <c r="BO638" s="455"/>
      <c r="BP638" s="455"/>
      <c r="BQ638" s="455"/>
      <c r="BR638" s="455"/>
      <c r="BS638" s="455"/>
      <c r="BT638" s="455"/>
      <c r="BU638" s="455"/>
      <c r="BV638" s="455"/>
      <c r="BW638" s="455"/>
      <c r="BX638" s="455"/>
      <c r="BY638" s="455"/>
      <c r="BZ638" s="455"/>
      <c r="CA638" s="455"/>
      <c r="CB638" s="455"/>
      <c r="CC638" s="455"/>
      <c r="CD638" s="455"/>
      <c r="CE638" s="455"/>
      <c r="CF638" s="455"/>
      <c r="CG638" s="455"/>
      <c r="CH638" s="455"/>
      <c r="CI638" s="455"/>
      <c r="CJ638" s="455"/>
      <c r="CK638" s="455"/>
      <c r="CL638" s="455"/>
      <c r="CM638" s="455"/>
      <c r="CN638" s="455"/>
      <c r="CO638" s="455"/>
      <c r="CP638" s="455"/>
      <c r="CQ638" s="455"/>
      <c r="CR638" s="455"/>
      <c r="CS638" s="455"/>
      <c r="CT638" s="455"/>
      <c r="CU638" s="455"/>
      <c r="CV638" s="455"/>
      <c r="CW638" s="455"/>
      <c r="CX638" s="455"/>
      <c r="CY638" s="455"/>
      <c r="CZ638" s="455"/>
      <c r="DA638" s="455"/>
      <c r="DB638" s="455"/>
      <c r="DC638" s="455"/>
      <c r="DD638" s="455"/>
      <c r="DE638" s="455"/>
      <c r="DF638" s="455"/>
      <c r="DG638" s="455"/>
      <c r="DH638" s="455"/>
      <c r="DI638" s="455"/>
      <c r="DJ638" s="455"/>
      <c r="DK638" s="455"/>
      <c r="DL638" s="455"/>
      <c r="DM638" s="455"/>
      <c r="DN638" s="455"/>
      <c r="DO638" s="455"/>
      <c r="DP638" s="455"/>
      <c r="DQ638" s="455"/>
      <c r="DR638" s="455"/>
      <c r="DS638" s="455"/>
      <c r="DT638" s="455"/>
      <c r="DU638" s="455"/>
      <c r="DV638" s="455"/>
      <c r="DW638" s="455"/>
      <c r="DX638" s="455"/>
      <c r="DY638" s="455"/>
      <c r="DZ638" s="455"/>
      <c r="EA638" s="455"/>
      <c r="EB638" s="455"/>
      <c r="EC638" s="455"/>
      <c r="ED638" s="455"/>
      <c r="EE638" s="455"/>
      <c r="EF638" s="455"/>
      <c r="EG638" s="455"/>
      <c r="EH638" s="455"/>
      <c r="EI638" s="455"/>
      <c r="EJ638" s="455"/>
      <c r="EK638" s="455"/>
      <c r="EL638" s="455"/>
      <c r="EM638" s="455"/>
      <c r="EN638" s="455"/>
      <c r="EO638" s="455"/>
      <c r="EP638" s="455"/>
      <c r="EQ638" s="455"/>
      <c r="ER638" s="455"/>
      <c r="ES638" s="455"/>
      <c r="ET638" s="455"/>
      <c r="EU638" s="455"/>
      <c r="EV638" s="455"/>
      <c r="EW638" s="455"/>
      <c r="EX638" s="455"/>
      <c r="EY638" s="455"/>
      <c r="EZ638" s="455"/>
      <c r="FA638" s="455"/>
      <c r="FB638" s="455"/>
      <c r="FC638" s="455"/>
      <c r="FD638" s="455"/>
      <c r="FE638" s="455"/>
      <c r="FF638" s="455"/>
      <c r="FG638" s="455"/>
      <c r="FH638" s="455"/>
      <c r="FI638" s="455"/>
      <c r="FJ638" s="455"/>
      <c r="FK638" s="455"/>
      <c r="FL638" s="455"/>
      <c r="FM638" s="455"/>
      <c r="FN638" s="455"/>
      <c r="FO638" s="455"/>
      <c r="FP638" s="455"/>
      <c r="FQ638" s="455"/>
      <c r="FR638" s="455"/>
      <c r="FS638" s="455"/>
      <c r="FT638" s="455"/>
      <c r="FU638" s="455"/>
      <c r="FV638" s="455"/>
      <c r="FW638" s="455"/>
      <c r="FX638" s="455"/>
      <c r="FY638" s="455"/>
      <c r="FZ638" s="455"/>
      <c r="GA638" s="455"/>
      <c r="GB638" s="455"/>
      <c r="GC638" s="455"/>
      <c r="GD638" s="455"/>
      <c r="GE638" s="455"/>
      <c r="GF638" s="455"/>
      <c r="GG638" s="455"/>
      <c r="GH638" s="455"/>
      <c r="GI638" s="455"/>
      <c r="GJ638" s="455"/>
      <c r="GK638" s="455"/>
      <c r="GL638" s="455"/>
      <c r="GM638" s="455"/>
      <c r="GN638" s="455"/>
      <c r="GO638" s="455"/>
      <c r="GP638" s="455"/>
      <c r="GQ638" s="455"/>
      <c r="GR638" s="455"/>
      <c r="GS638" s="455"/>
      <c r="GT638" s="455"/>
      <c r="GU638" s="455"/>
      <c r="GV638" s="455"/>
      <c r="GW638" s="455"/>
      <c r="GX638" s="455"/>
      <c r="GY638" s="455"/>
      <c r="GZ638" s="455"/>
      <c r="HA638" s="455"/>
      <c r="HB638" s="455"/>
      <c r="HC638" s="455"/>
      <c r="HD638" s="455"/>
      <c r="HE638" s="455"/>
      <c r="HF638" s="455"/>
      <c r="HG638" s="455"/>
      <c r="HH638" s="455"/>
      <c r="HI638" s="455"/>
      <c r="HJ638" s="455"/>
      <c r="HK638" s="455"/>
      <c r="HL638" s="455"/>
      <c r="HM638" s="455"/>
      <c r="HN638" s="455"/>
      <c r="HO638" s="455"/>
      <c r="HP638" s="455"/>
      <c r="HQ638" s="455"/>
      <c r="HR638" s="455"/>
      <c r="HS638" s="455"/>
      <c r="HT638" s="455"/>
      <c r="HU638" s="455"/>
      <c r="HV638" s="455"/>
      <c r="HW638" s="455"/>
      <c r="HX638" s="455"/>
      <c r="HY638" s="455"/>
      <c r="HZ638" s="455"/>
      <c r="IA638" s="455"/>
      <c r="IB638" s="455"/>
      <c r="IC638" s="455"/>
      <c r="ID638" s="455"/>
      <c r="IE638" s="455"/>
      <c r="IF638" s="455"/>
      <c r="IG638" s="455"/>
      <c r="IH638" s="455"/>
      <c r="II638" s="455"/>
      <c r="IJ638" s="455"/>
      <c r="IK638" s="455"/>
      <c r="IL638" s="455"/>
      <c r="IM638" s="455"/>
      <c r="IN638" s="455"/>
      <c r="IO638" s="455"/>
      <c r="IP638" s="455"/>
      <c r="IQ638" s="455"/>
      <c r="IR638" s="455"/>
      <c r="IS638" s="455"/>
    </row>
    <row r="639" spans="1:253" s="458" customFormat="1" ht="12" x14ac:dyDescent="0.2">
      <c r="A639" s="444"/>
      <c r="B639" s="445"/>
      <c r="C639" s="479"/>
      <c r="D639" s="479"/>
      <c r="E639" s="479"/>
      <c r="F639" s="479"/>
      <c r="G639" s="446"/>
      <c r="H639" s="445"/>
      <c r="I639" s="445"/>
      <c r="J639" s="445"/>
      <c r="K639" s="447"/>
      <c r="L639" s="448"/>
      <c r="M639" s="448"/>
      <c r="N639" s="445"/>
      <c r="O639" s="449"/>
      <c r="P639" s="450"/>
      <c r="Q639" s="451"/>
      <c r="R639" s="507"/>
      <c r="S639" s="508"/>
      <c r="T639" s="472"/>
      <c r="U639" s="448"/>
      <c r="W639" s="448"/>
      <c r="X639" s="455"/>
      <c r="Y639" s="455"/>
      <c r="Z639" s="455"/>
      <c r="AA639" s="455"/>
      <c r="AB639" s="455"/>
      <c r="AC639" s="455"/>
      <c r="AD639" s="455"/>
      <c r="AE639" s="455"/>
      <c r="AF639" s="455"/>
      <c r="AG639" s="455"/>
      <c r="AH639" s="455"/>
      <c r="AI639" s="455"/>
      <c r="AJ639" s="455"/>
      <c r="AK639" s="455"/>
      <c r="AL639" s="455"/>
      <c r="AM639" s="455"/>
      <c r="AN639" s="455"/>
      <c r="AO639" s="455"/>
      <c r="AP639" s="455"/>
      <c r="AQ639" s="455"/>
      <c r="AR639" s="455"/>
      <c r="AS639" s="455"/>
      <c r="AT639" s="455"/>
      <c r="AU639" s="455"/>
      <c r="AV639" s="455"/>
      <c r="AW639" s="455"/>
      <c r="AX639" s="455"/>
      <c r="AY639" s="455"/>
      <c r="AZ639" s="455"/>
      <c r="BA639" s="455"/>
      <c r="BB639" s="455"/>
      <c r="BC639" s="455"/>
      <c r="BD639" s="455"/>
      <c r="BE639" s="455"/>
      <c r="BF639" s="455"/>
      <c r="BG639" s="455"/>
      <c r="BH639" s="455"/>
      <c r="BI639" s="455"/>
      <c r="BJ639" s="455"/>
      <c r="BK639" s="455"/>
      <c r="BL639" s="455"/>
      <c r="BM639" s="455"/>
      <c r="BN639" s="455"/>
      <c r="BO639" s="455"/>
      <c r="BP639" s="455"/>
      <c r="BQ639" s="455"/>
      <c r="BR639" s="455"/>
      <c r="BS639" s="455"/>
      <c r="BT639" s="455"/>
      <c r="BU639" s="455"/>
      <c r="BV639" s="455"/>
      <c r="BW639" s="455"/>
      <c r="BX639" s="455"/>
      <c r="BY639" s="455"/>
      <c r="BZ639" s="455"/>
      <c r="CA639" s="455"/>
      <c r="CB639" s="455"/>
      <c r="CC639" s="455"/>
      <c r="CD639" s="455"/>
      <c r="CE639" s="455"/>
      <c r="CF639" s="455"/>
      <c r="CG639" s="455"/>
      <c r="CH639" s="455"/>
      <c r="CI639" s="455"/>
      <c r="CJ639" s="455"/>
      <c r="CK639" s="455"/>
      <c r="CL639" s="455"/>
      <c r="CM639" s="455"/>
      <c r="CN639" s="455"/>
      <c r="CO639" s="455"/>
      <c r="CP639" s="455"/>
      <c r="CQ639" s="455"/>
      <c r="CR639" s="455"/>
      <c r="CS639" s="455"/>
      <c r="CT639" s="455"/>
      <c r="CU639" s="455"/>
      <c r="CV639" s="455"/>
      <c r="CW639" s="455"/>
      <c r="CX639" s="455"/>
      <c r="CY639" s="455"/>
      <c r="CZ639" s="455"/>
      <c r="DA639" s="455"/>
      <c r="DB639" s="455"/>
      <c r="DC639" s="455"/>
      <c r="DD639" s="455"/>
      <c r="DE639" s="455"/>
      <c r="DF639" s="455"/>
      <c r="DG639" s="455"/>
      <c r="DH639" s="455"/>
      <c r="DI639" s="455"/>
      <c r="DJ639" s="455"/>
      <c r="DK639" s="455"/>
      <c r="DL639" s="455"/>
      <c r="DM639" s="455"/>
      <c r="DN639" s="455"/>
      <c r="DO639" s="455"/>
      <c r="DP639" s="455"/>
      <c r="DQ639" s="455"/>
      <c r="DR639" s="455"/>
      <c r="DS639" s="455"/>
      <c r="DT639" s="455"/>
      <c r="DU639" s="455"/>
      <c r="DV639" s="455"/>
      <c r="DW639" s="455"/>
      <c r="DX639" s="455"/>
      <c r="DY639" s="455"/>
      <c r="DZ639" s="455"/>
      <c r="EA639" s="455"/>
      <c r="EB639" s="455"/>
      <c r="EC639" s="455"/>
      <c r="ED639" s="455"/>
      <c r="EE639" s="455"/>
      <c r="EF639" s="455"/>
      <c r="EG639" s="455"/>
      <c r="EH639" s="455"/>
      <c r="EI639" s="455"/>
      <c r="EJ639" s="455"/>
      <c r="EK639" s="455"/>
      <c r="EL639" s="455"/>
      <c r="EM639" s="455"/>
      <c r="EN639" s="455"/>
      <c r="EO639" s="455"/>
      <c r="EP639" s="455"/>
      <c r="EQ639" s="455"/>
      <c r="ER639" s="455"/>
      <c r="ES639" s="455"/>
      <c r="ET639" s="455"/>
      <c r="EU639" s="455"/>
      <c r="EV639" s="455"/>
      <c r="EW639" s="455"/>
      <c r="EX639" s="455"/>
      <c r="EY639" s="455"/>
      <c r="EZ639" s="455"/>
      <c r="FA639" s="455"/>
      <c r="FB639" s="455"/>
      <c r="FC639" s="455"/>
      <c r="FD639" s="455"/>
      <c r="FE639" s="455"/>
      <c r="FF639" s="455"/>
      <c r="FG639" s="455"/>
      <c r="FH639" s="455"/>
      <c r="FI639" s="455"/>
      <c r="FJ639" s="455"/>
      <c r="FK639" s="455"/>
      <c r="FL639" s="455"/>
      <c r="FM639" s="455"/>
      <c r="FN639" s="455"/>
      <c r="FO639" s="455"/>
      <c r="FP639" s="455"/>
      <c r="FQ639" s="455"/>
      <c r="FR639" s="455"/>
      <c r="FS639" s="455"/>
      <c r="FT639" s="455"/>
      <c r="FU639" s="455"/>
      <c r="FV639" s="455"/>
      <c r="FW639" s="455"/>
      <c r="FX639" s="455"/>
      <c r="FY639" s="455"/>
      <c r="FZ639" s="455"/>
      <c r="GA639" s="455"/>
      <c r="GB639" s="455"/>
      <c r="GC639" s="455"/>
      <c r="GD639" s="455"/>
      <c r="GE639" s="455"/>
      <c r="GF639" s="455"/>
      <c r="GG639" s="455"/>
      <c r="GH639" s="455"/>
      <c r="GI639" s="455"/>
      <c r="GJ639" s="455"/>
      <c r="GK639" s="455"/>
      <c r="GL639" s="455"/>
      <c r="GM639" s="455"/>
      <c r="GN639" s="455"/>
      <c r="GO639" s="455"/>
      <c r="GP639" s="455"/>
      <c r="GQ639" s="455"/>
      <c r="GR639" s="455"/>
      <c r="GS639" s="455"/>
      <c r="GT639" s="455"/>
      <c r="GU639" s="455"/>
      <c r="GV639" s="455"/>
      <c r="GW639" s="455"/>
      <c r="GX639" s="455"/>
      <c r="GY639" s="455"/>
      <c r="GZ639" s="455"/>
      <c r="HA639" s="455"/>
      <c r="HB639" s="455"/>
      <c r="HC639" s="455"/>
      <c r="HD639" s="455"/>
      <c r="HE639" s="455"/>
      <c r="HF639" s="455"/>
      <c r="HG639" s="455"/>
      <c r="HH639" s="455"/>
      <c r="HI639" s="455"/>
      <c r="HJ639" s="455"/>
      <c r="HK639" s="455"/>
      <c r="HL639" s="455"/>
      <c r="HM639" s="455"/>
      <c r="HN639" s="455"/>
      <c r="HO639" s="455"/>
      <c r="HP639" s="455"/>
      <c r="HQ639" s="455"/>
      <c r="HR639" s="455"/>
      <c r="HS639" s="455"/>
      <c r="HT639" s="455"/>
      <c r="HU639" s="455"/>
      <c r="HV639" s="455"/>
      <c r="HW639" s="455"/>
      <c r="HX639" s="455"/>
      <c r="HY639" s="455"/>
      <c r="HZ639" s="455"/>
      <c r="IA639" s="455"/>
      <c r="IB639" s="455"/>
      <c r="IC639" s="455"/>
      <c r="ID639" s="455"/>
      <c r="IE639" s="455"/>
      <c r="IF639" s="455"/>
      <c r="IG639" s="455"/>
      <c r="IH639" s="455"/>
      <c r="II639" s="455"/>
      <c r="IJ639" s="455"/>
      <c r="IK639" s="455"/>
      <c r="IL639" s="455"/>
      <c r="IM639" s="455"/>
      <c r="IN639" s="455"/>
      <c r="IO639" s="455"/>
      <c r="IP639" s="455"/>
      <c r="IQ639" s="455"/>
      <c r="IR639" s="455"/>
      <c r="IS639" s="455"/>
    </row>
    <row r="640" spans="1:253" s="458" customFormat="1" ht="12" x14ac:dyDescent="0.2">
      <c r="A640" s="444"/>
      <c r="B640" s="445"/>
      <c r="C640" s="479"/>
      <c r="D640" s="479"/>
      <c r="E640" s="479"/>
      <c r="F640" s="479"/>
      <c r="G640" s="446"/>
      <c r="H640" s="445"/>
      <c r="I640" s="445"/>
      <c r="J640" s="445"/>
      <c r="K640" s="447"/>
      <c r="L640" s="448"/>
      <c r="M640" s="448"/>
      <c r="N640" s="445"/>
      <c r="O640" s="449"/>
      <c r="P640" s="450"/>
      <c r="Q640" s="451"/>
      <c r="R640" s="507"/>
      <c r="S640" s="508"/>
      <c r="T640" s="472"/>
      <c r="U640" s="448"/>
      <c r="W640" s="448"/>
      <c r="X640" s="455"/>
      <c r="Y640" s="455"/>
      <c r="Z640" s="455"/>
      <c r="AA640" s="455"/>
      <c r="AB640" s="455"/>
      <c r="AC640" s="455"/>
      <c r="AD640" s="455"/>
      <c r="AE640" s="455"/>
      <c r="AF640" s="455"/>
      <c r="AG640" s="455"/>
      <c r="AH640" s="455"/>
      <c r="AI640" s="455"/>
      <c r="AJ640" s="455"/>
      <c r="AK640" s="455"/>
      <c r="AL640" s="455"/>
      <c r="AM640" s="455"/>
      <c r="AN640" s="455"/>
      <c r="AO640" s="455"/>
      <c r="AP640" s="455"/>
      <c r="AQ640" s="455"/>
      <c r="AR640" s="455"/>
      <c r="AS640" s="455"/>
      <c r="AT640" s="455"/>
      <c r="AU640" s="455"/>
      <c r="AV640" s="455"/>
      <c r="AW640" s="455"/>
      <c r="AX640" s="455"/>
      <c r="AY640" s="455"/>
      <c r="AZ640" s="455"/>
      <c r="BA640" s="455"/>
      <c r="BB640" s="455"/>
      <c r="BC640" s="455"/>
      <c r="BD640" s="455"/>
      <c r="BE640" s="455"/>
      <c r="BF640" s="455"/>
      <c r="BG640" s="455"/>
      <c r="BH640" s="455"/>
      <c r="BI640" s="455"/>
      <c r="BJ640" s="455"/>
      <c r="BK640" s="455"/>
      <c r="BL640" s="455"/>
      <c r="BM640" s="455"/>
      <c r="BN640" s="455"/>
      <c r="BO640" s="455"/>
      <c r="BP640" s="455"/>
      <c r="BQ640" s="455"/>
      <c r="BR640" s="455"/>
      <c r="BS640" s="455"/>
      <c r="BT640" s="455"/>
      <c r="BU640" s="455"/>
      <c r="BV640" s="455"/>
      <c r="BW640" s="455"/>
      <c r="BX640" s="455"/>
      <c r="BY640" s="455"/>
      <c r="BZ640" s="455"/>
      <c r="CA640" s="455"/>
      <c r="CB640" s="455"/>
      <c r="CC640" s="455"/>
      <c r="CD640" s="455"/>
      <c r="CE640" s="455"/>
      <c r="CF640" s="455"/>
      <c r="CG640" s="455"/>
      <c r="CH640" s="455"/>
      <c r="CI640" s="455"/>
      <c r="CJ640" s="455"/>
      <c r="CK640" s="455"/>
      <c r="CL640" s="455"/>
      <c r="CM640" s="455"/>
      <c r="CN640" s="455"/>
      <c r="CO640" s="455"/>
      <c r="CP640" s="455"/>
      <c r="CQ640" s="455"/>
      <c r="CR640" s="455"/>
      <c r="CS640" s="455"/>
      <c r="CT640" s="455"/>
      <c r="CU640" s="455"/>
      <c r="CV640" s="455"/>
      <c r="CW640" s="455"/>
      <c r="CX640" s="455"/>
      <c r="CY640" s="455"/>
      <c r="CZ640" s="455"/>
      <c r="DA640" s="455"/>
      <c r="DB640" s="455"/>
      <c r="DC640" s="455"/>
      <c r="DD640" s="455"/>
      <c r="DE640" s="455"/>
      <c r="DF640" s="455"/>
      <c r="DG640" s="455"/>
      <c r="DH640" s="455"/>
      <c r="DI640" s="455"/>
      <c r="DJ640" s="455"/>
      <c r="DK640" s="455"/>
      <c r="DL640" s="455"/>
      <c r="DM640" s="455"/>
      <c r="DN640" s="455"/>
      <c r="DO640" s="455"/>
      <c r="DP640" s="455"/>
      <c r="DQ640" s="455"/>
      <c r="DR640" s="455"/>
      <c r="DS640" s="455"/>
      <c r="DT640" s="455"/>
      <c r="DU640" s="455"/>
      <c r="DV640" s="455"/>
      <c r="DW640" s="455"/>
      <c r="DX640" s="455"/>
      <c r="DY640" s="455"/>
      <c r="DZ640" s="455"/>
      <c r="EA640" s="455"/>
      <c r="EB640" s="455"/>
      <c r="EC640" s="455"/>
      <c r="ED640" s="455"/>
      <c r="EE640" s="455"/>
      <c r="EF640" s="455"/>
      <c r="EG640" s="455"/>
      <c r="EH640" s="455"/>
      <c r="EI640" s="455"/>
      <c r="EJ640" s="455"/>
      <c r="EK640" s="455"/>
      <c r="EL640" s="455"/>
      <c r="EM640" s="455"/>
      <c r="EN640" s="455"/>
      <c r="EO640" s="455"/>
      <c r="EP640" s="455"/>
      <c r="EQ640" s="455"/>
      <c r="ER640" s="455"/>
      <c r="ES640" s="455"/>
      <c r="ET640" s="455"/>
      <c r="EU640" s="455"/>
      <c r="EV640" s="455"/>
      <c r="EW640" s="455"/>
      <c r="EX640" s="455"/>
      <c r="EY640" s="455"/>
      <c r="EZ640" s="455"/>
      <c r="FA640" s="455"/>
      <c r="FB640" s="455"/>
      <c r="FC640" s="455"/>
      <c r="FD640" s="455"/>
      <c r="FE640" s="455"/>
      <c r="FF640" s="455"/>
      <c r="FG640" s="455"/>
      <c r="FH640" s="455"/>
      <c r="FI640" s="455"/>
      <c r="FJ640" s="455"/>
      <c r="FK640" s="455"/>
      <c r="FL640" s="455"/>
      <c r="FM640" s="455"/>
      <c r="FN640" s="455"/>
      <c r="FO640" s="455"/>
      <c r="FP640" s="455"/>
      <c r="FQ640" s="455"/>
      <c r="FR640" s="455"/>
      <c r="FS640" s="455"/>
      <c r="FT640" s="455"/>
      <c r="FU640" s="455"/>
      <c r="FV640" s="455"/>
      <c r="FW640" s="455"/>
      <c r="FX640" s="455"/>
      <c r="FY640" s="455"/>
      <c r="FZ640" s="455"/>
      <c r="GA640" s="455"/>
      <c r="GB640" s="455"/>
      <c r="GC640" s="455"/>
      <c r="GD640" s="455"/>
      <c r="GE640" s="455"/>
      <c r="GF640" s="455"/>
      <c r="GG640" s="455"/>
      <c r="GH640" s="455"/>
      <c r="GI640" s="455"/>
      <c r="GJ640" s="455"/>
      <c r="GK640" s="455"/>
      <c r="GL640" s="455"/>
      <c r="GM640" s="455"/>
      <c r="GN640" s="455"/>
      <c r="GO640" s="455"/>
      <c r="GP640" s="455"/>
      <c r="GQ640" s="455"/>
      <c r="GR640" s="455"/>
      <c r="GS640" s="455"/>
      <c r="GT640" s="455"/>
      <c r="GU640" s="455"/>
      <c r="GV640" s="455"/>
      <c r="GW640" s="455"/>
      <c r="GX640" s="455"/>
      <c r="GY640" s="455"/>
      <c r="GZ640" s="455"/>
      <c r="HA640" s="455"/>
      <c r="HB640" s="455"/>
      <c r="HC640" s="455"/>
      <c r="HD640" s="455"/>
      <c r="HE640" s="455"/>
      <c r="HF640" s="455"/>
      <c r="HG640" s="455"/>
      <c r="HH640" s="455"/>
      <c r="HI640" s="455"/>
      <c r="HJ640" s="455"/>
      <c r="HK640" s="455"/>
      <c r="HL640" s="455"/>
      <c r="HM640" s="455"/>
      <c r="HN640" s="455"/>
      <c r="HO640" s="455"/>
      <c r="HP640" s="455"/>
      <c r="HQ640" s="455"/>
      <c r="HR640" s="455"/>
      <c r="HS640" s="455"/>
      <c r="HT640" s="455"/>
      <c r="HU640" s="455"/>
      <c r="HV640" s="455"/>
      <c r="HW640" s="455"/>
      <c r="HX640" s="455"/>
      <c r="HY640" s="455"/>
      <c r="HZ640" s="455"/>
      <c r="IA640" s="455"/>
      <c r="IB640" s="455"/>
      <c r="IC640" s="455"/>
      <c r="ID640" s="455"/>
      <c r="IE640" s="455"/>
      <c r="IF640" s="455"/>
      <c r="IG640" s="455"/>
      <c r="IH640" s="455"/>
      <c r="II640" s="455"/>
      <c r="IJ640" s="455"/>
      <c r="IK640" s="455"/>
      <c r="IL640" s="455"/>
      <c r="IM640" s="455"/>
      <c r="IN640" s="455"/>
      <c r="IO640" s="455"/>
      <c r="IP640" s="455"/>
      <c r="IQ640" s="455"/>
      <c r="IR640" s="455"/>
      <c r="IS640" s="455"/>
    </row>
    <row r="641" spans="1:253" s="458" customFormat="1" ht="12" x14ac:dyDescent="0.2">
      <c r="A641" s="444"/>
      <c r="B641" s="445"/>
      <c r="C641" s="479"/>
      <c r="D641" s="479"/>
      <c r="E641" s="479"/>
      <c r="F641" s="479"/>
      <c r="G641" s="446"/>
      <c r="H641" s="445"/>
      <c r="I641" s="445"/>
      <c r="J641" s="445"/>
      <c r="K641" s="447"/>
      <c r="L641" s="448"/>
      <c r="M641" s="448"/>
      <c r="N641" s="445"/>
      <c r="O641" s="449"/>
      <c r="P641" s="450"/>
      <c r="Q641" s="451"/>
      <c r="R641" s="507"/>
      <c r="S641" s="508"/>
      <c r="T641" s="472"/>
      <c r="U641" s="448"/>
      <c r="W641" s="448"/>
      <c r="X641" s="455"/>
      <c r="Y641" s="455"/>
      <c r="Z641" s="455"/>
      <c r="AA641" s="455"/>
      <c r="AB641" s="455"/>
      <c r="AC641" s="455"/>
      <c r="AD641" s="455"/>
      <c r="AE641" s="455"/>
      <c r="AF641" s="455"/>
      <c r="AG641" s="455"/>
      <c r="AH641" s="455"/>
      <c r="AI641" s="455"/>
      <c r="AJ641" s="455"/>
      <c r="AK641" s="455"/>
      <c r="AL641" s="455"/>
      <c r="AM641" s="455"/>
      <c r="AN641" s="455"/>
      <c r="AO641" s="455"/>
      <c r="AP641" s="455"/>
      <c r="AQ641" s="455"/>
      <c r="AR641" s="455"/>
      <c r="AS641" s="455"/>
      <c r="AT641" s="455"/>
      <c r="AU641" s="455"/>
      <c r="AV641" s="455"/>
      <c r="AW641" s="455"/>
      <c r="AX641" s="455"/>
      <c r="AY641" s="455"/>
      <c r="AZ641" s="455"/>
      <c r="BA641" s="455"/>
      <c r="BB641" s="455"/>
      <c r="BC641" s="455"/>
      <c r="BD641" s="455"/>
      <c r="BE641" s="455"/>
      <c r="BF641" s="455"/>
      <c r="BG641" s="455"/>
      <c r="BH641" s="455"/>
      <c r="BI641" s="455"/>
      <c r="BJ641" s="455"/>
      <c r="BK641" s="455"/>
      <c r="BL641" s="455"/>
      <c r="BM641" s="455"/>
      <c r="BN641" s="455"/>
      <c r="BO641" s="455"/>
      <c r="BP641" s="455"/>
      <c r="BQ641" s="455"/>
      <c r="BR641" s="455"/>
      <c r="BS641" s="455"/>
      <c r="BT641" s="455"/>
      <c r="BU641" s="455"/>
      <c r="BV641" s="455"/>
      <c r="BW641" s="455"/>
      <c r="BX641" s="455"/>
      <c r="BY641" s="455"/>
      <c r="BZ641" s="455"/>
      <c r="CA641" s="455"/>
      <c r="CB641" s="455"/>
      <c r="CC641" s="455"/>
      <c r="CD641" s="455"/>
      <c r="CE641" s="455"/>
      <c r="CF641" s="455"/>
      <c r="CG641" s="455"/>
      <c r="CH641" s="455"/>
      <c r="CI641" s="455"/>
      <c r="CJ641" s="455"/>
      <c r="CK641" s="455"/>
      <c r="CL641" s="455"/>
      <c r="CM641" s="455"/>
      <c r="CN641" s="455"/>
      <c r="CO641" s="455"/>
      <c r="CP641" s="455"/>
      <c r="CQ641" s="455"/>
      <c r="CR641" s="455"/>
      <c r="CS641" s="455"/>
      <c r="CT641" s="455"/>
      <c r="CU641" s="455"/>
      <c r="CV641" s="455"/>
      <c r="CW641" s="455"/>
      <c r="CX641" s="455"/>
      <c r="CY641" s="455"/>
      <c r="CZ641" s="455"/>
      <c r="DA641" s="455"/>
      <c r="DB641" s="455"/>
      <c r="DC641" s="455"/>
      <c r="DD641" s="455"/>
      <c r="DE641" s="455"/>
      <c r="DF641" s="455"/>
      <c r="DG641" s="455"/>
      <c r="DH641" s="455"/>
      <c r="DI641" s="455"/>
      <c r="DJ641" s="455"/>
      <c r="DK641" s="455"/>
      <c r="DL641" s="455"/>
      <c r="DM641" s="455"/>
      <c r="DN641" s="455"/>
      <c r="DO641" s="455"/>
      <c r="DP641" s="455"/>
      <c r="DQ641" s="455"/>
      <c r="DR641" s="455"/>
      <c r="DS641" s="455"/>
      <c r="DT641" s="455"/>
      <c r="DU641" s="455"/>
      <c r="DV641" s="455"/>
      <c r="DW641" s="455"/>
      <c r="DX641" s="455"/>
      <c r="DY641" s="455"/>
      <c r="DZ641" s="455"/>
      <c r="EA641" s="455"/>
      <c r="EB641" s="455"/>
      <c r="EC641" s="455"/>
      <c r="ED641" s="455"/>
      <c r="EE641" s="455"/>
      <c r="EF641" s="455"/>
      <c r="EG641" s="455"/>
      <c r="EH641" s="455"/>
      <c r="EI641" s="455"/>
      <c r="EJ641" s="455"/>
      <c r="EK641" s="455"/>
      <c r="EL641" s="455"/>
      <c r="EM641" s="455"/>
      <c r="EN641" s="455"/>
      <c r="EO641" s="455"/>
      <c r="EP641" s="455"/>
      <c r="EQ641" s="455"/>
      <c r="ER641" s="455"/>
      <c r="ES641" s="455"/>
      <c r="ET641" s="455"/>
      <c r="EU641" s="455"/>
      <c r="EV641" s="455"/>
      <c r="EW641" s="455"/>
      <c r="EX641" s="455"/>
      <c r="EY641" s="455"/>
      <c r="EZ641" s="455"/>
      <c r="FA641" s="455"/>
      <c r="FB641" s="455"/>
      <c r="FC641" s="455"/>
      <c r="FD641" s="455"/>
      <c r="FE641" s="455"/>
      <c r="FF641" s="455"/>
      <c r="FG641" s="455"/>
      <c r="FH641" s="455"/>
      <c r="FI641" s="455"/>
      <c r="FJ641" s="455"/>
      <c r="FK641" s="455"/>
      <c r="FL641" s="455"/>
      <c r="FM641" s="455"/>
      <c r="FN641" s="455"/>
      <c r="FO641" s="455"/>
      <c r="FP641" s="455"/>
      <c r="FQ641" s="455"/>
      <c r="FR641" s="455"/>
      <c r="FS641" s="455"/>
      <c r="FT641" s="455"/>
      <c r="FU641" s="455"/>
      <c r="FV641" s="455"/>
      <c r="FW641" s="455"/>
      <c r="FX641" s="455"/>
      <c r="FY641" s="455"/>
      <c r="FZ641" s="455"/>
      <c r="GA641" s="455"/>
      <c r="GB641" s="455"/>
      <c r="GC641" s="455"/>
      <c r="GD641" s="455"/>
      <c r="GE641" s="455"/>
      <c r="GF641" s="455"/>
      <c r="GG641" s="455"/>
      <c r="GH641" s="455"/>
      <c r="GI641" s="455"/>
      <c r="GJ641" s="455"/>
      <c r="GK641" s="455"/>
      <c r="GL641" s="455"/>
      <c r="GM641" s="455"/>
      <c r="GN641" s="455"/>
      <c r="GO641" s="455"/>
      <c r="GP641" s="455"/>
      <c r="GQ641" s="455"/>
      <c r="GR641" s="455"/>
      <c r="GS641" s="455"/>
      <c r="GT641" s="455"/>
      <c r="GU641" s="455"/>
      <c r="GV641" s="455"/>
      <c r="GW641" s="455"/>
      <c r="GX641" s="455"/>
      <c r="GY641" s="455"/>
      <c r="GZ641" s="455"/>
      <c r="HA641" s="455"/>
      <c r="HB641" s="455"/>
      <c r="HC641" s="455"/>
      <c r="HD641" s="455"/>
      <c r="HE641" s="455"/>
      <c r="HF641" s="455"/>
      <c r="HG641" s="455"/>
      <c r="HH641" s="455"/>
      <c r="HI641" s="455"/>
      <c r="HJ641" s="455"/>
      <c r="HK641" s="455"/>
      <c r="HL641" s="455"/>
      <c r="HM641" s="455"/>
      <c r="HN641" s="455"/>
      <c r="HO641" s="455"/>
      <c r="HP641" s="455"/>
      <c r="HQ641" s="455"/>
      <c r="HR641" s="455"/>
      <c r="HS641" s="455"/>
      <c r="HT641" s="455"/>
      <c r="HU641" s="455"/>
      <c r="HV641" s="455"/>
      <c r="HW641" s="455"/>
      <c r="HX641" s="455"/>
      <c r="HY641" s="455"/>
      <c r="HZ641" s="455"/>
      <c r="IA641" s="455"/>
      <c r="IB641" s="455"/>
      <c r="IC641" s="455"/>
      <c r="ID641" s="455"/>
      <c r="IE641" s="455"/>
      <c r="IF641" s="455"/>
      <c r="IG641" s="455"/>
      <c r="IH641" s="455"/>
      <c r="II641" s="455"/>
      <c r="IJ641" s="455"/>
      <c r="IK641" s="455"/>
      <c r="IL641" s="455"/>
      <c r="IM641" s="455"/>
      <c r="IN641" s="455"/>
      <c r="IO641" s="455"/>
      <c r="IP641" s="455"/>
      <c r="IQ641" s="455"/>
      <c r="IR641" s="455"/>
      <c r="IS641" s="455"/>
    </row>
    <row r="642" spans="1:253" s="458" customFormat="1" ht="12" x14ac:dyDescent="0.2">
      <c r="A642" s="444"/>
      <c r="B642" s="445"/>
      <c r="C642" s="479"/>
      <c r="D642" s="479"/>
      <c r="E642" s="479"/>
      <c r="F642" s="479"/>
      <c r="G642" s="446"/>
      <c r="H642" s="445"/>
      <c r="I642" s="445"/>
      <c r="J642" s="445"/>
      <c r="K642" s="447"/>
      <c r="L642" s="448"/>
      <c r="M642" s="448"/>
      <c r="N642" s="445"/>
      <c r="O642" s="449"/>
      <c r="P642" s="450"/>
      <c r="Q642" s="451"/>
      <c r="R642" s="507"/>
      <c r="S642" s="508"/>
      <c r="T642" s="472"/>
      <c r="U642" s="448"/>
      <c r="W642" s="448"/>
      <c r="X642" s="455"/>
      <c r="Y642" s="455"/>
      <c r="Z642" s="455"/>
      <c r="AA642" s="455"/>
      <c r="AB642" s="455"/>
      <c r="AC642" s="455"/>
      <c r="AD642" s="455"/>
      <c r="AE642" s="455"/>
      <c r="AF642" s="455"/>
      <c r="AG642" s="455"/>
      <c r="AH642" s="455"/>
      <c r="AI642" s="455"/>
      <c r="AJ642" s="455"/>
      <c r="AK642" s="455"/>
      <c r="AL642" s="455"/>
      <c r="AM642" s="455"/>
      <c r="AN642" s="455"/>
      <c r="AO642" s="455"/>
      <c r="AP642" s="455"/>
      <c r="AQ642" s="455"/>
      <c r="AR642" s="455"/>
      <c r="AS642" s="455"/>
      <c r="AT642" s="455"/>
      <c r="AU642" s="455"/>
      <c r="AV642" s="455"/>
      <c r="AW642" s="455"/>
      <c r="AX642" s="455"/>
      <c r="AY642" s="455"/>
      <c r="AZ642" s="455"/>
      <c r="BA642" s="455"/>
      <c r="BB642" s="455"/>
      <c r="BC642" s="455"/>
      <c r="BD642" s="455"/>
      <c r="BE642" s="455"/>
      <c r="BF642" s="455"/>
      <c r="BG642" s="455"/>
      <c r="BH642" s="455"/>
      <c r="BI642" s="455"/>
      <c r="BJ642" s="455"/>
      <c r="BK642" s="455"/>
      <c r="BL642" s="455"/>
      <c r="BM642" s="455"/>
      <c r="BN642" s="455"/>
      <c r="BO642" s="455"/>
      <c r="BP642" s="455"/>
      <c r="BQ642" s="455"/>
      <c r="BR642" s="455"/>
      <c r="BS642" s="455"/>
      <c r="BT642" s="455"/>
      <c r="BU642" s="455"/>
      <c r="BV642" s="455"/>
      <c r="BW642" s="455"/>
      <c r="BX642" s="455"/>
      <c r="BY642" s="455"/>
      <c r="BZ642" s="455"/>
      <c r="CA642" s="455"/>
      <c r="CB642" s="455"/>
      <c r="CC642" s="455"/>
      <c r="CD642" s="455"/>
      <c r="CE642" s="455"/>
      <c r="CF642" s="455"/>
      <c r="CG642" s="455"/>
      <c r="CH642" s="455"/>
      <c r="CI642" s="455"/>
      <c r="CJ642" s="455"/>
      <c r="CK642" s="455"/>
      <c r="CL642" s="455"/>
      <c r="CM642" s="455"/>
      <c r="CN642" s="455"/>
      <c r="CO642" s="455"/>
      <c r="CP642" s="455"/>
      <c r="CQ642" s="455"/>
      <c r="CR642" s="455"/>
      <c r="CS642" s="455"/>
      <c r="CT642" s="455"/>
      <c r="CU642" s="455"/>
      <c r="CV642" s="455"/>
      <c r="CW642" s="455"/>
      <c r="CX642" s="455"/>
      <c r="CY642" s="455"/>
      <c r="CZ642" s="455"/>
      <c r="DA642" s="455"/>
      <c r="DB642" s="455"/>
      <c r="DC642" s="455"/>
      <c r="DD642" s="455"/>
      <c r="DE642" s="455"/>
      <c r="DF642" s="455"/>
      <c r="DG642" s="455"/>
      <c r="DH642" s="455"/>
      <c r="DI642" s="455"/>
      <c r="DJ642" s="455"/>
      <c r="DK642" s="455"/>
      <c r="DL642" s="455"/>
      <c r="DM642" s="455"/>
      <c r="DN642" s="455"/>
      <c r="DO642" s="455"/>
      <c r="DP642" s="455"/>
      <c r="DQ642" s="455"/>
      <c r="DR642" s="455"/>
      <c r="DS642" s="455"/>
      <c r="DT642" s="455"/>
      <c r="DU642" s="455"/>
      <c r="DV642" s="455"/>
      <c r="DW642" s="455"/>
      <c r="DX642" s="455"/>
      <c r="DY642" s="455"/>
      <c r="DZ642" s="455"/>
      <c r="EA642" s="455"/>
      <c r="EB642" s="455"/>
      <c r="EC642" s="455"/>
      <c r="ED642" s="455"/>
      <c r="EE642" s="455"/>
      <c r="EF642" s="455"/>
      <c r="EG642" s="455"/>
      <c r="EH642" s="455"/>
      <c r="EI642" s="455"/>
      <c r="EJ642" s="455"/>
      <c r="EK642" s="455"/>
      <c r="EL642" s="455"/>
      <c r="EM642" s="455"/>
      <c r="EN642" s="455"/>
      <c r="EO642" s="455"/>
      <c r="EP642" s="455"/>
      <c r="EQ642" s="455"/>
      <c r="ER642" s="455"/>
      <c r="ES642" s="455"/>
      <c r="ET642" s="455"/>
      <c r="EU642" s="455"/>
      <c r="EV642" s="455"/>
      <c r="EW642" s="455"/>
      <c r="EX642" s="455"/>
      <c r="EY642" s="455"/>
      <c r="EZ642" s="455"/>
      <c r="FA642" s="455"/>
      <c r="FB642" s="455"/>
      <c r="FC642" s="455"/>
      <c r="FD642" s="455"/>
      <c r="FE642" s="455"/>
      <c r="FF642" s="455"/>
      <c r="FG642" s="455"/>
      <c r="FH642" s="455"/>
      <c r="FI642" s="455"/>
      <c r="FJ642" s="455"/>
      <c r="FK642" s="455"/>
      <c r="FL642" s="455"/>
      <c r="FM642" s="455"/>
      <c r="FN642" s="455"/>
      <c r="FO642" s="455"/>
      <c r="FP642" s="455"/>
      <c r="FQ642" s="455"/>
      <c r="FR642" s="455"/>
      <c r="FS642" s="455"/>
      <c r="FT642" s="455"/>
      <c r="FU642" s="455"/>
      <c r="FV642" s="455"/>
      <c r="FW642" s="455"/>
      <c r="FX642" s="455"/>
      <c r="FY642" s="455"/>
      <c r="FZ642" s="455"/>
      <c r="GA642" s="455"/>
      <c r="GB642" s="455"/>
      <c r="GC642" s="455"/>
      <c r="GD642" s="455"/>
      <c r="GE642" s="455"/>
      <c r="GF642" s="455"/>
      <c r="GG642" s="455"/>
      <c r="GH642" s="455"/>
      <c r="GI642" s="455"/>
      <c r="GJ642" s="455"/>
      <c r="GK642" s="455"/>
      <c r="GL642" s="455"/>
      <c r="GM642" s="455"/>
      <c r="GN642" s="455"/>
      <c r="GO642" s="455"/>
      <c r="GP642" s="455"/>
      <c r="GQ642" s="455"/>
      <c r="GR642" s="455"/>
      <c r="GS642" s="455"/>
      <c r="GT642" s="455"/>
      <c r="GU642" s="455"/>
      <c r="GV642" s="455"/>
      <c r="GW642" s="455"/>
      <c r="GX642" s="455"/>
      <c r="GY642" s="455"/>
      <c r="GZ642" s="455"/>
      <c r="HA642" s="455"/>
      <c r="HB642" s="455"/>
      <c r="HC642" s="455"/>
      <c r="HD642" s="455"/>
      <c r="HE642" s="455"/>
      <c r="HF642" s="455"/>
      <c r="HG642" s="455"/>
      <c r="HH642" s="455"/>
      <c r="HI642" s="455"/>
      <c r="HJ642" s="455"/>
      <c r="HK642" s="455"/>
      <c r="HL642" s="455"/>
      <c r="HM642" s="455"/>
      <c r="HN642" s="455"/>
      <c r="HO642" s="455"/>
      <c r="HP642" s="455"/>
      <c r="HQ642" s="455"/>
      <c r="HR642" s="455"/>
      <c r="HS642" s="455"/>
      <c r="HT642" s="455"/>
      <c r="HU642" s="455"/>
      <c r="HV642" s="455"/>
      <c r="HW642" s="455"/>
      <c r="HX642" s="455"/>
      <c r="HY642" s="455"/>
      <c r="HZ642" s="455"/>
      <c r="IA642" s="455"/>
      <c r="IB642" s="455"/>
      <c r="IC642" s="455"/>
      <c r="ID642" s="455"/>
      <c r="IE642" s="455"/>
      <c r="IF642" s="455"/>
      <c r="IG642" s="455"/>
      <c r="IH642" s="455"/>
      <c r="II642" s="455"/>
      <c r="IJ642" s="455"/>
      <c r="IK642" s="455"/>
      <c r="IL642" s="455"/>
      <c r="IM642" s="455"/>
      <c r="IN642" s="455"/>
      <c r="IO642" s="455"/>
      <c r="IP642" s="455"/>
      <c r="IQ642" s="455"/>
      <c r="IR642" s="455"/>
      <c r="IS642" s="455"/>
    </row>
    <row r="643" spans="1:253" s="458" customFormat="1" ht="12" x14ac:dyDescent="0.2">
      <c r="A643" s="444"/>
      <c r="B643" s="445"/>
      <c r="C643" s="479"/>
      <c r="D643" s="479"/>
      <c r="E643" s="479"/>
      <c r="F643" s="479"/>
      <c r="G643" s="446"/>
      <c r="H643" s="445"/>
      <c r="I643" s="445"/>
      <c r="J643" s="445"/>
      <c r="K643" s="447"/>
      <c r="L643" s="448"/>
      <c r="M643" s="448"/>
      <c r="N643" s="445"/>
      <c r="O643" s="449"/>
      <c r="P643" s="450"/>
      <c r="Q643" s="451"/>
      <c r="R643" s="507"/>
      <c r="S643" s="508"/>
      <c r="T643" s="472"/>
      <c r="U643" s="448"/>
      <c r="W643" s="448"/>
    </row>
    <row r="644" spans="1:253" s="458" customFormat="1" ht="12" x14ac:dyDescent="0.2">
      <c r="A644" s="444"/>
      <c r="B644" s="445"/>
      <c r="C644" s="479"/>
      <c r="D644" s="479"/>
      <c r="E644" s="479"/>
      <c r="F644" s="479"/>
      <c r="G644" s="446"/>
      <c r="H644" s="445"/>
      <c r="I644" s="445"/>
      <c r="J644" s="445"/>
      <c r="K644" s="447"/>
      <c r="L644" s="448"/>
      <c r="M644" s="448"/>
      <c r="N644" s="445"/>
      <c r="O644" s="449"/>
      <c r="P644" s="450"/>
      <c r="Q644" s="451"/>
      <c r="R644" s="507"/>
      <c r="S644" s="508"/>
      <c r="T644" s="472"/>
      <c r="U644" s="448"/>
      <c r="W644" s="448"/>
    </row>
    <row r="645" spans="1:253" s="458" customFormat="1" ht="12" x14ac:dyDescent="0.2">
      <c r="A645" s="444"/>
      <c r="B645" s="445"/>
      <c r="C645" s="479"/>
      <c r="D645" s="479"/>
      <c r="E645" s="479"/>
      <c r="F645" s="479"/>
      <c r="G645" s="446"/>
      <c r="H645" s="445"/>
      <c r="I645" s="445"/>
      <c r="J645" s="445"/>
      <c r="K645" s="447"/>
      <c r="L645" s="448"/>
      <c r="M645" s="448"/>
      <c r="N645" s="445"/>
      <c r="O645" s="449"/>
      <c r="P645" s="450"/>
      <c r="Q645" s="451"/>
      <c r="R645" s="507"/>
      <c r="S645" s="508"/>
      <c r="T645" s="472"/>
      <c r="U645" s="448"/>
      <c r="W645" s="448"/>
    </row>
    <row r="646" spans="1:253" s="458" customFormat="1" ht="12" x14ac:dyDescent="0.2">
      <c r="A646" s="444"/>
      <c r="B646" s="445"/>
      <c r="C646" s="479"/>
      <c r="D646" s="479"/>
      <c r="E646" s="479"/>
      <c r="F646" s="479"/>
      <c r="G646" s="446"/>
      <c r="H646" s="445"/>
      <c r="I646" s="445"/>
      <c r="J646" s="445"/>
      <c r="K646" s="447"/>
      <c r="L646" s="448"/>
      <c r="M646" s="448"/>
      <c r="N646" s="445"/>
      <c r="O646" s="449"/>
      <c r="P646" s="450"/>
      <c r="Q646" s="451"/>
      <c r="R646" s="507"/>
      <c r="S646" s="508"/>
      <c r="T646" s="472"/>
      <c r="U646" s="448"/>
      <c r="W646" s="448"/>
      <c r="X646" s="455"/>
      <c r="Y646" s="455"/>
      <c r="Z646" s="455"/>
      <c r="AA646" s="455"/>
      <c r="AB646" s="455"/>
      <c r="AC646" s="455"/>
      <c r="AD646" s="455"/>
      <c r="AE646" s="455"/>
      <c r="AF646" s="455"/>
      <c r="AG646" s="455"/>
      <c r="AH646" s="455"/>
      <c r="AI646" s="455"/>
      <c r="AJ646" s="455"/>
      <c r="AK646" s="455"/>
      <c r="AL646" s="455"/>
      <c r="AM646" s="455"/>
      <c r="AN646" s="455"/>
      <c r="AO646" s="455"/>
      <c r="AP646" s="455"/>
      <c r="AQ646" s="455"/>
      <c r="AR646" s="455"/>
      <c r="AS646" s="455"/>
      <c r="AT646" s="455"/>
      <c r="AU646" s="455"/>
      <c r="AV646" s="455"/>
      <c r="AW646" s="455"/>
      <c r="AX646" s="455"/>
      <c r="AY646" s="455"/>
      <c r="AZ646" s="455"/>
      <c r="BA646" s="455"/>
      <c r="BB646" s="455"/>
      <c r="BC646" s="455"/>
      <c r="BD646" s="455"/>
      <c r="BE646" s="455"/>
      <c r="BF646" s="455"/>
      <c r="BG646" s="455"/>
      <c r="BH646" s="455"/>
      <c r="BI646" s="455"/>
      <c r="BJ646" s="455"/>
      <c r="BK646" s="455"/>
      <c r="BL646" s="455"/>
      <c r="BM646" s="455"/>
      <c r="BN646" s="455"/>
      <c r="BO646" s="455"/>
      <c r="BP646" s="455"/>
      <c r="BQ646" s="455"/>
      <c r="BR646" s="455"/>
      <c r="BS646" s="455"/>
      <c r="BT646" s="455"/>
      <c r="BU646" s="455"/>
      <c r="BV646" s="455"/>
      <c r="BW646" s="455"/>
      <c r="BX646" s="455"/>
      <c r="BY646" s="455"/>
      <c r="BZ646" s="455"/>
      <c r="CA646" s="455"/>
      <c r="CB646" s="455"/>
      <c r="CC646" s="455"/>
      <c r="CD646" s="455"/>
      <c r="CE646" s="455"/>
      <c r="CF646" s="455"/>
      <c r="CG646" s="455"/>
      <c r="CH646" s="455"/>
      <c r="CI646" s="455"/>
      <c r="CJ646" s="455"/>
      <c r="CK646" s="455"/>
      <c r="CL646" s="455"/>
      <c r="CM646" s="455"/>
      <c r="CN646" s="455"/>
      <c r="CO646" s="455"/>
      <c r="CP646" s="455"/>
      <c r="CQ646" s="455"/>
      <c r="CR646" s="455"/>
      <c r="CS646" s="455"/>
      <c r="CT646" s="455"/>
      <c r="CU646" s="455"/>
      <c r="CV646" s="455"/>
      <c r="CW646" s="455"/>
      <c r="CX646" s="455"/>
      <c r="CY646" s="455"/>
      <c r="CZ646" s="455"/>
      <c r="DA646" s="455"/>
      <c r="DB646" s="455"/>
      <c r="DC646" s="455"/>
      <c r="DD646" s="455"/>
      <c r="DE646" s="455"/>
      <c r="DF646" s="455"/>
      <c r="DG646" s="455"/>
      <c r="DH646" s="455"/>
      <c r="DI646" s="455"/>
      <c r="DJ646" s="455"/>
      <c r="DK646" s="455"/>
      <c r="DL646" s="455"/>
      <c r="DM646" s="455"/>
      <c r="DN646" s="455"/>
      <c r="DO646" s="455"/>
      <c r="DP646" s="455"/>
      <c r="DQ646" s="455"/>
      <c r="DR646" s="455"/>
      <c r="DS646" s="455"/>
      <c r="DT646" s="455"/>
      <c r="DU646" s="455"/>
      <c r="DV646" s="455"/>
      <c r="DW646" s="455"/>
      <c r="DX646" s="455"/>
      <c r="DY646" s="455"/>
      <c r="DZ646" s="455"/>
      <c r="EA646" s="455"/>
      <c r="EB646" s="455"/>
      <c r="EC646" s="455"/>
      <c r="ED646" s="455"/>
      <c r="EE646" s="455"/>
      <c r="EF646" s="455"/>
      <c r="EG646" s="455"/>
      <c r="EH646" s="455"/>
      <c r="EI646" s="455"/>
      <c r="EJ646" s="455"/>
      <c r="EK646" s="455"/>
      <c r="EL646" s="455"/>
      <c r="EM646" s="455"/>
      <c r="EN646" s="455"/>
      <c r="EO646" s="455"/>
      <c r="EP646" s="455"/>
      <c r="EQ646" s="455"/>
      <c r="ER646" s="455"/>
      <c r="ES646" s="455"/>
      <c r="ET646" s="455"/>
      <c r="EU646" s="455"/>
      <c r="EV646" s="455"/>
      <c r="EW646" s="455"/>
      <c r="EX646" s="455"/>
      <c r="EY646" s="455"/>
      <c r="EZ646" s="455"/>
      <c r="FA646" s="455"/>
      <c r="FB646" s="455"/>
      <c r="FC646" s="455"/>
      <c r="FD646" s="455"/>
      <c r="FE646" s="455"/>
      <c r="FF646" s="455"/>
      <c r="FG646" s="455"/>
      <c r="FH646" s="455"/>
      <c r="FI646" s="455"/>
      <c r="FJ646" s="455"/>
      <c r="FK646" s="455"/>
      <c r="FL646" s="455"/>
      <c r="FM646" s="455"/>
      <c r="FN646" s="455"/>
      <c r="FO646" s="455"/>
      <c r="FP646" s="455"/>
      <c r="FQ646" s="455"/>
      <c r="FR646" s="455"/>
      <c r="FS646" s="455"/>
      <c r="FT646" s="455"/>
      <c r="FU646" s="455"/>
      <c r="FV646" s="455"/>
      <c r="FW646" s="455"/>
      <c r="FX646" s="455"/>
      <c r="FY646" s="455"/>
      <c r="FZ646" s="455"/>
      <c r="GA646" s="455"/>
      <c r="GB646" s="455"/>
      <c r="GC646" s="455"/>
      <c r="GD646" s="455"/>
      <c r="GE646" s="455"/>
      <c r="GF646" s="455"/>
      <c r="GG646" s="455"/>
      <c r="GH646" s="455"/>
      <c r="GI646" s="455"/>
      <c r="GJ646" s="455"/>
      <c r="GK646" s="455"/>
      <c r="GL646" s="455"/>
      <c r="GM646" s="455"/>
      <c r="GN646" s="455"/>
      <c r="GO646" s="455"/>
      <c r="GP646" s="455"/>
      <c r="GQ646" s="455"/>
      <c r="GR646" s="455"/>
      <c r="GS646" s="455"/>
      <c r="GT646" s="455"/>
      <c r="GU646" s="455"/>
      <c r="GV646" s="455"/>
      <c r="GW646" s="455"/>
      <c r="GX646" s="455"/>
      <c r="GY646" s="455"/>
      <c r="GZ646" s="455"/>
      <c r="HA646" s="455"/>
      <c r="HB646" s="455"/>
      <c r="HC646" s="455"/>
      <c r="HD646" s="455"/>
      <c r="HE646" s="455"/>
      <c r="HF646" s="455"/>
      <c r="HG646" s="455"/>
      <c r="HH646" s="455"/>
      <c r="HI646" s="455"/>
      <c r="HJ646" s="455"/>
      <c r="HK646" s="455"/>
      <c r="HL646" s="455"/>
      <c r="HM646" s="455"/>
      <c r="HN646" s="455"/>
      <c r="HO646" s="455"/>
      <c r="HP646" s="455"/>
      <c r="HQ646" s="455"/>
      <c r="HR646" s="455"/>
      <c r="HS646" s="455"/>
      <c r="HT646" s="455"/>
      <c r="HU646" s="455"/>
      <c r="HV646" s="455"/>
      <c r="HW646" s="455"/>
      <c r="HX646" s="455"/>
      <c r="HY646" s="455"/>
      <c r="HZ646" s="455"/>
      <c r="IA646" s="455"/>
      <c r="IB646" s="455"/>
      <c r="IC646" s="455"/>
      <c r="ID646" s="455"/>
      <c r="IE646" s="455"/>
      <c r="IF646" s="455"/>
      <c r="IG646" s="455"/>
      <c r="IH646" s="455"/>
      <c r="II646" s="455"/>
      <c r="IJ646" s="455"/>
      <c r="IK646" s="455"/>
      <c r="IL646" s="455"/>
      <c r="IM646" s="455"/>
      <c r="IN646" s="455"/>
      <c r="IO646" s="455"/>
      <c r="IP646" s="455"/>
      <c r="IQ646" s="455"/>
      <c r="IR646" s="455"/>
      <c r="IS646" s="455"/>
    </row>
    <row r="647" spans="1:253" s="458" customFormat="1" ht="12" x14ac:dyDescent="0.2">
      <c r="A647" s="444"/>
      <c r="B647" s="445"/>
      <c r="C647" s="479"/>
      <c r="D647" s="479"/>
      <c r="E647" s="479"/>
      <c r="F647" s="479"/>
      <c r="G647" s="446"/>
      <c r="H647" s="445"/>
      <c r="I647" s="445"/>
      <c r="J647" s="445"/>
      <c r="K647" s="447"/>
      <c r="L647" s="448"/>
      <c r="M647" s="448"/>
      <c r="N647" s="445"/>
      <c r="O647" s="449"/>
      <c r="P647" s="450"/>
      <c r="Q647" s="451"/>
      <c r="R647" s="507"/>
      <c r="S647" s="508"/>
      <c r="T647" s="472"/>
      <c r="U647" s="448"/>
      <c r="W647" s="448"/>
    </row>
    <row r="648" spans="1:253" s="458" customFormat="1" ht="12" x14ac:dyDescent="0.2">
      <c r="A648" s="444"/>
      <c r="B648" s="445"/>
      <c r="C648" s="479"/>
      <c r="D648" s="479"/>
      <c r="E648" s="479"/>
      <c r="F648" s="479"/>
      <c r="G648" s="446"/>
      <c r="H648" s="445"/>
      <c r="I648" s="445"/>
      <c r="J648" s="445"/>
      <c r="K648" s="447"/>
      <c r="L648" s="448"/>
      <c r="M648" s="448"/>
      <c r="N648" s="445"/>
      <c r="O648" s="449"/>
      <c r="P648" s="450"/>
      <c r="Q648" s="451"/>
      <c r="R648" s="507"/>
      <c r="S648" s="508"/>
      <c r="T648" s="472"/>
      <c r="U648" s="448"/>
      <c r="W648" s="448"/>
    </row>
    <row r="649" spans="1:253" s="458" customFormat="1" ht="12" x14ac:dyDescent="0.2">
      <c r="A649" s="444"/>
      <c r="B649" s="445"/>
      <c r="C649" s="479"/>
      <c r="D649" s="479"/>
      <c r="E649" s="479"/>
      <c r="F649" s="479"/>
      <c r="G649" s="446"/>
      <c r="H649" s="445"/>
      <c r="I649" s="445"/>
      <c r="J649" s="445"/>
      <c r="K649" s="447"/>
      <c r="L649" s="448"/>
      <c r="M649" s="448"/>
      <c r="N649" s="445"/>
      <c r="O649" s="449"/>
      <c r="P649" s="450"/>
      <c r="Q649" s="451"/>
      <c r="R649" s="507"/>
      <c r="S649" s="508"/>
      <c r="T649" s="472"/>
      <c r="U649" s="448"/>
      <c r="W649" s="448"/>
    </row>
    <row r="650" spans="1:253" s="458" customFormat="1" ht="12" x14ac:dyDescent="0.2">
      <c r="A650" s="444"/>
      <c r="B650" s="445"/>
      <c r="C650" s="479"/>
      <c r="D650" s="479"/>
      <c r="E650" s="479"/>
      <c r="F650" s="479"/>
      <c r="G650" s="446"/>
      <c r="H650" s="445"/>
      <c r="I650" s="445"/>
      <c r="J650" s="445"/>
      <c r="K650" s="447"/>
      <c r="L650" s="448"/>
      <c r="M650" s="448"/>
      <c r="N650" s="445"/>
      <c r="O650" s="449"/>
      <c r="P650" s="450"/>
      <c r="Q650" s="451"/>
      <c r="R650" s="507"/>
      <c r="S650" s="508"/>
      <c r="T650" s="472"/>
      <c r="U650" s="448"/>
      <c r="W650" s="448"/>
    </row>
    <row r="651" spans="1:253" s="458" customFormat="1" ht="12" x14ac:dyDescent="0.2">
      <c r="A651" s="444"/>
      <c r="B651" s="445"/>
      <c r="C651" s="479"/>
      <c r="D651" s="479"/>
      <c r="E651" s="479"/>
      <c r="F651" s="479"/>
      <c r="G651" s="446"/>
      <c r="H651" s="445"/>
      <c r="I651" s="445"/>
      <c r="J651" s="445"/>
      <c r="K651" s="447"/>
      <c r="L651" s="448"/>
      <c r="M651" s="448"/>
      <c r="N651" s="445"/>
      <c r="O651" s="449"/>
      <c r="P651" s="450"/>
      <c r="Q651" s="451"/>
      <c r="R651" s="507"/>
      <c r="S651" s="508"/>
      <c r="T651" s="472"/>
      <c r="U651" s="448"/>
      <c r="W651" s="448"/>
    </row>
    <row r="652" spans="1:253" s="458" customFormat="1" ht="12" x14ac:dyDescent="0.2">
      <c r="A652" s="444"/>
      <c r="B652" s="445"/>
      <c r="C652" s="479"/>
      <c r="D652" s="479"/>
      <c r="E652" s="479"/>
      <c r="F652" s="479"/>
      <c r="G652" s="446"/>
      <c r="H652" s="445"/>
      <c r="I652" s="445"/>
      <c r="J652" s="445"/>
      <c r="K652" s="447"/>
      <c r="L652" s="448"/>
      <c r="M652" s="448"/>
      <c r="N652" s="445"/>
      <c r="O652" s="449"/>
      <c r="P652" s="450"/>
      <c r="Q652" s="451"/>
      <c r="R652" s="507"/>
      <c r="S652" s="508"/>
      <c r="T652" s="472"/>
      <c r="U652" s="448"/>
      <c r="W652" s="448"/>
    </row>
    <row r="653" spans="1:253" s="458" customFormat="1" ht="12" x14ac:dyDescent="0.2">
      <c r="A653" s="444"/>
      <c r="B653" s="445"/>
      <c r="C653" s="479"/>
      <c r="D653" s="479"/>
      <c r="E653" s="479"/>
      <c r="F653" s="479"/>
      <c r="G653" s="446"/>
      <c r="H653" s="445"/>
      <c r="I653" s="445"/>
      <c r="J653" s="445"/>
      <c r="K653" s="447"/>
      <c r="L653" s="448"/>
      <c r="M653" s="448"/>
      <c r="N653" s="445"/>
      <c r="O653" s="449"/>
      <c r="P653" s="450"/>
      <c r="Q653" s="451"/>
      <c r="R653" s="507"/>
      <c r="S653" s="508"/>
      <c r="T653" s="472"/>
      <c r="U653" s="448"/>
      <c r="W653" s="448"/>
    </row>
    <row r="654" spans="1:253" s="458" customFormat="1" ht="12" x14ac:dyDescent="0.2">
      <c r="A654" s="444"/>
      <c r="B654" s="445"/>
      <c r="C654" s="479"/>
      <c r="D654" s="479"/>
      <c r="E654" s="479"/>
      <c r="F654" s="479"/>
      <c r="G654" s="446"/>
      <c r="H654" s="445"/>
      <c r="I654" s="445"/>
      <c r="J654" s="445"/>
      <c r="K654" s="447"/>
      <c r="L654" s="448"/>
      <c r="M654" s="448"/>
      <c r="N654" s="445"/>
      <c r="O654" s="449"/>
      <c r="P654" s="450"/>
      <c r="Q654" s="451"/>
      <c r="R654" s="507"/>
      <c r="S654" s="508"/>
      <c r="T654" s="472"/>
      <c r="U654" s="448"/>
      <c r="W654" s="448"/>
    </row>
    <row r="655" spans="1:253" s="458" customFormat="1" ht="12" x14ac:dyDescent="0.2">
      <c r="A655" s="444"/>
      <c r="B655" s="445"/>
      <c r="C655" s="479"/>
      <c r="D655" s="479"/>
      <c r="E655" s="479"/>
      <c r="F655" s="479"/>
      <c r="G655" s="446"/>
      <c r="H655" s="445"/>
      <c r="I655" s="445"/>
      <c r="J655" s="445"/>
      <c r="K655" s="447"/>
      <c r="L655" s="448"/>
      <c r="M655" s="448"/>
      <c r="N655" s="445"/>
      <c r="O655" s="449"/>
      <c r="P655" s="450"/>
      <c r="Q655" s="451"/>
      <c r="R655" s="507"/>
      <c r="S655" s="508"/>
      <c r="T655" s="472"/>
      <c r="U655" s="448"/>
      <c r="W655" s="448"/>
    </row>
    <row r="656" spans="1:253" s="458" customFormat="1" ht="12" x14ac:dyDescent="0.2">
      <c r="A656" s="444"/>
      <c r="B656" s="445"/>
      <c r="C656" s="479"/>
      <c r="D656" s="479"/>
      <c r="E656" s="479"/>
      <c r="F656" s="479"/>
      <c r="G656" s="446"/>
      <c r="H656" s="445"/>
      <c r="I656" s="445"/>
      <c r="J656" s="445"/>
      <c r="K656" s="447"/>
      <c r="L656" s="448"/>
      <c r="M656" s="448"/>
      <c r="N656" s="445"/>
      <c r="O656" s="449"/>
      <c r="P656" s="450"/>
      <c r="Q656" s="451"/>
      <c r="R656" s="507"/>
      <c r="S656" s="508"/>
      <c r="T656" s="472"/>
      <c r="U656" s="448"/>
      <c r="W656" s="448"/>
    </row>
    <row r="657" spans="1:253" s="458" customFormat="1" ht="12" x14ac:dyDescent="0.2">
      <c r="A657" s="444"/>
      <c r="B657" s="445"/>
      <c r="C657" s="479"/>
      <c r="D657" s="479"/>
      <c r="E657" s="479"/>
      <c r="F657" s="479"/>
      <c r="G657" s="446"/>
      <c r="H657" s="445"/>
      <c r="I657" s="445"/>
      <c r="J657" s="445"/>
      <c r="K657" s="447"/>
      <c r="L657" s="448"/>
      <c r="M657" s="448"/>
      <c r="N657" s="445"/>
      <c r="O657" s="449"/>
      <c r="P657" s="450"/>
      <c r="Q657" s="451"/>
      <c r="R657" s="507"/>
      <c r="S657" s="508"/>
      <c r="T657" s="472"/>
      <c r="U657" s="448"/>
      <c r="W657" s="448"/>
    </row>
    <row r="658" spans="1:253" s="458" customFormat="1" ht="12" x14ac:dyDescent="0.2">
      <c r="A658" s="444"/>
      <c r="B658" s="445"/>
      <c r="C658" s="479"/>
      <c r="D658" s="479"/>
      <c r="E658" s="479"/>
      <c r="F658" s="479"/>
      <c r="G658" s="446"/>
      <c r="H658" s="445"/>
      <c r="I658" s="445"/>
      <c r="J658" s="445"/>
      <c r="K658" s="447"/>
      <c r="L658" s="448"/>
      <c r="M658" s="448"/>
      <c r="N658" s="445"/>
      <c r="O658" s="449"/>
      <c r="P658" s="450"/>
      <c r="Q658" s="451"/>
      <c r="R658" s="507"/>
      <c r="S658" s="508"/>
      <c r="T658" s="472"/>
      <c r="U658" s="448"/>
      <c r="W658" s="448"/>
    </row>
    <row r="659" spans="1:253" s="455" customFormat="1" ht="12" x14ac:dyDescent="0.2">
      <c r="A659" s="444"/>
      <c r="B659" s="445"/>
      <c r="C659" s="479"/>
      <c r="D659" s="479"/>
      <c r="E659" s="479"/>
      <c r="F659" s="479"/>
      <c r="G659" s="446"/>
      <c r="H659" s="445"/>
      <c r="I659" s="445"/>
      <c r="J659" s="445"/>
      <c r="K659" s="447"/>
      <c r="L659" s="448"/>
      <c r="M659" s="448"/>
      <c r="N659" s="445"/>
      <c r="O659" s="449"/>
      <c r="P659" s="450"/>
      <c r="Q659" s="451"/>
      <c r="R659" s="507"/>
      <c r="S659" s="508"/>
      <c r="T659" s="472"/>
      <c r="U659" s="448"/>
      <c r="V659" s="458"/>
      <c r="W659" s="448"/>
      <c r="X659" s="458"/>
      <c r="Y659" s="458"/>
      <c r="Z659" s="458"/>
      <c r="AA659" s="458"/>
      <c r="AB659" s="458"/>
      <c r="AC659" s="458"/>
      <c r="AD659" s="458"/>
      <c r="AE659" s="458"/>
      <c r="AF659" s="458"/>
      <c r="AG659" s="458"/>
      <c r="AH659" s="458"/>
      <c r="AI659" s="458"/>
      <c r="AJ659" s="458"/>
      <c r="AK659" s="458"/>
      <c r="AL659" s="458"/>
      <c r="AM659" s="458"/>
      <c r="AN659" s="458"/>
      <c r="AO659" s="458"/>
      <c r="AP659" s="458"/>
      <c r="AQ659" s="458"/>
      <c r="AR659" s="458"/>
      <c r="AS659" s="458"/>
      <c r="AT659" s="458"/>
      <c r="AU659" s="458"/>
      <c r="AV659" s="458"/>
      <c r="AW659" s="458"/>
      <c r="AX659" s="458"/>
      <c r="AY659" s="458"/>
      <c r="AZ659" s="458"/>
      <c r="BA659" s="458"/>
      <c r="BB659" s="458"/>
      <c r="BC659" s="458"/>
      <c r="BD659" s="458"/>
      <c r="BE659" s="458"/>
      <c r="BF659" s="458"/>
      <c r="BG659" s="458"/>
      <c r="BH659" s="458"/>
      <c r="BI659" s="458"/>
      <c r="BJ659" s="458"/>
      <c r="BK659" s="458"/>
      <c r="BL659" s="458"/>
      <c r="BM659" s="458"/>
      <c r="BN659" s="458"/>
      <c r="BO659" s="458"/>
      <c r="BP659" s="458"/>
      <c r="BQ659" s="458"/>
      <c r="BR659" s="458"/>
      <c r="BS659" s="458"/>
      <c r="BT659" s="458"/>
      <c r="BU659" s="458"/>
      <c r="BV659" s="458"/>
      <c r="BW659" s="458"/>
      <c r="BX659" s="458"/>
      <c r="BY659" s="458"/>
      <c r="BZ659" s="458"/>
      <c r="CA659" s="458"/>
      <c r="CB659" s="458"/>
      <c r="CC659" s="458"/>
      <c r="CD659" s="458"/>
      <c r="CE659" s="458"/>
      <c r="CF659" s="458"/>
      <c r="CG659" s="458"/>
      <c r="CH659" s="458"/>
      <c r="CI659" s="458"/>
      <c r="CJ659" s="458"/>
      <c r="CK659" s="458"/>
      <c r="CL659" s="458"/>
      <c r="CM659" s="458"/>
      <c r="CN659" s="458"/>
      <c r="CO659" s="458"/>
      <c r="CP659" s="458"/>
      <c r="CQ659" s="458"/>
      <c r="CR659" s="458"/>
      <c r="CS659" s="458"/>
      <c r="CT659" s="458"/>
      <c r="CU659" s="458"/>
      <c r="CV659" s="458"/>
      <c r="CW659" s="458"/>
      <c r="CX659" s="458"/>
      <c r="CY659" s="458"/>
      <c r="CZ659" s="458"/>
      <c r="DA659" s="458"/>
      <c r="DB659" s="458"/>
      <c r="DC659" s="458"/>
      <c r="DD659" s="458"/>
      <c r="DE659" s="458"/>
      <c r="DF659" s="458"/>
      <c r="DG659" s="458"/>
      <c r="DH659" s="458"/>
      <c r="DI659" s="458"/>
      <c r="DJ659" s="458"/>
      <c r="DK659" s="458"/>
      <c r="DL659" s="458"/>
      <c r="DM659" s="458"/>
      <c r="DN659" s="458"/>
      <c r="DO659" s="458"/>
      <c r="DP659" s="458"/>
      <c r="DQ659" s="458"/>
      <c r="DR659" s="458"/>
      <c r="DS659" s="458"/>
      <c r="DT659" s="458"/>
      <c r="DU659" s="458"/>
      <c r="DV659" s="458"/>
      <c r="DW659" s="458"/>
      <c r="DX659" s="458"/>
      <c r="DY659" s="458"/>
      <c r="DZ659" s="458"/>
      <c r="EA659" s="458"/>
      <c r="EB659" s="458"/>
      <c r="EC659" s="458"/>
      <c r="ED659" s="458"/>
      <c r="EE659" s="458"/>
      <c r="EF659" s="458"/>
      <c r="EG659" s="458"/>
      <c r="EH659" s="458"/>
      <c r="EI659" s="458"/>
      <c r="EJ659" s="458"/>
      <c r="EK659" s="458"/>
      <c r="EL659" s="458"/>
      <c r="EM659" s="458"/>
      <c r="EN659" s="458"/>
      <c r="EO659" s="458"/>
      <c r="EP659" s="458"/>
      <c r="EQ659" s="458"/>
      <c r="ER659" s="458"/>
      <c r="ES659" s="458"/>
      <c r="ET659" s="458"/>
      <c r="EU659" s="458"/>
      <c r="EV659" s="458"/>
      <c r="EW659" s="458"/>
      <c r="EX659" s="458"/>
      <c r="EY659" s="458"/>
      <c r="EZ659" s="458"/>
      <c r="FA659" s="458"/>
      <c r="FB659" s="458"/>
      <c r="FC659" s="458"/>
      <c r="FD659" s="458"/>
      <c r="FE659" s="458"/>
      <c r="FF659" s="458"/>
      <c r="FG659" s="458"/>
      <c r="FH659" s="458"/>
      <c r="FI659" s="458"/>
      <c r="FJ659" s="458"/>
      <c r="FK659" s="458"/>
      <c r="FL659" s="458"/>
      <c r="FM659" s="458"/>
      <c r="FN659" s="458"/>
      <c r="FO659" s="458"/>
      <c r="FP659" s="458"/>
      <c r="FQ659" s="458"/>
      <c r="FR659" s="458"/>
      <c r="FS659" s="458"/>
      <c r="FT659" s="458"/>
      <c r="FU659" s="458"/>
      <c r="FV659" s="458"/>
      <c r="FW659" s="458"/>
      <c r="FX659" s="458"/>
      <c r="FY659" s="458"/>
      <c r="FZ659" s="458"/>
      <c r="GA659" s="458"/>
      <c r="GB659" s="458"/>
      <c r="GC659" s="458"/>
      <c r="GD659" s="458"/>
      <c r="GE659" s="458"/>
      <c r="GF659" s="458"/>
      <c r="GG659" s="458"/>
      <c r="GH659" s="458"/>
      <c r="GI659" s="458"/>
      <c r="GJ659" s="458"/>
      <c r="GK659" s="458"/>
      <c r="GL659" s="458"/>
      <c r="GM659" s="458"/>
      <c r="GN659" s="458"/>
      <c r="GO659" s="458"/>
      <c r="GP659" s="458"/>
      <c r="GQ659" s="458"/>
      <c r="GR659" s="458"/>
      <c r="GS659" s="458"/>
      <c r="GT659" s="458"/>
      <c r="GU659" s="458"/>
      <c r="GV659" s="458"/>
      <c r="GW659" s="458"/>
      <c r="GX659" s="458"/>
      <c r="GY659" s="458"/>
      <c r="GZ659" s="458"/>
      <c r="HA659" s="458"/>
      <c r="HB659" s="458"/>
      <c r="HC659" s="458"/>
      <c r="HD659" s="458"/>
      <c r="HE659" s="458"/>
      <c r="HF659" s="458"/>
      <c r="HG659" s="458"/>
      <c r="HH659" s="458"/>
      <c r="HI659" s="458"/>
      <c r="HJ659" s="458"/>
      <c r="HK659" s="458"/>
      <c r="HL659" s="458"/>
      <c r="HM659" s="458"/>
      <c r="HN659" s="458"/>
      <c r="HO659" s="458"/>
      <c r="HP659" s="458"/>
      <c r="HQ659" s="458"/>
      <c r="HR659" s="458"/>
      <c r="HS659" s="458"/>
      <c r="HT659" s="458"/>
      <c r="HU659" s="458"/>
      <c r="HV659" s="458"/>
      <c r="HW659" s="458"/>
      <c r="HX659" s="458"/>
      <c r="HY659" s="458"/>
      <c r="HZ659" s="458"/>
      <c r="IA659" s="458"/>
      <c r="IB659" s="458"/>
      <c r="IC659" s="458"/>
      <c r="ID659" s="458"/>
      <c r="IE659" s="458"/>
      <c r="IF659" s="458"/>
      <c r="IG659" s="458"/>
      <c r="IH659" s="458"/>
      <c r="II659" s="458"/>
      <c r="IJ659" s="458"/>
      <c r="IK659" s="458"/>
      <c r="IL659" s="458"/>
      <c r="IM659" s="458"/>
      <c r="IN659" s="458"/>
      <c r="IO659" s="458"/>
      <c r="IP659" s="458"/>
      <c r="IQ659" s="458"/>
      <c r="IR659" s="458"/>
      <c r="IS659" s="458"/>
    </row>
    <row r="660" spans="1:253" s="458" customFormat="1" ht="12" x14ac:dyDescent="0.2">
      <c r="A660" s="444"/>
      <c r="B660" s="445"/>
      <c r="C660" s="479"/>
      <c r="D660" s="479"/>
      <c r="E660" s="479"/>
      <c r="F660" s="479"/>
      <c r="G660" s="446"/>
      <c r="H660" s="445"/>
      <c r="I660" s="445"/>
      <c r="J660" s="445"/>
      <c r="K660" s="447"/>
      <c r="L660" s="448"/>
      <c r="M660" s="448"/>
      <c r="N660" s="445"/>
      <c r="O660" s="449"/>
      <c r="P660" s="450"/>
      <c r="Q660" s="451"/>
      <c r="R660" s="507"/>
      <c r="S660" s="508"/>
      <c r="T660" s="472"/>
      <c r="U660" s="448"/>
      <c r="W660" s="448"/>
    </row>
    <row r="661" spans="1:253" s="458" customFormat="1" ht="12" x14ac:dyDescent="0.2">
      <c r="A661" s="444"/>
      <c r="B661" s="445"/>
      <c r="C661" s="445"/>
      <c r="D661" s="445"/>
      <c r="E661" s="445"/>
      <c r="F661" s="445"/>
      <c r="G661" s="446"/>
      <c r="H661" s="445"/>
      <c r="I661" s="445"/>
      <c r="J661" s="445"/>
      <c r="K661" s="447"/>
      <c r="L661" s="445"/>
      <c r="M661" s="445"/>
      <c r="N661" s="445"/>
      <c r="O661" s="449"/>
      <c r="P661" s="450"/>
      <c r="Q661" s="593"/>
      <c r="R661" s="507"/>
      <c r="S661" s="508"/>
      <c r="T661" s="472"/>
      <c r="U661" s="448"/>
      <c r="W661" s="448"/>
      <c r="X661" s="455"/>
      <c r="Y661" s="455"/>
      <c r="Z661" s="455"/>
      <c r="AA661" s="455"/>
      <c r="AB661" s="455"/>
      <c r="AC661" s="455"/>
      <c r="AD661" s="455"/>
      <c r="AE661" s="455"/>
      <c r="AF661" s="455"/>
      <c r="AG661" s="455"/>
      <c r="AH661" s="455"/>
      <c r="AI661" s="455"/>
      <c r="AJ661" s="455"/>
      <c r="AK661" s="455"/>
      <c r="AL661" s="455"/>
      <c r="AM661" s="455"/>
      <c r="AN661" s="455"/>
      <c r="AO661" s="455"/>
      <c r="AP661" s="455"/>
      <c r="AQ661" s="455"/>
      <c r="AR661" s="455"/>
      <c r="AS661" s="455"/>
      <c r="AT661" s="455"/>
      <c r="AU661" s="455"/>
      <c r="AV661" s="455"/>
      <c r="AW661" s="455"/>
      <c r="AX661" s="455"/>
      <c r="AY661" s="455"/>
      <c r="AZ661" s="455"/>
      <c r="BA661" s="455"/>
      <c r="BB661" s="455"/>
      <c r="BC661" s="455"/>
      <c r="BD661" s="455"/>
      <c r="BE661" s="455"/>
      <c r="BF661" s="455"/>
      <c r="BG661" s="455"/>
      <c r="BH661" s="455"/>
      <c r="BI661" s="455"/>
      <c r="BJ661" s="455"/>
      <c r="BK661" s="455"/>
      <c r="BL661" s="455"/>
      <c r="BM661" s="455"/>
      <c r="BN661" s="455"/>
      <c r="BO661" s="455"/>
      <c r="BP661" s="455"/>
      <c r="BQ661" s="455"/>
      <c r="BR661" s="455"/>
      <c r="BS661" s="455"/>
      <c r="BT661" s="455"/>
      <c r="BU661" s="455"/>
      <c r="BV661" s="455"/>
      <c r="BW661" s="455"/>
      <c r="BX661" s="455"/>
      <c r="BY661" s="455"/>
      <c r="BZ661" s="455"/>
      <c r="CA661" s="455"/>
      <c r="CB661" s="455"/>
      <c r="CC661" s="455"/>
      <c r="CD661" s="455"/>
      <c r="CE661" s="455"/>
      <c r="CF661" s="455"/>
      <c r="CG661" s="455"/>
      <c r="CH661" s="455"/>
      <c r="CI661" s="455"/>
      <c r="CJ661" s="455"/>
      <c r="CK661" s="455"/>
      <c r="CL661" s="455"/>
      <c r="CM661" s="455"/>
      <c r="CN661" s="455"/>
      <c r="CO661" s="455"/>
      <c r="CP661" s="455"/>
      <c r="CQ661" s="455"/>
      <c r="CR661" s="455"/>
      <c r="CS661" s="455"/>
      <c r="CT661" s="455"/>
      <c r="CU661" s="455"/>
      <c r="CV661" s="455"/>
      <c r="CW661" s="455"/>
      <c r="CX661" s="455"/>
      <c r="CY661" s="455"/>
      <c r="CZ661" s="455"/>
      <c r="DA661" s="455"/>
      <c r="DB661" s="455"/>
      <c r="DC661" s="455"/>
      <c r="DD661" s="455"/>
      <c r="DE661" s="455"/>
      <c r="DF661" s="455"/>
      <c r="DG661" s="455"/>
      <c r="DH661" s="455"/>
      <c r="DI661" s="455"/>
      <c r="DJ661" s="455"/>
      <c r="DK661" s="455"/>
      <c r="DL661" s="455"/>
      <c r="DM661" s="455"/>
      <c r="DN661" s="455"/>
      <c r="DO661" s="455"/>
      <c r="DP661" s="455"/>
      <c r="DQ661" s="455"/>
      <c r="DR661" s="455"/>
      <c r="DS661" s="455"/>
      <c r="DT661" s="455"/>
      <c r="DU661" s="455"/>
      <c r="DV661" s="455"/>
      <c r="DW661" s="455"/>
      <c r="DX661" s="455"/>
      <c r="DY661" s="455"/>
      <c r="DZ661" s="455"/>
      <c r="EA661" s="455"/>
      <c r="EB661" s="455"/>
      <c r="EC661" s="455"/>
      <c r="ED661" s="455"/>
      <c r="EE661" s="455"/>
      <c r="EF661" s="455"/>
      <c r="EG661" s="455"/>
      <c r="EH661" s="455"/>
      <c r="EI661" s="455"/>
      <c r="EJ661" s="455"/>
      <c r="EK661" s="455"/>
      <c r="EL661" s="455"/>
      <c r="EM661" s="455"/>
      <c r="EN661" s="455"/>
      <c r="EO661" s="455"/>
      <c r="EP661" s="455"/>
      <c r="EQ661" s="455"/>
      <c r="ER661" s="455"/>
      <c r="ES661" s="455"/>
      <c r="ET661" s="455"/>
      <c r="EU661" s="455"/>
      <c r="EV661" s="455"/>
      <c r="EW661" s="455"/>
      <c r="EX661" s="455"/>
      <c r="EY661" s="455"/>
      <c r="EZ661" s="455"/>
      <c r="FA661" s="455"/>
      <c r="FB661" s="455"/>
      <c r="FC661" s="455"/>
      <c r="FD661" s="455"/>
      <c r="FE661" s="455"/>
      <c r="FF661" s="455"/>
      <c r="FG661" s="455"/>
      <c r="FH661" s="455"/>
      <c r="FI661" s="455"/>
      <c r="FJ661" s="455"/>
      <c r="FK661" s="455"/>
      <c r="FL661" s="455"/>
      <c r="FM661" s="455"/>
      <c r="FN661" s="455"/>
      <c r="FO661" s="455"/>
      <c r="FP661" s="455"/>
      <c r="FQ661" s="455"/>
      <c r="FR661" s="455"/>
      <c r="FS661" s="455"/>
      <c r="FT661" s="455"/>
      <c r="FU661" s="455"/>
      <c r="FV661" s="455"/>
      <c r="FW661" s="455"/>
      <c r="FX661" s="455"/>
      <c r="FY661" s="455"/>
      <c r="FZ661" s="455"/>
      <c r="GA661" s="455"/>
      <c r="GB661" s="455"/>
      <c r="GC661" s="455"/>
      <c r="GD661" s="455"/>
      <c r="GE661" s="455"/>
      <c r="GF661" s="455"/>
      <c r="GG661" s="455"/>
      <c r="GH661" s="455"/>
      <c r="GI661" s="455"/>
      <c r="GJ661" s="455"/>
      <c r="GK661" s="455"/>
      <c r="GL661" s="455"/>
      <c r="GM661" s="455"/>
      <c r="GN661" s="455"/>
      <c r="GO661" s="455"/>
      <c r="GP661" s="455"/>
      <c r="GQ661" s="455"/>
      <c r="GR661" s="455"/>
      <c r="GS661" s="455"/>
      <c r="GT661" s="455"/>
      <c r="GU661" s="455"/>
      <c r="GV661" s="455"/>
      <c r="GW661" s="455"/>
      <c r="GX661" s="455"/>
      <c r="GY661" s="455"/>
      <c r="GZ661" s="455"/>
      <c r="HA661" s="455"/>
      <c r="HB661" s="455"/>
      <c r="HC661" s="455"/>
      <c r="HD661" s="455"/>
      <c r="HE661" s="455"/>
      <c r="HF661" s="455"/>
      <c r="HG661" s="455"/>
      <c r="HH661" s="455"/>
      <c r="HI661" s="455"/>
      <c r="HJ661" s="455"/>
      <c r="HK661" s="455"/>
      <c r="HL661" s="455"/>
      <c r="HM661" s="455"/>
      <c r="HN661" s="455"/>
      <c r="HO661" s="455"/>
      <c r="HP661" s="455"/>
      <c r="HQ661" s="455"/>
      <c r="HR661" s="455"/>
      <c r="HS661" s="455"/>
      <c r="HT661" s="455"/>
      <c r="HU661" s="455"/>
      <c r="HV661" s="455"/>
      <c r="HW661" s="455"/>
      <c r="HX661" s="455"/>
      <c r="HY661" s="455"/>
      <c r="HZ661" s="455"/>
      <c r="IA661" s="455"/>
      <c r="IB661" s="455"/>
      <c r="IC661" s="455"/>
      <c r="ID661" s="455"/>
      <c r="IE661" s="455"/>
      <c r="IF661" s="455"/>
      <c r="IG661" s="455"/>
      <c r="IH661" s="455"/>
      <c r="II661" s="455"/>
      <c r="IJ661" s="455"/>
      <c r="IK661" s="455"/>
      <c r="IL661" s="455"/>
      <c r="IM661" s="455"/>
      <c r="IN661" s="455"/>
      <c r="IO661" s="455"/>
      <c r="IP661" s="455"/>
      <c r="IQ661" s="455"/>
      <c r="IR661" s="455"/>
      <c r="IS661" s="455"/>
    </row>
    <row r="662" spans="1:253" s="458" customFormat="1" ht="12" x14ac:dyDescent="0.2">
      <c r="A662" s="444"/>
      <c r="B662" s="445"/>
      <c r="C662" s="479"/>
      <c r="D662" s="479"/>
      <c r="E662" s="479"/>
      <c r="F662" s="479"/>
      <c r="G662" s="446"/>
      <c r="H662" s="445"/>
      <c r="I662" s="445"/>
      <c r="J662" s="445"/>
      <c r="K662" s="447"/>
      <c r="L662" s="448"/>
      <c r="M662" s="448"/>
      <c r="N662" s="445"/>
      <c r="O662" s="449"/>
      <c r="P662" s="450"/>
      <c r="Q662" s="451"/>
      <c r="R662" s="507"/>
      <c r="S662" s="508"/>
      <c r="T662" s="472"/>
      <c r="U662" s="448"/>
      <c r="V662" s="476"/>
      <c r="W662" s="448"/>
      <c r="X662" s="455"/>
      <c r="Y662" s="455"/>
      <c r="Z662" s="455"/>
      <c r="AA662" s="455"/>
      <c r="AB662" s="455"/>
      <c r="AC662" s="455"/>
      <c r="AD662" s="455"/>
      <c r="AE662" s="455"/>
      <c r="AF662" s="455"/>
      <c r="AG662" s="455"/>
      <c r="AH662" s="455"/>
      <c r="AI662" s="455"/>
      <c r="AJ662" s="455"/>
      <c r="AK662" s="455"/>
      <c r="AL662" s="455"/>
      <c r="AM662" s="455"/>
      <c r="AN662" s="455"/>
      <c r="AO662" s="455"/>
      <c r="AP662" s="455"/>
      <c r="AQ662" s="455"/>
      <c r="AR662" s="455"/>
      <c r="AS662" s="455"/>
      <c r="AT662" s="455"/>
      <c r="AU662" s="455"/>
      <c r="AV662" s="455"/>
      <c r="AW662" s="455"/>
      <c r="AX662" s="455"/>
      <c r="AY662" s="455"/>
      <c r="AZ662" s="455"/>
      <c r="BA662" s="455"/>
      <c r="BB662" s="455"/>
      <c r="BC662" s="455"/>
      <c r="BD662" s="455"/>
      <c r="BE662" s="455"/>
      <c r="BF662" s="455"/>
      <c r="BG662" s="455"/>
      <c r="BH662" s="455"/>
      <c r="BI662" s="455"/>
      <c r="BJ662" s="455"/>
      <c r="BK662" s="455"/>
      <c r="BL662" s="455"/>
      <c r="BM662" s="455"/>
      <c r="BN662" s="455"/>
      <c r="BO662" s="455"/>
      <c r="BP662" s="455"/>
      <c r="BQ662" s="455"/>
      <c r="BR662" s="455"/>
      <c r="BS662" s="455"/>
      <c r="BT662" s="455"/>
      <c r="BU662" s="455"/>
      <c r="BV662" s="455"/>
      <c r="BW662" s="455"/>
      <c r="BX662" s="455"/>
      <c r="BY662" s="455"/>
      <c r="BZ662" s="455"/>
      <c r="CA662" s="455"/>
      <c r="CB662" s="455"/>
      <c r="CC662" s="455"/>
      <c r="CD662" s="455"/>
      <c r="CE662" s="455"/>
      <c r="CF662" s="455"/>
      <c r="CG662" s="455"/>
      <c r="CH662" s="455"/>
      <c r="CI662" s="455"/>
      <c r="CJ662" s="455"/>
      <c r="CK662" s="455"/>
      <c r="CL662" s="455"/>
      <c r="CM662" s="455"/>
      <c r="CN662" s="455"/>
      <c r="CO662" s="455"/>
      <c r="CP662" s="455"/>
      <c r="CQ662" s="455"/>
      <c r="CR662" s="455"/>
      <c r="CS662" s="455"/>
      <c r="CT662" s="455"/>
      <c r="CU662" s="455"/>
      <c r="CV662" s="455"/>
      <c r="CW662" s="455"/>
      <c r="CX662" s="455"/>
      <c r="CY662" s="455"/>
      <c r="CZ662" s="455"/>
      <c r="DA662" s="455"/>
      <c r="DB662" s="455"/>
      <c r="DC662" s="455"/>
      <c r="DD662" s="455"/>
      <c r="DE662" s="455"/>
      <c r="DF662" s="455"/>
      <c r="DG662" s="455"/>
      <c r="DH662" s="455"/>
      <c r="DI662" s="455"/>
      <c r="DJ662" s="455"/>
      <c r="DK662" s="455"/>
      <c r="DL662" s="455"/>
      <c r="DM662" s="455"/>
      <c r="DN662" s="455"/>
      <c r="DO662" s="455"/>
      <c r="DP662" s="455"/>
      <c r="DQ662" s="455"/>
      <c r="DR662" s="455"/>
      <c r="DS662" s="455"/>
      <c r="DT662" s="455"/>
      <c r="DU662" s="455"/>
      <c r="DV662" s="455"/>
      <c r="DW662" s="455"/>
      <c r="DX662" s="455"/>
      <c r="DY662" s="455"/>
      <c r="DZ662" s="455"/>
      <c r="EA662" s="455"/>
      <c r="EB662" s="455"/>
      <c r="EC662" s="455"/>
      <c r="ED662" s="455"/>
      <c r="EE662" s="455"/>
      <c r="EF662" s="455"/>
      <c r="EG662" s="455"/>
      <c r="EH662" s="455"/>
      <c r="EI662" s="455"/>
      <c r="EJ662" s="455"/>
      <c r="EK662" s="455"/>
      <c r="EL662" s="455"/>
      <c r="EM662" s="455"/>
      <c r="EN662" s="455"/>
      <c r="EO662" s="455"/>
      <c r="EP662" s="455"/>
      <c r="EQ662" s="455"/>
      <c r="ER662" s="455"/>
      <c r="ES662" s="455"/>
      <c r="ET662" s="455"/>
      <c r="EU662" s="455"/>
      <c r="EV662" s="455"/>
      <c r="EW662" s="455"/>
      <c r="EX662" s="455"/>
      <c r="EY662" s="455"/>
      <c r="EZ662" s="455"/>
      <c r="FA662" s="455"/>
      <c r="FB662" s="455"/>
      <c r="FC662" s="455"/>
      <c r="FD662" s="455"/>
      <c r="FE662" s="455"/>
      <c r="FF662" s="455"/>
      <c r="FG662" s="455"/>
      <c r="FH662" s="455"/>
      <c r="FI662" s="455"/>
      <c r="FJ662" s="455"/>
      <c r="FK662" s="455"/>
      <c r="FL662" s="455"/>
      <c r="FM662" s="455"/>
      <c r="FN662" s="455"/>
      <c r="FO662" s="455"/>
      <c r="FP662" s="455"/>
      <c r="FQ662" s="455"/>
      <c r="FR662" s="455"/>
      <c r="FS662" s="455"/>
      <c r="FT662" s="455"/>
      <c r="FU662" s="455"/>
      <c r="FV662" s="455"/>
      <c r="FW662" s="455"/>
      <c r="FX662" s="455"/>
      <c r="FY662" s="455"/>
      <c r="FZ662" s="455"/>
      <c r="GA662" s="455"/>
      <c r="GB662" s="455"/>
      <c r="GC662" s="455"/>
      <c r="GD662" s="455"/>
      <c r="GE662" s="455"/>
      <c r="GF662" s="455"/>
      <c r="GG662" s="455"/>
      <c r="GH662" s="455"/>
      <c r="GI662" s="455"/>
      <c r="GJ662" s="455"/>
      <c r="GK662" s="455"/>
      <c r="GL662" s="455"/>
      <c r="GM662" s="455"/>
      <c r="GN662" s="455"/>
      <c r="GO662" s="455"/>
      <c r="GP662" s="455"/>
      <c r="GQ662" s="455"/>
      <c r="GR662" s="455"/>
      <c r="GS662" s="455"/>
      <c r="GT662" s="455"/>
      <c r="GU662" s="455"/>
      <c r="GV662" s="455"/>
      <c r="GW662" s="455"/>
      <c r="GX662" s="455"/>
      <c r="GY662" s="455"/>
      <c r="GZ662" s="455"/>
      <c r="HA662" s="455"/>
      <c r="HB662" s="455"/>
      <c r="HC662" s="455"/>
      <c r="HD662" s="455"/>
      <c r="HE662" s="455"/>
      <c r="HF662" s="455"/>
      <c r="HG662" s="455"/>
      <c r="HH662" s="455"/>
      <c r="HI662" s="455"/>
      <c r="HJ662" s="455"/>
      <c r="HK662" s="455"/>
      <c r="HL662" s="455"/>
      <c r="HM662" s="455"/>
      <c r="HN662" s="455"/>
      <c r="HO662" s="455"/>
      <c r="HP662" s="455"/>
      <c r="HQ662" s="455"/>
      <c r="HR662" s="455"/>
      <c r="HS662" s="455"/>
      <c r="HT662" s="455"/>
      <c r="HU662" s="455"/>
      <c r="HV662" s="455"/>
      <c r="HW662" s="455"/>
      <c r="HX662" s="455"/>
      <c r="HY662" s="455"/>
      <c r="HZ662" s="455"/>
      <c r="IA662" s="455"/>
      <c r="IB662" s="455"/>
      <c r="IC662" s="455"/>
      <c r="ID662" s="455"/>
      <c r="IE662" s="455"/>
      <c r="IF662" s="455"/>
      <c r="IG662" s="455"/>
      <c r="IH662" s="455"/>
      <c r="II662" s="455"/>
      <c r="IJ662" s="455"/>
      <c r="IK662" s="455"/>
      <c r="IL662" s="455"/>
      <c r="IM662" s="455"/>
      <c r="IN662" s="455"/>
      <c r="IO662" s="455"/>
      <c r="IP662" s="455"/>
      <c r="IQ662" s="455"/>
      <c r="IR662" s="455"/>
      <c r="IS662" s="455"/>
    </row>
    <row r="663" spans="1:253" s="458" customFormat="1" ht="12" x14ac:dyDescent="0.2">
      <c r="A663" s="444"/>
      <c r="B663" s="445"/>
      <c r="C663" s="479"/>
      <c r="D663" s="479"/>
      <c r="E663" s="479"/>
      <c r="F663" s="479"/>
      <c r="G663" s="446"/>
      <c r="H663" s="445"/>
      <c r="I663" s="445"/>
      <c r="J663" s="445"/>
      <c r="K663" s="447"/>
      <c r="L663" s="448"/>
      <c r="M663" s="448"/>
      <c r="N663" s="445"/>
      <c r="O663" s="449"/>
      <c r="P663" s="450"/>
      <c r="Q663" s="451"/>
      <c r="R663" s="507"/>
      <c r="S663" s="508"/>
      <c r="T663" s="472"/>
      <c r="U663" s="448"/>
      <c r="W663" s="448"/>
      <c r="X663" s="455"/>
      <c r="Y663" s="455"/>
      <c r="Z663" s="455"/>
      <c r="AA663" s="455"/>
      <c r="AB663" s="455"/>
      <c r="AC663" s="455"/>
      <c r="AD663" s="455"/>
      <c r="AE663" s="455"/>
      <c r="AF663" s="455"/>
      <c r="AG663" s="455"/>
      <c r="AH663" s="455"/>
      <c r="AI663" s="455"/>
      <c r="AJ663" s="455"/>
      <c r="AK663" s="455"/>
      <c r="AL663" s="455"/>
      <c r="AM663" s="455"/>
      <c r="AN663" s="455"/>
      <c r="AO663" s="455"/>
      <c r="AP663" s="455"/>
      <c r="AQ663" s="455"/>
      <c r="AR663" s="455"/>
      <c r="AS663" s="455"/>
      <c r="AT663" s="455"/>
      <c r="AU663" s="455"/>
      <c r="AV663" s="455"/>
      <c r="AW663" s="455"/>
      <c r="AX663" s="455"/>
      <c r="AY663" s="455"/>
      <c r="AZ663" s="455"/>
      <c r="BA663" s="455"/>
      <c r="BB663" s="455"/>
      <c r="BC663" s="455"/>
      <c r="BD663" s="455"/>
      <c r="BE663" s="455"/>
      <c r="BF663" s="455"/>
      <c r="BG663" s="455"/>
      <c r="BH663" s="455"/>
      <c r="BI663" s="455"/>
      <c r="BJ663" s="455"/>
      <c r="BK663" s="455"/>
      <c r="BL663" s="455"/>
      <c r="BM663" s="455"/>
      <c r="BN663" s="455"/>
      <c r="BO663" s="455"/>
      <c r="BP663" s="455"/>
      <c r="BQ663" s="455"/>
      <c r="BR663" s="455"/>
      <c r="BS663" s="455"/>
      <c r="BT663" s="455"/>
      <c r="BU663" s="455"/>
      <c r="BV663" s="455"/>
      <c r="BW663" s="455"/>
      <c r="BX663" s="455"/>
      <c r="BY663" s="455"/>
      <c r="BZ663" s="455"/>
      <c r="CA663" s="455"/>
      <c r="CB663" s="455"/>
      <c r="CC663" s="455"/>
      <c r="CD663" s="455"/>
      <c r="CE663" s="455"/>
      <c r="CF663" s="455"/>
      <c r="CG663" s="455"/>
      <c r="CH663" s="455"/>
      <c r="CI663" s="455"/>
      <c r="CJ663" s="455"/>
      <c r="CK663" s="455"/>
      <c r="CL663" s="455"/>
      <c r="CM663" s="455"/>
      <c r="CN663" s="455"/>
      <c r="CO663" s="455"/>
      <c r="CP663" s="455"/>
      <c r="CQ663" s="455"/>
      <c r="CR663" s="455"/>
      <c r="CS663" s="455"/>
      <c r="CT663" s="455"/>
      <c r="CU663" s="455"/>
      <c r="CV663" s="455"/>
      <c r="CW663" s="455"/>
      <c r="CX663" s="455"/>
      <c r="CY663" s="455"/>
      <c r="CZ663" s="455"/>
      <c r="DA663" s="455"/>
      <c r="DB663" s="455"/>
      <c r="DC663" s="455"/>
      <c r="DD663" s="455"/>
      <c r="DE663" s="455"/>
      <c r="DF663" s="455"/>
      <c r="DG663" s="455"/>
      <c r="DH663" s="455"/>
      <c r="DI663" s="455"/>
      <c r="DJ663" s="455"/>
      <c r="DK663" s="455"/>
      <c r="DL663" s="455"/>
      <c r="DM663" s="455"/>
      <c r="DN663" s="455"/>
      <c r="DO663" s="455"/>
      <c r="DP663" s="455"/>
      <c r="DQ663" s="455"/>
      <c r="DR663" s="455"/>
      <c r="DS663" s="455"/>
      <c r="DT663" s="455"/>
      <c r="DU663" s="455"/>
      <c r="DV663" s="455"/>
      <c r="DW663" s="455"/>
      <c r="DX663" s="455"/>
      <c r="DY663" s="455"/>
      <c r="DZ663" s="455"/>
      <c r="EA663" s="455"/>
      <c r="EB663" s="455"/>
      <c r="EC663" s="455"/>
      <c r="ED663" s="455"/>
      <c r="EE663" s="455"/>
      <c r="EF663" s="455"/>
      <c r="EG663" s="455"/>
      <c r="EH663" s="455"/>
      <c r="EI663" s="455"/>
      <c r="EJ663" s="455"/>
      <c r="EK663" s="455"/>
      <c r="EL663" s="455"/>
      <c r="EM663" s="455"/>
      <c r="EN663" s="455"/>
      <c r="EO663" s="455"/>
      <c r="EP663" s="455"/>
      <c r="EQ663" s="455"/>
      <c r="ER663" s="455"/>
      <c r="ES663" s="455"/>
      <c r="ET663" s="455"/>
      <c r="EU663" s="455"/>
      <c r="EV663" s="455"/>
      <c r="EW663" s="455"/>
      <c r="EX663" s="455"/>
      <c r="EY663" s="455"/>
      <c r="EZ663" s="455"/>
      <c r="FA663" s="455"/>
      <c r="FB663" s="455"/>
      <c r="FC663" s="455"/>
      <c r="FD663" s="455"/>
      <c r="FE663" s="455"/>
      <c r="FF663" s="455"/>
      <c r="FG663" s="455"/>
      <c r="FH663" s="455"/>
      <c r="FI663" s="455"/>
      <c r="FJ663" s="455"/>
      <c r="FK663" s="455"/>
      <c r="FL663" s="455"/>
      <c r="FM663" s="455"/>
      <c r="FN663" s="455"/>
      <c r="FO663" s="455"/>
      <c r="FP663" s="455"/>
      <c r="FQ663" s="455"/>
      <c r="FR663" s="455"/>
      <c r="FS663" s="455"/>
      <c r="FT663" s="455"/>
      <c r="FU663" s="455"/>
      <c r="FV663" s="455"/>
      <c r="FW663" s="455"/>
      <c r="FX663" s="455"/>
      <c r="FY663" s="455"/>
      <c r="FZ663" s="455"/>
      <c r="GA663" s="455"/>
      <c r="GB663" s="455"/>
      <c r="GC663" s="455"/>
      <c r="GD663" s="455"/>
      <c r="GE663" s="455"/>
      <c r="GF663" s="455"/>
      <c r="GG663" s="455"/>
      <c r="GH663" s="455"/>
      <c r="GI663" s="455"/>
      <c r="GJ663" s="455"/>
      <c r="GK663" s="455"/>
      <c r="GL663" s="455"/>
      <c r="GM663" s="455"/>
      <c r="GN663" s="455"/>
      <c r="GO663" s="455"/>
      <c r="GP663" s="455"/>
      <c r="GQ663" s="455"/>
      <c r="GR663" s="455"/>
      <c r="GS663" s="455"/>
      <c r="GT663" s="455"/>
      <c r="GU663" s="455"/>
      <c r="GV663" s="455"/>
      <c r="GW663" s="455"/>
      <c r="GX663" s="455"/>
      <c r="GY663" s="455"/>
      <c r="GZ663" s="455"/>
      <c r="HA663" s="455"/>
      <c r="HB663" s="455"/>
      <c r="HC663" s="455"/>
      <c r="HD663" s="455"/>
      <c r="HE663" s="455"/>
      <c r="HF663" s="455"/>
      <c r="HG663" s="455"/>
      <c r="HH663" s="455"/>
      <c r="HI663" s="455"/>
      <c r="HJ663" s="455"/>
      <c r="HK663" s="455"/>
      <c r="HL663" s="455"/>
      <c r="HM663" s="455"/>
      <c r="HN663" s="455"/>
      <c r="HO663" s="455"/>
      <c r="HP663" s="455"/>
      <c r="HQ663" s="455"/>
      <c r="HR663" s="455"/>
      <c r="HS663" s="455"/>
      <c r="HT663" s="455"/>
      <c r="HU663" s="455"/>
      <c r="HV663" s="455"/>
      <c r="HW663" s="455"/>
      <c r="HX663" s="455"/>
      <c r="HY663" s="455"/>
      <c r="HZ663" s="455"/>
      <c r="IA663" s="455"/>
      <c r="IB663" s="455"/>
      <c r="IC663" s="455"/>
      <c r="ID663" s="455"/>
      <c r="IE663" s="455"/>
      <c r="IF663" s="455"/>
      <c r="IG663" s="455"/>
      <c r="IH663" s="455"/>
      <c r="II663" s="455"/>
      <c r="IJ663" s="455"/>
      <c r="IK663" s="455"/>
      <c r="IL663" s="455"/>
      <c r="IM663" s="455"/>
      <c r="IN663" s="455"/>
      <c r="IO663" s="455"/>
      <c r="IP663" s="455"/>
      <c r="IQ663" s="455"/>
      <c r="IR663" s="455"/>
      <c r="IS663" s="455"/>
    </row>
    <row r="664" spans="1:253" s="458" customFormat="1" ht="12" x14ac:dyDescent="0.2">
      <c r="A664" s="444"/>
      <c r="B664" s="445"/>
      <c r="C664" s="479"/>
      <c r="D664" s="479"/>
      <c r="E664" s="479"/>
      <c r="F664" s="479"/>
      <c r="G664" s="446"/>
      <c r="H664" s="445"/>
      <c r="I664" s="445"/>
      <c r="J664" s="445"/>
      <c r="K664" s="447"/>
      <c r="L664" s="448"/>
      <c r="M664" s="448"/>
      <c r="N664" s="445"/>
      <c r="O664" s="449"/>
      <c r="P664" s="450"/>
      <c r="Q664" s="451"/>
      <c r="R664" s="507"/>
      <c r="S664" s="508"/>
      <c r="T664" s="472"/>
      <c r="U664" s="448"/>
      <c r="W664" s="448"/>
      <c r="X664" s="455"/>
      <c r="Y664" s="455"/>
      <c r="Z664" s="455"/>
      <c r="AA664" s="455"/>
      <c r="AB664" s="455"/>
      <c r="AC664" s="455"/>
      <c r="AD664" s="455"/>
      <c r="AE664" s="455"/>
      <c r="AF664" s="455"/>
      <c r="AG664" s="455"/>
      <c r="AH664" s="455"/>
      <c r="AI664" s="455"/>
      <c r="AJ664" s="455"/>
      <c r="AK664" s="455"/>
      <c r="AL664" s="455"/>
      <c r="AM664" s="455"/>
      <c r="AN664" s="455"/>
      <c r="AO664" s="455"/>
      <c r="AP664" s="455"/>
      <c r="AQ664" s="455"/>
      <c r="AR664" s="455"/>
      <c r="AS664" s="455"/>
      <c r="AT664" s="455"/>
      <c r="AU664" s="455"/>
      <c r="AV664" s="455"/>
      <c r="AW664" s="455"/>
      <c r="AX664" s="455"/>
      <c r="AY664" s="455"/>
      <c r="AZ664" s="455"/>
      <c r="BA664" s="455"/>
      <c r="BB664" s="455"/>
      <c r="BC664" s="455"/>
      <c r="BD664" s="455"/>
      <c r="BE664" s="455"/>
      <c r="BF664" s="455"/>
      <c r="BG664" s="455"/>
      <c r="BH664" s="455"/>
      <c r="BI664" s="455"/>
      <c r="BJ664" s="455"/>
      <c r="BK664" s="455"/>
      <c r="BL664" s="455"/>
      <c r="BM664" s="455"/>
      <c r="BN664" s="455"/>
      <c r="BO664" s="455"/>
      <c r="BP664" s="455"/>
      <c r="BQ664" s="455"/>
      <c r="BR664" s="455"/>
      <c r="BS664" s="455"/>
      <c r="BT664" s="455"/>
      <c r="BU664" s="455"/>
      <c r="BV664" s="455"/>
      <c r="BW664" s="455"/>
      <c r="BX664" s="455"/>
      <c r="BY664" s="455"/>
      <c r="BZ664" s="455"/>
      <c r="CA664" s="455"/>
      <c r="CB664" s="455"/>
      <c r="CC664" s="455"/>
      <c r="CD664" s="455"/>
      <c r="CE664" s="455"/>
      <c r="CF664" s="455"/>
      <c r="CG664" s="455"/>
      <c r="CH664" s="455"/>
      <c r="CI664" s="455"/>
      <c r="CJ664" s="455"/>
      <c r="CK664" s="455"/>
      <c r="CL664" s="455"/>
      <c r="CM664" s="455"/>
      <c r="CN664" s="455"/>
      <c r="CO664" s="455"/>
      <c r="CP664" s="455"/>
      <c r="CQ664" s="455"/>
      <c r="CR664" s="455"/>
      <c r="CS664" s="455"/>
      <c r="CT664" s="455"/>
      <c r="CU664" s="455"/>
      <c r="CV664" s="455"/>
      <c r="CW664" s="455"/>
      <c r="CX664" s="455"/>
      <c r="CY664" s="455"/>
      <c r="CZ664" s="455"/>
      <c r="DA664" s="455"/>
      <c r="DB664" s="455"/>
      <c r="DC664" s="455"/>
      <c r="DD664" s="455"/>
      <c r="DE664" s="455"/>
      <c r="DF664" s="455"/>
      <c r="DG664" s="455"/>
      <c r="DH664" s="455"/>
      <c r="DI664" s="455"/>
      <c r="DJ664" s="455"/>
      <c r="DK664" s="455"/>
      <c r="DL664" s="455"/>
      <c r="DM664" s="455"/>
      <c r="DN664" s="455"/>
      <c r="DO664" s="455"/>
      <c r="DP664" s="455"/>
      <c r="DQ664" s="455"/>
      <c r="DR664" s="455"/>
      <c r="DS664" s="455"/>
      <c r="DT664" s="455"/>
      <c r="DU664" s="455"/>
      <c r="DV664" s="455"/>
      <c r="DW664" s="455"/>
      <c r="DX664" s="455"/>
      <c r="DY664" s="455"/>
      <c r="DZ664" s="455"/>
      <c r="EA664" s="455"/>
      <c r="EB664" s="455"/>
      <c r="EC664" s="455"/>
      <c r="ED664" s="455"/>
      <c r="EE664" s="455"/>
      <c r="EF664" s="455"/>
      <c r="EG664" s="455"/>
      <c r="EH664" s="455"/>
      <c r="EI664" s="455"/>
      <c r="EJ664" s="455"/>
      <c r="EK664" s="455"/>
      <c r="EL664" s="455"/>
      <c r="EM664" s="455"/>
      <c r="EN664" s="455"/>
      <c r="EO664" s="455"/>
      <c r="EP664" s="455"/>
      <c r="EQ664" s="455"/>
      <c r="ER664" s="455"/>
      <c r="ES664" s="455"/>
      <c r="ET664" s="455"/>
      <c r="EU664" s="455"/>
      <c r="EV664" s="455"/>
      <c r="EW664" s="455"/>
      <c r="EX664" s="455"/>
      <c r="EY664" s="455"/>
      <c r="EZ664" s="455"/>
      <c r="FA664" s="455"/>
      <c r="FB664" s="455"/>
      <c r="FC664" s="455"/>
      <c r="FD664" s="455"/>
      <c r="FE664" s="455"/>
      <c r="FF664" s="455"/>
      <c r="FG664" s="455"/>
      <c r="FH664" s="455"/>
      <c r="FI664" s="455"/>
      <c r="FJ664" s="455"/>
      <c r="FK664" s="455"/>
      <c r="FL664" s="455"/>
      <c r="FM664" s="455"/>
      <c r="FN664" s="455"/>
      <c r="FO664" s="455"/>
      <c r="FP664" s="455"/>
      <c r="FQ664" s="455"/>
      <c r="FR664" s="455"/>
      <c r="FS664" s="455"/>
      <c r="FT664" s="455"/>
      <c r="FU664" s="455"/>
      <c r="FV664" s="455"/>
      <c r="FW664" s="455"/>
      <c r="FX664" s="455"/>
      <c r="FY664" s="455"/>
      <c r="FZ664" s="455"/>
      <c r="GA664" s="455"/>
      <c r="GB664" s="455"/>
      <c r="GC664" s="455"/>
      <c r="GD664" s="455"/>
      <c r="GE664" s="455"/>
      <c r="GF664" s="455"/>
      <c r="GG664" s="455"/>
      <c r="GH664" s="455"/>
      <c r="GI664" s="455"/>
      <c r="GJ664" s="455"/>
      <c r="GK664" s="455"/>
      <c r="GL664" s="455"/>
      <c r="GM664" s="455"/>
      <c r="GN664" s="455"/>
      <c r="GO664" s="455"/>
      <c r="GP664" s="455"/>
      <c r="GQ664" s="455"/>
      <c r="GR664" s="455"/>
      <c r="GS664" s="455"/>
      <c r="GT664" s="455"/>
      <c r="GU664" s="455"/>
      <c r="GV664" s="455"/>
      <c r="GW664" s="455"/>
      <c r="GX664" s="455"/>
      <c r="GY664" s="455"/>
      <c r="GZ664" s="455"/>
      <c r="HA664" s="455"/>
      <c r="HB664" s="455"/>
      <c r="HC664" s="455"/>
      <c r="HD664" s="455"/>
      <c r="HE664" s="455"/>
      <c r="HF664" s="455"/>
      <c r="HG664" s="455"/>
      <c r="HH664" s="455"/>
      <c r="HI664" s="455"/>
      <c r="HJ664" s="455"/>
      <c r="HK664" s="455"/>
      <c r="HL664" s="455"/>
      <c r="HM664" s="455"/>
      <c r="HN664" s="455"/>
      <c r="HO664" s="455"/>
      <c r="HP664" s="455"/>
      <c r="HQ664" s="455"/>
      <c r="HR664" s="455"/>
      <c r="HS664" s="455"/>
      <c r="HT664" s="455"/>
      <c r="HU664" s="455"/>
      <c r="HV664" s="455"/>
      <c r="HW664" s="455"/>
      <c r="HX664" s="455"/>
      <c r="HY664" s="455"/>
      <c r="HZ664" s="455"/>
      <c r="IA664" s="455"/>
      <c r="IB664" s="455"/>
      <c r="IC664" s="455"/>
      <c r="ID664" s="455"/>
      <c r="IE664" s="455"/>
      <c r="IF664" s="455"/>
      <c r="IG664" s="455"/>
      <c r="IH664" s="455"/>
      <c r="II664" s="455"/>
      <c r="IJ664" s="455"/>
      <c r="IK664" s="455"/>
      <c r="IL664" s="455"/>
      <c r="IM664" s="455"/>
      <c r="IN664" s="455"/>
      <c r="IO664" s="455"/>
      <c r="IP664" s="455"/>
      <c r="IQ664" s="455"/>
      <c r="IR664" s="455"/>
      <c r="IS664" s="455"/>
    </row>
    <row r="665" spans="1:253" s="458" customFormat="1" ht="12" x14ac:dyDescent="0.2">
      <c r="A665" s="444"/>
      <c r="B665" s="445"/>
      <c r="C665" s="479"/>
      <c r="D665" s="479"/>
      <c r="E665" s="479"/>
      <c r="F665" s="479"/>
      <c r="G665" s="446"/>
      <c r="H665" s="445"/>
      <c r="I665" s="445"/>
      <c r="J665" s="445"/>
      <c r="K665" s="447"/>
      <c r="L665" s="448"/>
      <c r="M665" s="448"/>
      <c r="N665" s="445"/>
      <c r="O665" s="449"/>
      <c r="P665" s="450"/>
      <c r="Q665" s="451"/>
      <c r="R665" s="507"/>
      <c r="S665" s="508"/>
      <c r="T665" s="472"/>
      <c r="U665" s="448"/>
      <c r="W665" s="448"/>
    </row>
    <row r="666" spans="1:253" s="458" customFormat="1" ht="12" x14ac:dyDescent="0.2">
      <c r="A666" s="444"/>
      <c r="B666" s="445"/>
      <c r="C666" s="479"/>
      <c r="D666" s="479"/>
      <c r="E666" s="479"/>
      <c r="F666" s="479"/>
      <c r="G666" s="446"/>
      <c r="H666" s="445"/>
      <c r="I666" s="445"/>
      <c r="J666" s="445"/>
      <c r="K666" s="447"/>
      <c r="L666" s="448"/>
      <c r="M666" s="448"/>
      <c r="N666" s="445"/>
      <c r="O666" s="449"/>
      <c r="P666" s="450"/>
      <c r="Q666" s="451"/>
      <c r="R666" s="507"/>
      <c r="S666" s="508"/>
      <c r="T666" s="472"/>
      <c r="U666" s="448"/>
      <c r="W666" s="448"/>
    </row>
    <row r="667" spans="1:253" s="458" customFormat="1" ht="12" x14ac:dyDescent="0.2">
      <c r="A667" s="444"/>
      <c r="B667" s="445"/>
      <c r="C667" s="479"/>
      <c r="D667" s="479"/>
      <c r="E667" s="479"/>
      <c r="F667" s="479"/>
      <c r="G667" s="446"/>
      <c r="H667" s="445"/>
      <c r="I667" s="445"/>
      <c r="J667" s="445"/>
      <c r="K667" s="447"/>
      <c r="L667" s="448"/>
      <c r="M667" s="448"/>
      <c r="N667" s="445"/>
      <c r="O667" s="449"/>
      <c r="P667" s="450"/>
      <c r="Q667" s="451"/>
      <c r="R667" s="507"/>
      <c r="S667" s="508"/>
      <c r="T667" s="472"/>
      <c r="U667" s="448"/>
      <c r="W667" s="448"/>
    </row>
    <row r="668" spans="1:253" s="458" customFormat="1" ht="12" x14ac:dyDescent="0.2">
      <c r="A668" s="444"/>
      <c r="B668" s="445"/>
      <c r="C668" s="479"/>
      <c r="D668" s="479"/>
      <c r="E668" s="479"/>
      <c r="F668" s="479"/>
      <c r="G668" s="446"/>
      <c r="H668" s="445"/>
      <c r="I668" s="445"/>
      <c r="J668" s="445"/>
      <c r="K668" s="447"/>
      <c r="L668" s="448"/>
      <c r="M668" s="448"/>
      <c r="N668" s="445"/>
      <c r="O668" s="449"/>
      <c r="P668" s="450"/>
      <c r="Q668" s="451"/>
      <c r="R668" s="507"/>
      <c r="S668" s="508"/>
      <c r="T668" s="472"/>
      <c r="U668" s="448"/>
      <c r="W668" s="448"/>
    </row>
    <row r="669" spans="1:253" s="458" customFormat="1" ht="12" x14ac:dyDescent="0.2">
      <c r="A669" s="709"/>
      <c r="B669" s="709"/>
      <c r="C669" s="718"/>
      <c r="D669" s="718"/>
      <c r="E669" s="718"/>
      <c r="F669" s="718"/>
      <c r="G669" s="719"/>
      <c r="H669" s="709"/>
      <c r="I669" s="709"/>
      <c r="J669" s="709"/>
      <c r="K669" s="720"/>
      <c r="L669" s="721"/>
      <c r="M669" s="721"/>
      <c r="N669" s="709"/>
      <c r="O669" s="722"/>
      <c r="P669" s="723"/>
      <c r="Q669" s="724"/>
      <c r="R669" s="725"/>
      <c r="S669" s="726"/>
      <c r="T669" s="472"/>
      <c r="U669" s="534"/>
      <c r="W669" s="534"/>
      <c r="X669" s="466"/>
      <c r="Y669" s="466"/>
      <c r="Z669" s="466"/>
      <c r="AA669" s="466"/>
      <c r="AB669" s="466"/>
      <c r="AC669" s="466"/>
      <c r="AD669" s="466"/>
      <c r="AE669" s="466"/>
      <c r="AF669" s="466"/>
      <c r="AG669" s="466"/>
      <c r="AH669" s="466"/>
      <c r="AI669" s="466"/>
      <c r="AJ669" s="466"/>
      <c r="AK669" s="466"/>
      <c r="AL669" s="466"/>
      <c r="AM669" s="466"/>
      <c r="AN669" s="466"/>
      <c r="AO669" s="466"/>
      <c r="AP669" s="466"/>
      <c r="AQ669" s="466"/>
      <c r="AR669" s="466"/>
      <c r="AS669" s="466"/>
      <c r="AT669" s="466"/>
      <c r="AU669" s="466"/>
      <c r="AV669" s="466"/>
      <c r="AW669" s="466"/>
      <c r="AX669" s="466"/>
      <c r="AY669" s="466"/>
      <c r="AZ669" s="466"/>
      <c r="BA669" s="466"/>
      <c r="BB669" s="466"/>
      <c r="BC669" s="466"/>
      <c r="BD669" s="466"/>
      <c r="BE669" s="466"/>
      <c r="BF669" s="466"/>
      <c r="BG669" s="466"/>
      <c r="BH669" s="466"/>
      <c r="BI669" s="466"/>
      <c r="BJ669" s="466"/>
      <c r="BK669" s="466"/>
      <c r="BL669" s="466"/>
      <c r="BM669" s="466"/>
      <c r="BN669" s="466"/>
      <c r="BO669" s="466"/>
      <c r="BP669" s="466"/>
      <c r="BQ669" s="466"/>
      <c r="BR669" s="466"/>
      <c r="BS669" s="466"/>
      <c r="BT669" s="466"/>
      <c r="BU669" s="466"/>
      <c r="BV669" s="466"/>
      <c r="BW669" s="466"/>
      <c r="BX669" s="466"/>
      <c r="BY669" s="466"/>
      <c r="BZ669" s="466"/>
      <c r="CA669" s="466"/>
      <c r="CB669" s="466"/>
      <c r="CC669" s="466"/>
      <c r="CD669" s="466"/>
      <c r="CE669" s="466"/>
      <c r="CF669" s="466"/>
      <c r="CG669" s="466"/>
      <c r="CH669" s="466"/>
      <c r="CI669" s="466"/>
      <c r="CJ669" s="466"/>
      <c r="CK669" s="466"/>
      <c r="CL669" s="466"/>
      <c r="CM669" s="466"/>
      <c r="CN669" s="466"/>
      <c r="CO669" s="466"/>
      <c r="CP669" s="466"/>
      <c r="CQ669" s="466"/>
      <c r="CR669" s="466"/>
      <c r="CS669" s="466"/>
      <c r="CT669" s="466"/>
      <c r="CU669" s="466"/>
      <c r="CV669" s="466"/>
      <c r="CW669" s="466"/>
      <c r="CX669" s="466"/>
      <c r="CY669" s="466"/>
      <c r="CZ669" s="466"/>
      <c r="DA669" s="466"/>
      <c r="DB669" s="466"/>
      <c r="DC669" s="466"/>
      <c r="DD669" s="466"/>
      <c r="DE669" s="466"/>
      <c r="DF669" s="466"/>
      <c r="DG669" s="466"/>
      <c r="DH669" s="466"/>
      <c r="DI669" s="466"/>
      <c r="DJ669" s="466"/>
      <c r="DK669" s="466"/>
      <c r="DL669" s="466"/>
      <c r="DM669" s="466"/>
      <c r="DN669" s="466"/>
      <c r="DO669" s="466"/>
      <c r="DP669" s="466"/>
      <c r="DQ669" s="466"/>
      <c r="DR669" s="466"/>
      <c r="DS669" s="466"/>
      <c r="DT669" s="466"/>
      <c r="DU669" s="466"/>
      <c r="DV669" s="466"/>
      <c r="DW669" s="466"/>
      <c r="DX669" s="466"/>
      <c r="DY669" s="466"/>
      <c r="DZ669" s="466"/>
      <c r="EA669" s="466"/>
      <c r="EB669" s="466"/>
      <c r="EC669" s="466"/>
      <c r="ED669" s="466"/>
      <c r="EE669" s="466"/>
      <c r="EF669" s="466"/>
      <c r="EG669" s="466"/>
      <c r="EH669" s="466"/>
      <c r="EI669" s="466"/>
      <c r="EJ669" s="466"/>
      <c r="EK669" s="466"/>
      <c r="EL669" s="466"/>
      <c r="EM669" s="466"/>
      <c r="EN669" s="466"/>
      <c r="EO669" s="466"/>
      <c r="EP669" s="466"/>
      <c r="EQ669" s="466"/>
      <c r="ER669" s="466"/>
      <c r="ES669" s="466"/>
      <c r="ET669" s="466"/>
      <c r="EU669" s="466"/>
      <c r="EV669" s="466"/>
      <c r="EW669" s="466"/>
      <c r="EX669" s="466"/>
      <c r="EY669" s="466"/>
      <c r="EZ669" s="466"/>
      <c r="FA669" s="466"/>
      <c r="FB669" s="466"/>
      <c r="FC669" s="466"/>
      <c r="FD669" s="466"/>
      <c r="FE669" s="466"/>
      <c r="FF669" s="466"/>
      <c r="FG669" s="466"/>
      <c r="FH669" s="466"/>
      <c r="FI669" s="466"/>
      <c r="FJ669" s="466"/>
      <c r="FK669" s="466"/>
      <c r="FL669" s="466"/>
      <c r="FM669" s="466"/>
      <c r="FN669" s="466"/>
      <c r="FO669" s="466"/>
      <c r="FP669" s="466"/>
      <c r="FQ669" s="466"/>
      <c r="FR669" s="466"/>
      <c r="FS669" s="466"/>
      <c r="FT669" s="466"/>
      <c r="FU669" s="466"/>
      <c r="FV669" s="466"/>
      <c r="FW669" s="466"/>
      <c r="FX669" s="466"/>
      <c r="FY669" s="466"/>
      <c r="FZ669" s="466"/>
      <c r="GA669" s="466"/>
      <c r="GB669" s="466"/>
      <c r="GC669" s="466"/>
      <c r="GD669" s="466"/>
      <c r="GE669" s="466"/>
      <c r="GF669" s="466"/>
      <c r="GG669" s="466"/>
      <c r="GH669" s="466"/>
      <c r="GI669" s="466"/>
      <c r="GJ669" s="466"/>
      <c r="GK669" s="466"/>
      <c r="GL669" s="466"/>
      <c r="GM669" s="466"/>
      <c r="GN669" s="466"/>
      <c r="GO669" s="466"/>
      <c r="GP669" s="466"/>
      <c r="GQ669" s="466"/>
      <c r="GR669" s="466"/>
      <c r="GS669" s="466"/>
      <c r="GT669" s="466"/>
      <c r="GU669" s="466"/>
      <c r="GV669" s="466"/>
      <c r="GW669" s="466"/>
      <c r="GX669" s="466"/>
      <c r="GY669" s="466"/>
      <c r="GZ669" s="466"/>
      <c r="HA669" s="466"/>
      <c r="HB669" s="466"/>
      <c r="HC669" s="466"/>
      <c r="HD669" s="466"/>
      <c r="HE669" s="466"/>
      <c r="HF669" s="466"/>
      <c r="HG669" s="466"/>
      <c r="HH669" s="466"/>
      <c r="HI669" s="466"/>
      <c r="HJ669" s="466"/>
      <c r="HK669" s="466"/>
      <c r="HL669" s="466"/>
      <c r="HM669" s="466"/>
      <c r="HN669" s="466"/>
      <c r="HO669" s="466"/>
      <c r="HP669" s="466"/>
      <c r="HQ669" s="466"/>
      <c r="HR669" s="466"/>
      <c r="HS669" s="466"/>
      <c r="HT669" s="466"/>
      <c r="HU669" s="466"/>
      <c r="HV669" s="466"/>
      <c r="HW669" s="466"/>
      <c r="HX669" s="466"/>
      <c r="HY669" s="466"/>
      <c r="HZ669" s="466"/>
      <c r="IA669" s="466"/>
      <c r="IB669" s="466"/>
      <c r="IC669" s="466"/>
      <c r="ID669" s="466"/>
      <c r="IE669" s="466"/>
      <c r="IF669" s="466"/>
      <c r="IG669" s="466"/>
      <c r="IH669" s="466"/>
      <c r="II669" s="466"/>
      <c r="IJ669" s="466"/>
      <c r="IK669" s="466"/>
      <c r="IL669" s="466"/>
      <c r="IM669" s="466"/>
      <c r="IN669" s="466"/>
      <c r="IO669" s="466"/>
      <c r="IP669" s="466"/>
      <c r="IQ669" s="466"/>
      <c r="IR669" s="466"/>
      <c r="IS669" s="466"/>
    </row>
    <row r="670" spans="1:253" s="458" customFormat="1" ht="12" x14ac:dyDescent="0.2">
      <c r="A670" s="444"/>
      <c r="B670" s="445"/>
      <c r="C670" s="479"/>
      <c r="D670" s="479"/>
      <c r="E670" s="479"/>
      <c r="F670" s="479"/>
      <c r="G670" s="446"/>
      <c r="H670" s="445"/>
      <c r="I670" s="445"/>
      <c r="J670" s="445"/>
      <c r="K670" s="447"/>
      <c r="L670" s="448"/>
      <c r="M670" s="448"/>
      <c r="N670" s="445"/>
      <c r="O670" s="449"/>
      <c r="P670" s="450"/>
      <c r="Q670" s="451"/>
      <c r="R670" s="507"/>
      <c r="S670" s="508"/>
      <c r="T670" s="472"/>
      <c r="U670" s="448"/>
      <c r="V670" s="468"/>
      <c r="W670" s="448"/>
    </row>
    <row r="671" spans="1:253" s="458" customFormat="1" ht="12" x14ac:dyDescent="0.2">
      <c r="A671" s="444"/>
      <c r="B671" s="445"/>
      <c r="C671" s="479"/>
      <c r="D671" s="479"/>
      <c r="E671" s="479"/>
      <c r="F671" s="479"/>
      <c r="G671" s="446"/>
      <c r="H671" s="445"/>
      <c r="I671" s="445"/>
      <c r="J671" s="445"/>
      <c r="K671" s="447"/>
      <c r="L671" s="448"/>
      <c r="M671" s="448"/>
      <c r="N671" s="445"/>
      <c r="O671" s="449"/>
      <c r="P671" s="450"/>
      <c r="Q671" s="451"/>
      <c r="R671" s="507"/>
      <c r="S671" s="508"/>
      <c r="T671" s="472"/>
      <c r="U671" s="448"/>
      <c r="W671" s="448"/>
    </row>
    <row r="672" spans="1:253" s="458" customFormat="1" ht="12" x14ac:dyDescent="0.2">
      <c r="A672" s="444"/>
      <c r="B672" s="445"/>
      <c r="C672" s="479"/>
      <c r="D672" s="479"/>
      <c r="E672" s="479"/>
      <c r="F672" s="479"/>
      <c r="G672" s="446"/>
      <c r="H672" s="445"/>
      <c r="I672" s="445"/>
      <c r="J672" s="445"/>
      <c r="K672" s="447"/>
      <c r="L672" s="448"/>
      <c r="M672" s="448"/>
      <c r="N672" s="445"/>
      <c r="O672" s="449"/>
      <c r="P672" s="450"/>
      <c r="Q672" s="451"/>
      <c r="R672" s="507"/>
      <c r="S672" s="508"/>
      <c r="T672" s="472"/>
      <c r="U672" s="448"/>
      <c r="W672" s="448"/>
    </row>
    <row r="673" spans="1:253" s="458" customFormat="1" ht="12" x14ac:dyDescent="0.2">
      <c r="A673" s="444"/>
      <c r="B673" s="445"/>
      <c r="C673" s="479"/>
      <c r="D673" s="479"/>
      <c r="E673" s="479"/>
      <c r="F673" s="479"/>
      <c r="G673" s="446"/>
      <c r="H673" s="445"/>
      <c r="I673" s="445"/>
      <c r="J673" s="445"/>
      <c r="K673" s="447"/>
      <c r="L673" s="448"/>
      <c r="M673" s="448"/>
      <c r="N673" s="445"/>
      <c r="O673" s="449"/>
      <c r="P673" s="450"/>
      <c r="Q673" s="451"/>
      <c r="R673" s="507"/>
      <c r="S673" s="508"/>
      <c r="T673" s="472"/>
      <c r="U673" s="448"/>
      <c r="W673" s="448"/>
    </row>
    <row r="674" spans="1:253" s="458" customFormat="1" ht="12" x14ac:dyDescent="0.2">
      <c r="A674" s="444"/>
      <c r="B674" s="445"/>
      <c r="C674" s="479"/>
      <c r="D674" s="479"/>
      <c r="E674" s="479"/>
      <c r="F674" s="479"/>
      <c r="G674" s="446"/>
      <c r="H674" s="445"/>
      <c r="I674" s="445"/>
      <c r="J674" s="445"/>
      <c r="K674" s="447"/>
      <c r="L674" s="448"/>
      <c r="M674" s="448"/>
      <c r="N674" s="445"/>
      <c r="O674" s="449"/>
      <c r="P674" s="450"/>
      <c r="Q674" s="451"/>
      <c r="R674" s="507"/>
      <c r="S674" s="508"/>
      <c r="T674" s="472"/>
      <c r="U674" s="448"/>
      <c r="W674" s="448"/>
    </row>
    <row r="675" spans="1:253" s="458" customFormat="1" ht="12" x14ac:dyDescent="0.2">
      <c r="A675" s="444"/>
      <c r="B675" s="445"/>
      <c r="C675" s="479"/>
      <c r="D675" s="479"/>
      <c r="E675" s="479"/>
      <c r="F675" s="479"/>
      <c r="G675" s="446"/>
      <c r="H675" s="445"/>
      <c r="I675" s="445"/>
      <c r="J675" s="445"/>
      <c r="K675" s="447"/>
      <c r="L675" s="448"/>
      <c r="M675" s="448"/>
      <c r="N675" s="445"/>
      <c r="O675" s="449"/>
      <c r="P675" s="450"/>
      <c r="Q675" s="451"/>
      <c r="R675" s="507"/>
      <c r="S675" s="508"/>
      <c r="T675" s="472"/>
      <c r="U675" s="448"/>
      <c r="W675" s="448"/>
    </row>
    <row r="676" spans="1:253" s="458" customFormat="1" ht="12" x14ac:dyDescent="0.2">
      <c r="A676" s="444"/>
      <c r="B676" s="445"/>
      <c r="C676" s="479"/>
      <c r="D676" s="479"/>
      <c r="E676" s="479"/>
      <c r="F676" s="479"/>
      <c r="G676" s="446"/>
      <c r="H676" s="445"/>
      <c r="I676" s="445"/>
      <c r="J676" s="445"/>
      <c r="K676" s="447"/>
      <c r="L676" s="448"/>
      <c r="M676" s="448"/>
      <c r="N676" s="445"/>
      <c r="O676" s="449"/>
      <c r="P676" s="450"/>
      <c r="Q676" s="451"/>
      <c r="R676" s="507"/>
      <c r="S676" s="508"/>
      <c r="T676" s="472"/>
      <c r="U676" s="448"/>
      <c r="W676" s="448"/>
    </row>
    <row r="677" spans="1:253" s="455" customFormat="1" ht="12" x14ac:dyDescent="0.2">
      <c r="A677" s="444"/>
      <c r="B677" s="445"/>
      <c r="C677" s="479"/>
      <c r="D677" s="479"/>
      <c r="E677" s="479"/>
      <c r="F677" s="479"/>
      <c r="G677" s="446"/>
      <c r="H677" s="445"/>
      <c r="I677" s="445"/>
      <c r="J677" s="445"/>
      <c r="K677" s="447"/>
      <c r="L677" s="448"/>
      <c r="M677" s="448"/>
      <c r="N677" s="445"/>
      <c r="O677" s="449"/>
      <c r="P677" s="450"/>
      <c r="Q677" s="451"/>
      <c r="R677" s="507"/>
      <c r="S677" s="508"/>
      <c r="T677" s="472"/>
      <c r="U677" s="448"/>
      <c r="V677" s="458"/>
      <c r="W677" s="448"/>
      <c r="X677" s="458"/>
      <c r="Y677" s="458"/>
      <c r="Z677" s="458"/>
      <c r="AA677" s="458"/>
      <c r="AB677" s="458"/>
      <c r="AC677" s="458"/>
      <c r="AD677" s="458"/>
      <c r="AE677" s="458"/>
      <c r="AF677" s="458"/>
      <c r="AG677" s="458"/>
      <c r="AH677" s="458"/>
      <c r="AI677" s="458"/>
      <c r="AJ677" s="458"/>
      <c r="AK677" s="458"/>
      <c r="AL677" s="458"/>
      <c r="AM677" s="458"/>
      <c r="AN677" s="458"/>
      <c r="AO677" s="458"/>
      <c r="AP677" s="458"/>
      <c r="AQ677" s="458"/>
      <c r="AR677" s="458"/>
      <c r="AS677" s="458"/>
      <c r="AT677" s="458"/>
      <c r="AU677" s="458"/>
      <c r="AV677" s="458"/>
      <c r="AW677" s="458"/>
      <c r="AX677" s="458"/>
      <c r="AY677" s="458"/>
      <c r="AZ677" s="458"/>
      <c r="BA677" s="458"/>
      <c r="BB677" s="458"/>
      <c r="BC677" s="458"/>
      <c r="BD677" s="458"/>
      <c r="BE677" s="458"/>
      <c r="BF677" s="458"/>
      <c r="BG677" s="458"/>
      <c r="BH677" s="458"/>
      <c r="BI677" s="458"/>
      <c r="BJ677" s="458"/>
      <c r="BK677" s="458"/>
      <c r="BL677" s="458"/>
      <c r="BM677" s="458"/>
      <c r="BN677" s="458"/>
      <c r="BO677" s="458"/>
      <c r="BP677" s="458"/>
      <c r="BQ677" s="458"/>
      <c r="BR677" s="458"/>
      <c r="BS677" s="458"/>
      <c r="BT677" s="458"/>
      <c r="BU677" s="458"/>
      <c r="BV677" s="458"/>
      <c r="BW677" s="458"/>
      <c r="BX677" s="458"/>
      <c r="BY677" s="458"/>
      <c r="BZ677" s="458"/>
      <c r="CA677" s="458"/>
      <c r="CB677" s="458"/>
      <c r="CC677" s="458"/>
      <c r="CD677" s="458"/>
      <c r="CE677" s="458"/>
      <c r="CF677" s="458"/>
      <c r="CG677" s="458"/>
      <c r="CH677" s="458"/>
      <c r="CI677" s="458"/>
      <c r="CJ677" s="458"/>
      <c r="CK677" s="458"/>
      <c r="CL677" s="458"/>
      <c r="CM677" s="458"/>
      <c r="CN677" s="458"/>
      <c r="CO677" s="458"/>
      <c r="CP677" s="458"/>
      <c r="CQ677" s="458"/>
      <c r="CR677" s="458"/>
      <c r="CS677" s="458"/>
      <c r="CT677" s="458"/>
      <c r="CU677" s="458"/>
      <c r="CV677" s="458"/>
      <c r="CW677" s="458"/>
      <c r="CX677" s="458"/>
      <c r="CY677" s="458"/>
      <c r="CZ677" s="458"/>
      <c r="DA677" s="458"/>
      <c r="DB677" s="458"/>
      <c r="DC677" s="458"/>
      <c r="DD677" s="458"/>
      <c r="DE677" s="458"/>
      <c r="DF677" s="458"/>
      <c r="DG677" s="458"/>
      <c r="DH677" s="458"/>
      <c r="DI677" s="458"/>
      <c r="DJ677" s="458"/>
      <c r="DK677" s="458"/>
      <c r="DL677" s="458"/>
      <c r="DM677" s="458"/>
      <c r="DN677" s="458"/>
      <c r="DO677" s="458"/>
      <c r="DP677" s="458"/>
      <c r="DQ677" s="458"/>
      <c r="DR677" s="458"/>
      <c r="DS677" s="458"/>
      <c r="DT677" s="458"/>
      <c r="DU677" s="458"/>
      <c r="DV677" s="458"/>
      <c r="DW677" s="458"/>
      <c r="DX677" s="458"/>
      <c r="DY677" s="458"/>
      <c r="DZ677" s="458"/>
      <c r="EA677" s="458"/>
      <c r="EB677" s="458"/>
      <c r="EC677" s="458"/>
      <c r="ED677" s="458"/>
      <c r="EE677" s="458"/>
      <c r="EF677" s="458"/>
      <c r="EG677" s="458"/>
      <c r="EH677" s="458"/>
      <c r="EI677" s="458"/>
      <c r="EJ677" s="458"/>
      <c r="EK677" s="458"/>
      <c r="EL677" s="458"/>
      <c r="EM677" s="458"/>
      <c r="EN677" s="458"/>
      <c r="EO677" s="458"/>
      <c r="EP677" s="458"/>
      <c r="EQ677" s="458"/>
      <c r="ER677" s="458"/>
      <c r="ES677" s="458"/>
      <c r="ET677" s="458"/>
      <c r="EU677" s="458"/>
      <c r="EV677" s="458"/>
      <c r="EW677" s="458"/>
      <c r="EX677" s="458"/>
      <c r="EY677" s="458"/>
      <c r="EZ677" s="458"/>
      <c r="FA677" s="458"/>
      <c r="FB677" s="458"/>
      <c r="FC677" s="458"/>
      <c r="FD677" s="458"/>
      <c r="FE677" s="458"/>
      <c r="FF677" s="458"/>
      <c r="FG677" s="458"/>
      <c r="FH677" s="458"/>
      <c r="FI677" s="458"/>
      <c r="FJ677" s="458"/>
      <c r="FK677" s="458"/>
      <c r="FL677" s="458"/>
      <c r="FM677" s="458"/>
      <c r="FN677" s="458"/>
      <c r="FO677" s="458"/>
      <c r="FP677" s="458"/>
      <c r="FQ677" s="458"/>
      <c r="FR677" s="458"/>
      <c r="FS677" s="458"/>
      <c r="FT677" s="458"/>
      <c r="FU677" s="458"/>
      <c r="FV677" s="458"/>
      <c r="FW677" s="458"/>
      <c r="FX677" s="458"/>
      <c r="FY677" s="458"/>
      <c r="FZ677" s="458"/>
      <c r="GA677" s="458"/>
      <c r="GB677" s="458"/>
      <c r="GC677" s="458"/>
      <c r="GD677" s="458"/>
      <c r="GE677" s="458"/>
      <c r="GF677" s="458"/>
      <c r="GG677" s="458"/>
      <c r="GH677" s="458"/>
      <c r="GI677" s="458"/>
      <c r="GJ677" s="458"/>
      <c r="GK677" s="458"/>
      <c r="GL677" s="458"/>
      <c r="GM677" s="458"/>
      <c r="GN677" s="458"/>
      <c r="GO677" s="458"/>
      <c r="GP677" s="458"/>
      <c r="GQ677" s="458"/>
      <c r="GR677" s="458"/>
      <c r="GS677" s="458"/>
      <c r="GT677" s="458"/>
      <c r="GU677" s="458"/>
      <c r="GV677" s="458"/>
      <c r="GW677" s="458"/>
      <c r="GX677" s="458"/>
      <c r="GY677" s="458"/>
      <c r="GZ677" s="458"/>
      <c r="HA677" s="458"/>
      <c r="HB677" s="458"/>
      <c r="HC677" s="458"/>
      <c r="HD677" s="458"/>
      <c r="HE677" s="458"/>
      <c r="HF677" s="458"/>
      <c r="HG677" s="458"/>
      <c r="HH677" s="458"/>
      <c r="HI677" s="458"/>
      <c r="HJ677" s="458"/>
      <c r="HK677" s="458"/>
      <c r="HL677" s="458"/>
      <c r="HM677" s="458"/>
      <c r="HN677" s="458"/>
      <c r="HO677" s="458"/>
      <c r="HP677" s="458"/>
      <c r="HQ677" s="458"/>
      <c r="HR677" s="458"/>
      <c r="HS677" s="458"/>
      <c r="HT677" s="458"/>
      <c r="HU677" s="458"/>
      <c r="HV677" s="458"/>
      <c r="HW677" s="458"/>
      <c r="HX677" s="458"/>
      <c r="HY677" s="458"/>
      <c r="HZ677" s="458"/>
      <c r="IA677" s="458"/>
      <c r="IB677" s="458"/>
      <c r="IC677" s="458"/>
      <c r="ID677" s="458"/>
      <c r="IE677" s="458"/>
      <c r="IF677" s="458"/>
      <c r="IG677" s="458"/>
      <c r="IH677" s="458"/>
      <c r="II677" s="458"/>
      <c r="IJ677" s="458"/>
      <c r="IK677" s="458"/>
      <c r="IL677" s="458"/>
      <c r="IM677" s="458"/>
      <c r="IN677" s="458"/>
      <c r="IO677" s="458"/>
      <c r="IP677" s="458"/>
      <c r="IQ677" s="458"/>
      <c r="IR677" s="458"/>
      <c r="IS677" s="458"/>
    </row>
    <row r="678" spans="1:253" s="455" customFormat="1" ht="12" x14ac:dyDescent="0.2">
      <c r="A678" s="444"/>
      <c r="B678" s="445"/>
      <c r="C678" s="479"/>
      <c r="D678" s="479"/>
      <c r="E678" s="479"/>
      <c r="F678" s="479"/>
      <c r="G678" s="446"/>
      <c r="H678" s="445"/>
      <c r="I678" s="445"/>
      <c r="J678" s="445"/>
      <c r="K678" s="447"/>
      <c r="L678" s="448"/>
      <c r="M678" s="448"/>
      <c r="N678" s="445"/>
      <c r="O678" s="449"/>
      <c r="P678" s="450"/>
      <c r="Q678" s="451"/>
      <c r="R678" s="507"/>
      <c r="S678" s="508"/>
      <c r="T678" s="472"/>
      <c r="U678" s="448"/>
      <c r="V678" s="458"/>
      <c r="W678" s="448"/>
      <c r="X678" s="458"/>
      <c r="Y678" s="458"/>
      <c r="Z678" s="458"/>
      <c r="AA678" s="458"/>
      <c r="AB678" s="458"/>
      <c r="AC678" s="458"/>
      <c r="AD678" s="458"/>
      <c r="AE678" s="458"/>
      <c r="AF678" s="458"/>
      <c r="AG678" s="458"/>
      <c r="AH678" s="458"/>
      <c r="AI678" s="458"/>
      <c r="AJ678" s="458"/>
      <c r="AK678" s="458"/>
      <c r="AL678" s="458"/>
      <c r="AM678" s="458"/>
      <c r="AN678" s="458"/>
      <c r="AO678" s="458"/>
      <c r="AP678" s="458"/>
      <c r="AQ678" s="458"/>
      <c r="AR678" s="458"/>
      <c r="AS678" s="458"/>
      <c r="AT678" s="458"/>
      <c r="AU678" s="458"/>
      <c r="AV678" s="458"/>
      <c r="AW678" s="458"/>
      <c r="AX678" s="458"/>
      <c r="AY678" s="458"/>
      <c r="AZ678" s="458"/>
      <c r="BA678" s="458"/>
      <c r="BB678" s="458"/>
      <c r="BC678" s="458"/>
      <c r="BD678" s="458"/>
      <c r="BE678" s="458"/>
      <c r="BF678" s="458"/>
      <c r="BG678" s="458"/>
      <c r="BH678" s="458"/>
      <c r="BI678" s="458"/>
      <c r="BJ678" s="458"/>
      <c r="BK678" s="458"/>
      <c r="BL678" s="458"/>
      <c r="BM678" s="458"/>
      <c r="BN678" s="458"/>
      <c r="BO678" s="458"/>
      <c r="BP678" s="458"/>
      <c r="BQ678" s="458"/>
      <c r="BR678" s="458"/>
      <c r="BS678" s="458"/>
      <c r="BT678" s="458"/>
      <c r="BU678" s="458"/>
      <c r="BV678" s="458"/>
      <c r="BW678" s="458"/>
      <c r="BX678" s="458"/>
      <c r="BY678" s="458"/>
      <c r="BZ678" s="458"/>
      <c r="CA678" s="458"/>
      <c r="CB678" s="458"/>
      <c r="CC678" s="458"/>
      <c r="CD678" s="458"/>
      <c r="CE678" s="458"/>
      <c r="CF678" s="458"/>
      <c r="CG678" s="458"/>
      <c r="CH678" s="458"/>
      <c r="CI678" s="458"/>
      <c r="CJ678" s="458"/>
      <c r="CK678" s="458"/>
      <c r="CL678" s="458"/>
      <c r="CM678" s="458"/>
      <c r="CN678" s="458"/>
      <c r="CO678" s="458"/>
      <c r="CP678" s="458"/>
      <c r="CQ678" s="458"/>
      <c r="CR678" s="458"/>
      <c r="CS678" s="458"/>
      <c r="CT678" s="458"/>
      <c r="CU678" s="458"/>
      <c r="CV678" s="458"/>
      <c r="CW678" s="458"/>
      <c r="CX678" s="458"/>
      <c r="CY678" s="458"/>
      <c r="CZ678" s="458"/>
      <c r="DA678" s="458"/>
      <c r="DB678" s="458"/>
      <c r="DC678" s="458"/>
      <c r="DD678" s="458"/>
      <c r="DE678" s="458"/>
      <c r="DF678" s="458"/>
      <c r="DG678" s="458"/>
      <c r="DH678" s="458"/>
      <c r="DI678" s="458"/>
      <c r="DJ678" s="458"/>
      <c r="DK678" s="458"/>
      <c r="DL678" s="458"/>
      <c r="DM678" s="458"/>
      <c r="DN678" s="458"/>
      <c r="DO678" s="458"/>
      <c r="DP678" s="458"/>
      <c r="DQ678" s="458"/>
      <c r="DR678" s="458"/>
      <c r="DS678" s="458"/>
      <c r="DT678" s="458"/>
      <c r="DU678" s="458"/>
      <c r="DV678" s="458"/>
      <c r="DW678" s="458"/>
      <c r="DX678" s="458"/>
      <c r="DY678" s="458"/>
      <c r="DZ678" s="458"/>
      <c r="EA678" s="458"/>
      <c r="EB678" s="458"/>
      <c r="EC678" s="458"/>
      <c r="ED678" s="458"/>
      <c r="EE678" s="458"/>
      <c r="EF678" s="458"/>
      <c r="EG678" s="458"/>
      <c r="EH678" s="458"/>
      <c r="EI678" s="458"/>
      <c r="EJ678" s="458"/>
      <c r="EK678" s="458"/>
      <c r="EL678" s="458"/>
      <c r="EM678" s="458"/>
      <c r="EN678" s="458"/>
      <c r="EO678" s="458"/>
      <c r="EP678" s="458"/>
      <c r="EQ678" s="458"/>
      <c r="ER678" s="458"/>
      <c r="ES678" s="458"/>
      <c r="ET678" s="458"/>
      <c r="EU678" s="458"/>
      <c r="EV678" s="458"/>
      <c r="EW678" s="458"/>
      <c r="EX678" s="458"/>
      <c r="EY678" s="458"/>
      <c r="EZ678" s="458"/>
      <c r="FA678" s="458"/>
      <c r="FB678" s="458"/>
      <c r="FC678" s="458"/>
      <c r="FD678" s="458"/>
      <c r="FE678" s="458"/>
      <c r="FF678" s="458"/>
      <c r="FG678" s="458"/>
      <c r="FH678" s="458"/>
      <c r="FI678" s="458"/>
      <c r="FJ678" s="458"/>
      <c r="FK678" s="458"/>
      <c r="FL678" s="458"/>
      <c r="FM678" s="458"/>
      <c r="FN678" s="458"/>
      <c r="FO678" s="458"/>
      <c r="FP678" s="458"/>
      <c r="FQ678" s="458"/>
      <c r="FR678" s="458"/>
      <c r="FS678" s="458"/>
      <c r="FT678" s="458"/>
      <c r="FU678" s="458"/>
      <c r="FV678" s="458"/>
      <c r="FW678" s="458"/>
      <c r="FX678" s="458"/>
      <c r="FY678" s="458"/>
      <c r="FZ678" s="458"/>
      <c r="GA678" s="458"/>
      <c r="GB678" s="458"/>
      <c r="GC678" s="458"/>
      <c r="GD678" s="458"/>
      <c r="GE678" s="458"/>
      <c r="GF678" s="458"/>
      <c r="GG678" s="458"/>
      <c r="GH678" s="458"/>
      <c r="GI678" s="458"/>
      <c r="GJ678" s="458"/>
      <c r="GK678" s="458"/>
      <c r="GL678" s="458"/>
      <c r="GM678" s="458"/>
      <c r="GN678" s="458"/>
      <c r="GO678" s="458"/>
      <c r="GP678" s="458"/>
      <c r="GQ678" s="458"/>
      <c r="GR678" s="458"/>
      <c r="GS678" s="458"/>
      <c r="GT678" s="458"/>
      <c r="GU678" s="458"/>
      <c r="GV678" s="458"/>
      <c r="GW678" s="458"/>
      <c r="GX678" s="458"/>
      <c r="GY678" s="458"/>
      <c r="GZ678" s="458"/>
      <c r="HA678" s="458"/>
      <c r="HB678" s="458"/>
      <c r="HC678" s="458"/>
      <c r="HD678" s="458"/>
      <c r="HE678" s="458"/>
      <c r="HF678" s="458"/>
      <c r="HG678" s="458"/>
      <c r="HH678" s="458"/>
      <c r="HI678" s="458"/>
      <c r="HJ678" s="458"/>
      <c r="HK678" s="458"/>
      <c r="HL678" s="458"/>
      <c r="HM678" s="458"/>
      <c r="HN678" s="458"/>
      <c r="HO678" s="458"/>
      <c r="HP678" s="458"/>
      <c r="HQ678" s="458"/>
      <c r="HR678" s="458"/>
      <c r="HS678" s="458"/>
      <c r="HT678" s="458"/>
      <c r="HU678" s="458"/>
      <c r="HV678" s="458"/>
      <c r="HW678" s="458"/>
      <c r="HX678" s="458"/>
      <c r="HY678" s="458"/>
      <c r="HZ678" s="458"/>
      <c r="IA678" s="458"/>
      <c r="IB678" s="458"/>
      <c r="IC678" s="458"/>
      <c r="ID678" s="458"/>
      <c r="IE678" s="458"/>
      <c r="IF678" s="458"/>
      <c r="IG678" s="458"/>
      <c r="IH678" s="458"/>
      <c r="II678" s="458"/>
      <c r="IJ678" s="458"/>
      <c r="IK678" s="458"/>
      <c r="IL678" s="458"/>
      <c r="IM678" s="458"/>
      <c r="IN678" s="458"/>
      <c r="IO678" s="458"/>
      <c r="IP678" s="458"/>
      <c r="IQ678" s="458"/>
      <c r="IR678" s="458"/>
      <c r="IS678" s="458"/>
    </row>
    <row r="679" spans="1:253" s="455" customFormat="1" ht="12" x14ac:dyDescent="0.2">
      <c r="A679" s="444"/>
      <c r="B679" s="445"/>
      <c r="C679" s="479"/>
      <c r="D679" s="479"/>
      <c r="E679" s="479"/>
      <c r="F679" s="479"/>
      <c r="G679" s="446"/>
      <c r="H679" s="445"/>
      <c r="I679" s="445"/>
      <c r="J679" s="445"/>
      <c r="K679" s="447"/>
      <c r="L679" s="448"/>
      <c r="M679" s="448"/>
      <c r="N679" s="445"/>
      <c r="O679" s="449"/>
      <c r="P679" s="450"/>
      <c r="Q679" s="451"/>
      <c r="R679" s="507"/>
      <c r="S679" s="508"/>
      <c r="T679" s="472"/>
      <c r="U679" s="448"/>
      <c r="V679" s="458"/>
      <c r="W679" s="448"/>
      <c r="X679" s="458"/>
      <c r="Y679" s="458"/>
      <c r="Z679" s="458"/>
      <c r="AA679" s="458"/>
      <c r="AB679" s="458"/>
      <c r="AC679" s="458"/>
      <c r="AD679" s="458"/>
      <c r="AE679" s="458"/>
      <c r="AF679" s="458"/>
      <c r="AG679" s="458"/>
      <c r="AH679" s="458"/>
      <c r="AI679" s="458"/>
      <c r="AJ679" s="458"/>
      <c r="AK679" s="458"/>
      <c r="AL679" s="458"/>
      <c r="AM679" s="458"/>
      <c r="AN679" s="458"/>
      <c r="AO679" s="458"/>
      <c r="AP679" s="458"/>
      <c r="AQ679" s="458"/>
      <c r="AR679" s="458"/>
      <c r="AS679" s="458"/>
      <c r="AT679" s="458"/>
      <c r="AU679" s="458"/>
      <c r="AV679" s="458"/>
      <c r="AW679" s="458"/>
      <c r="AX679" s="458"/>
      <c r="AY679" s="458"/>
      <c r="AZ679" s="458"/>
      <c r="BA679" s="458"/>
      <c r="BB679" s="458"/>
      <c r="BC679" s="458"/>
      <c r="BD679" s="458"/>
      <c r="BE679" s="458"/>
      <c r="BF679" s="458"/>
      <c r="BG679" s="458"/>
      <c r="BH679" s="458"/>
      <c r="BI679" s="458"/>
      <c r="BJ679" s="458"/>
      <c r="BK679" s="458"/>
      <c r="BL679" s="458"/>
      <c r="BM679" s="458"/>
      <c r="BN679" s="458"/>
      <c r="BO679" s="458"/>
      <c r="BP679" s="458"/>
      <c r="BQ679" s="458"/>
      <c r="BR679" s="458"/>
      <c r="BS679" s="458"/>
      <c r="BT679" s="458"/>
      <c r="BU679" s="458"/>
      <c r="BV679" s="458"/>
      <c r="BW679" s="458"/>
      <c r="BX679" s="458"/>
      <c r="BY679" s="458"/>
      <c r="BZ679" s="458"/>
      <c r="CA679" s="458"/>
      <c r="CB679" s="458"/>
      <c r="CC679" s="458"/>
      <c r="CD679" s="458"/>
      <c r="CE679" s="458"/>
      <c r="CF679" s="458"/>
      <c r="CG679" s="458"/>
      <c r="CH679" s="458"/>
      <c r="CI679" s="458"/>
      <c r="CJ679" s="458"/>
      <c r="CK679" s="458"/>
      <c r="CL679" s="458"/>
      <c r="CM679" s="458"/>
      <c r="CN679" s="458"/>
      <c r="CO679" s="458"/>
      <c r="CP679" s="458"/>
      <c r="CQ679" s="458"/>
      <c r="CR679" s="458"/>
      <c r="CS679" s="458"/>
      <c r="CT679" s="458"/>
      <c r="CU679" s="458"/>
      <c r="CV679" s="458"/>
      <c r="CW679" s="458"/>
      <c r="CX679" s="458"/>
      <c r="CY679" s="458"/>
      <c r="CZ679" s="458"/>
      <c r="DA679" s="458"/>
      <c r="DB679" s="458"/>
      <c r="DC679" s="458"/>
      <c r="DD679" s="458"/>
      <c r="DE679" s="458"/>
      <c r="DF679" s="458"/>
      <c r="DG679" s="458"/>
      <c r="DH679" s="458"/>
      <c r="DI679" s="458"/>
      <c r="DJ679" s="458"/>
      <c r="DK679" s="458"/>
      <c r="DL679" s="458"/>
      <c r="DM679" s="458"/>
      <c r="DN679" s="458"/>
      <c r="DO679" s="458"/>
      <c r="DP679" s="458"/>
      <c r="DQ679" s="458"/>
      <c r="DR679" s="458"/>
      <c r="DS679" s="458"/>
      <c r="DT679" s="458"/>
      <c r="DU679" s="458"/>
      <c r="DV679" s="458"/>
      <c r="DW679" s="458"/>
      <c r="DX679" s="458"/>
      <c r="DY679" s="458"/>
      <c r="DZ679" s="458"/>
      <c r="EA679" s="458"/>
      <c r="EB679" s="458"/>
      <c r="EC679" s="458"/>
      <c r="ED679" s="458"/>
      <c r="EE679" s="458"/>
      <c r="EF679" s="458"/>
      <c r="EG679" s="458"/>
      <c r="EH679" s="458"/>
      <c r="EI679" s="458"/>
      <c r="EJ679" s="458"/>
      <c r="EK679" s="458"/>
      <c r="EL679" s="458"/>
      <c r="EM679" s="458"/>
      <c r="EN679" s="458"/>
      <c r="EO679" s="458"/>
      <c r="EP679" s="458"/>
      <c r="EQ679" s="458"/>
      <c r="ER679" s="458"/>
      <c r="ES679" s="458"/>
      <c r="ET679" s="458"/>
      <c r="EU679" s="458"/>
      <c r="EV679" s="458"/>
      <c r="EW679" s="458"/>
      <c r="EX679" s="458"/>
      <c r="EY679" s="458"/>
      <c r="EZ679" s="458"/>
      <c r="FA679" s="458"/>
      <c r="FB679" s="458"/>
      <c r="FC679" s="458"/>
      <c r="FD679" s="458"/>
      <c r="FE679" s="458"/>
      <c r="FF679" s="458"/>
      <c r="FG679" s="458"/>
      <c r="FH679" s="458"/>
      <c r="FI679" s="458"/>
      <c r="FJ679" s="458"/>
      <c r="FK679" s="458"/>
      <c r="FL679" s="458"/>
      <c r="FM679" s="458"/>
      <c r="FN679" s="458"/>
      <c r="FO679" s="458"/>
      <c r="FP679" s="458"/>
      <c r="FQ679" s="458"/>
      <c r="FR679" s="458"/>
      <c r="FS679" s="458"/>
      <c r="FT679" s="458"/>
      <c r="FU679" s="458"/>
      <c r="FV679" s="458"/>
      <c r="FW679" s="458"/>
      <c r="FX679" s="458"/>
      <c r="FY679" s="458"/>
      <c r="FZ679" s="458"/>
      <c r="GA679" s="458"/>
      <c r="GB679" s="458"/>
      <c r="GC679" s="458"/>
      <c r="GD679" s="458"/>
      <c r="GE679" s="458"/>
      <c r="GF679" s="458"/>
      <c r="GG679" s="458"/>
      <c r="GH679" s="458"/>
      <c r="GI679" s="458"/>
      <c r="GJ679" s="458"/>
      <c r="GK679" s="458"/>
      <c r="GL679" s="458"/>
      <c r="GM679" s="458"/>
      <c r="GN679" s="458"/>
      <c r="GO679" s="458"/>
      <c r="GP679" s="458"/>
      <c r="GQ679" s="458"/>
      <c r="GR679" s="458"/>
      <c r="GS679" s="458"/>
      <c r="GT679" s="458"/>
      <c r="GU679" s="458"/>
      <c r="GV679" s="458"/>
      <c r="GW679" s="458"/>
      <c r="GX679" s="458"/>
      <c r="GY679" s="458"/>
      <c r="GZ679" s="458"/>
      <c r="HA679" s="458"/>
      <c r="HB679" s="458"/>
      <c r="HC679" s="458"/>
      <c r="HD679" s="458"/>
      <c r="HE679" s="458"/>
      <c r="HF679" s="458"/>
      <c r="HG679" s="458"/>
      <c r="HH679" s="458"/>
      <c r="HI679" s="458"/>
      <c r="HJ679" s="458"/>
      <c r="HK679" s="458"/>
      <c r="HL679" s="458"/>
      <c r="HM679" s="458"/>
      <c r="HN679" s="458"/>
      <c r="HO679" s="458"/>
      <c r="HP679" s="458"/>
      <c r="HQ679" s="458"/>
      <c r="HR679" s="458"/>
      <c r="HS679" s="458"/>
      <c r="HT679" s="458"/>
      <c r="HU679" s="458"/>
      <c r="HV679" s="458"/>
      <c r="HW679" s="458"/>
      <c r="HX679" s="458"/>
      <c r="HY679" s="458"/>
      <c r="HZ679" s="458"/>
      <c r="IA679" s="458"/>
      <c r="IB679" s="458"/>
      <c r="IC679" s="458"/>
      <c r="ID679" s="458"/>
      <c r="IE679" s="458"/>
      <c r="IF679" s="458"/>
      <c r="IG679" s="458"/>
      <c r="IH679" s="458"/>
      <c r="II679" s="458"/>
      <c r="IJ679" s="458"/>
      <c r="IK679" s="458"/>
      <c r="IL679" s="458"/>
      <c r="IM679" s="458"/>
      <c r="IN679" s="458"/>
      <c r="IO679" s="458"/>
      <c r="IP679" s="458"/>
      <c r="IQ679" s="458"/>
      <c r="IR679" s="458"/>
      <c r="IS679" s="458"/>
    </row>
    <row r="680" spans="1:253" s="455" customFormat="1" ht="12" x14ac:dyDescent="0.2">
      <c r="A680" s="444"/>
      <c r="B680" s="445"/>
      <c r="C680" s="479"/>
      <c r="D680" s="479"/>
      <c r="E680" s="479"/>
      <c r="F680" s="479"/>
      <c r="G680" s="446"/>
      <c r="H680" s="445"/>
      <c r="I680" s="445"/>
      <c r="J680" s="445"/>
      <c r="K680" s="447"/>
      <c r="L680" s="448"/>
      <c r="M680" s="448"/>
      <c r="N680" s="445"/>
      <c r="O680" s="449"/>
      <c r="P680" s="450"/>
      <c r="Q680" s="451"/>
      <c r="R680" s="507"/>
      <c r="S680" s="508"/>
      <c r="T680" s="472"/>
      <c r="U680" s="448"/>
      <c r="V680" s="458"/>
      <c r="W680" s="448"/>
      <c r="X680" s="458"/>
      <c r="Y680" s="458"/>
      <c r="Z680" s="458"/>
      <c r="AA680" s="458"/>
      <c r="AB680" s="458"/>
      <c r="AC680" s="458"/>
      <c r="AD680" s="458"/>
      <c r="AE680" s="458"/>
      <c r="AF680" s="458"/>
      <c r="AG680" s="458"/>
      <c r="AH680" s="458"/>
      <c r="AI680" s="458"/>
      <c r="AJ680" s="458"/>
      <c r="AK680" s="458"/>
      <c r="AL680" s="458"/>
      <c r="AM680" s="458"/>
      <c r="AN680" s="458"/>
      <c r="AO680" s="458"/>
      <c r="AP680" s="458"/>
      <c r="AQ680" s="458"/>
      <c r="AR680" s="458"/>
      <c r="AS680" s="458"/>
      <c r="AT680" s="458"/>
      <c r="AU680" s="458"/>
      <c r="AV680" s="458"/>
      <c r="AW680" s="458"/>
      <c r="AX680" s="458"/>
      <c r="AY680" s="458"/>
      <c r="AZ680" s="458"/>
      <c r="BA680" s="458"/>
      <c r="BB680" s="458"/>
      <c r="BC680" s="458"/>
      <c r="BD680" s="458"/>
      <c r="BE680" s="458"/>
      <c r="BF680" s="458"/>
      <c r="BG680" s="458"/>
      <c r="BH680" s="458"/>
      <c r="BI680" s="458"/>
      <c r="BJ680" s="458"/>
      <c r="BK680" s="458"/>
      <c r="BL680" s="458"/>
      <c r="BM680" s="458"/>
      <c r="BN680" s="458"/>
      <c r="BO680" s="458"/>
      <c r="BP680" s="458"/>
      <c r="BQ680" s="458"/>
      <c r="BR680" s="458"/>
      <c r="BS680" s="458"/>
      <c r="BT680" s="458"/>
      <c r="BU680" s="458"/>
      <c r="BV680" s="458"/>
      <c r="BW680" s="458"/>
      <c r="BX680" s="458"/>
      <c r="BY680" s="458"/>
      <c r="BZ680" s="458"/>
      <c r="CA680" s="458"/>
      <c r="CB680" s="458"/>
      <c r="CC680" s="458"/>
      <c r="CD680" s="458"/>
      <c r="CE680" s="458"/>
      <c r="CF680" s="458"/>
      <c r="CG680" s="458"/>
      <c r="CH680" s="458"/>
      <c r="CI680" s="458"/>
      <c r="CJ680" s="458"/>
      <c r="CK680" s="458"/>
      <c r="CL680" s="458"/>
      <c r="CM680" s="458"/>
      <c r="CN680" s="458"/>
      <c r="CO680" s="458"/>
      <c r="CP680" s="458"/>
      <c r="CQ680" s="458"/>
      <c r="CR680" s="458"/>
      <c r="CS680" s="458"/>
      <c r="CT680" s="458"/>
      <c r="CU680" s="458"/>
      <c r="CV680" s="458"/>
      <c r="CW680" s="458"/>
      <c r="CX680" s="458"/>
      <c r="CY680" s="458"/>
      <c r="CZ680" s="458"/>
      <c r="DA680" s="458"/>
      <c r="DB680" s="458"/>
      <c r="DC680" s="458"/>
      <c r="DD680" s="458"/>
      <c r="DE680" s="458"/>
      <c r="DF680" s="458"/>
      <c r="DG680" s="458"/>
      <c r="DH680" s="458"/>
      <c r="DI680" s="458"/>
      <c r="DJ680" s="458"/>
      <c r="DK680" s="458"/>
      <c r="DL680" s="458"/>
      <c r="DM680" s="458"/>
      <c r="DN680" s="458"/>
      <c r="DO680" s="458"/>
      <c r="DP680" s="458"/>
      <c r="DQ680" s="458"/>
      <c r="DR680" s="458"/>
      <c r="DS680" s="458"/>
      <c r="DT680" s="458"/>
      <c r="DU680" s="458"/>
      <c r="DV680" s="458"/>
      <c r="DW680" s="458"/>
      <c r="DX680" s="458"/>
      <c r="DY680" s="458"/>
      <c r="DZ680" s="458"/>
      <c r="EA680" s="458"/>
      <c r="EB680" s="458"/>
      <c r="EC680" s="458"/>
      <c r="ED680" s="458"/>
      <c r="EE680" s="458"/>
      <c r="EF680" s="458"/>
      <c r="EG680" s="458"/>
      <c r="EH680" s="458"/>
      <c r="EI680" s="458"/>
      <c r="EJ680" s="458"/>
      <c r="EK680" s="458"/>
      <c r="EL680" s="458"/>
      <c r="EM680" s="458"/>
      <c r="EN680" s="458"/>
      <c r="EO680" s="458"/>
      <c r="EP680" s="458"/>
      <c r="EQ680" s="458"/>
      <c r="ER680" s="458"/>
      <c r="ES680" s="458"/>
      <c r="ET680" s="458"/>
      <c r="EU680" s="458"/>
      <c r="EV680" s="458"/>
      <c r="EW680" s="458"/>
      <c r="EX680" s="458"/>
      <c r="EY680" s="458"/>
      <c r="EZ680" s="458"/>
      <c r="FA680" s="458"/>
      <c r="FB680" s="458"/>
      <c r="FC680" s="458"/>
      <c r="FD680" s="458"/>
      <c r="FE680" s="458"/>
      <c r="FF680" s="458"/>
      <c r="FG680" s="458"/>
      <c r="FH680" s="458"/>
      <c r="FI680" s="458"/>
      <c r="FJ680" s="458"/>
      <c r="FK680" s="458"/>
      <c r="FL680" s="458"/>
      <c r="FM680" s="458"/>
      <c r="FN680" s="458"/>
      <c r="FO680" s="458"/>
      <c r="FP680" s="458"/>
      <c r="FQ680" s="458"/>
      <c r="FR680" s="458"/>
      <c r="FS680" s="458"/>
      <c r="FT680" s="458"/>
      <c r="FU680" s="458"/>
      <c r="FV680" s="458"/>
      <c r="FW680" s="458"/>
      <c r="FX680" s="458"/>
      <c r="FY680" s="458"/>
      <c r="FZ680" s="458"/>
      <c r="GA680" s="458"/>
      <c r="GB680" s="458"/>
      <c r="GC680" s="458"/>
      <c r="GD680" s="458"/>
      <c r="GE680" s="458"/>
      <c r="GF680" s="458"/>
      <c r="GG680" s="458"/>
      <c r="GH680" s="458"/>
      <c r="GI680" s="458"/>
      <c r="GJ680" s="458"/>
      <c r="GK680" s="458"/>
      <c r="GL680" s="458"/>
      <c r="GM680" s="458"/>
      <c r="GN680" s="458"/>
      <c r="GO680" s="458"/>
      <c r="GP680" s="458"/>
      <c r="GQ680" s="458"/>
      <c r="GR680" s="458"/>
      <c r="GS680" s="458"/>
      <c r="GT680" s="458"/>
      <c r="GU680" s="458"/>
      <c r="GV680" s="458"/>
      <c r="GW680" s="458"/>
      <c r="GX680" s="458"/>
      <c r="GY680" s="458"/>
      <c r="GZ680" s="458"/>
      <c r="HA680" s="458"/>
      <c r="HB680" s="458"/>
      <c r="HC680" s="458"/>
      <c r="HD680" s="458"/>
      <c r="HE680" s="458"/>
      <c r="HF680" s="458"/>
      <c r="HG680" s="458"/>
      <c r="HH680" s="458"/>
      <c r="HI680" s="458"/>
      <c r="HJ680" s="458"/>
      <c r="HK680" s="458"/>
      <c r="HL680" s="458"/>
      <c r="HM680" s="458"/>
      <c r="HN680" s="458"/>
      <c r="HO680" s="458"/>
      <c r="HP680" s="458"/>
      <c r="HQ680" s="458"/>
      <c r="HR680" s="458"/>
      <c r="HS680" s="458"/>
      <c r="HT680" s="458"/>
      <c r="HU680" s="458"/>
      <c r="HV680" s="458"/>
      <c r="HW680" s="458"/>
      <c r="HX680" s="458"/>
      <c r="HY680" s="458"/>
      <c r="HZ680" s="458"/>
      <c r="IA680" s="458"/>
      <c r="IB680" s="458"/>
      <c r="IC680" s="458"/>
      <c r="ID680" s="458"/>
      <c r="IE680" s="458"/>
      <c r="IF680" s="458"/>
      <c r="IG680" s="458"/>
      <c r="IH680" s="458"/>
      <c r="II680" s="458"/>
      <c r="IJ680" s="458"/>
      <c r="IK680" s="458"/>
      <c r="IL680" s="458"/>
      <c r="IM680" s="458"/>
      <c r="IN680" s="458"/>
      <c r="IO680" s="458"/>
      <c r="IP680" s="458"/>
      <c r="IQ680" s="458"/>
      <c r="IR680" s="458"/>
      <c r="IS680" s="458"/>
    </row>
    <row r="681" spans="1:253" s="455" customFormat="1" ht="12" x14ac:dyDescent="0.2">
      <c r="A681" s="444"/>
      <c r="B681" s="445"/>
      <c r="C681" s="479"/>
      <c r="D681" s="479"/>
      <c r="E681" s="479"/>
      <c r="F681" s="479"/>
      <c r="G681" s="446"/>
      <c r="H681" s="445"/>
      <c r="I681" s="445"/>
      <c r="J681" s="445"/>
      <c r="K681" s="447"/>
      <c r="L681" s="448"/>
      <c r="M681" s="448"/>
      <c r="N681" s="445"/>
      <c r="O681" s="449"/>
      <c r="P681" s="450"/>
      <c r="Q681" s="451"/>
      <c r="R681" s="507"/>
      <c r="S681" s="508"/>
      <c r="T681" s="472"/>
      <c r="U681" s="448"/>
      <c r="V681" s="458"/>
      <c r="W681" s="448"/>
      <c r="X681" s="458"/>
      <c r="Y681" s="458"/>
      <c r="Z681" s="458"/>
      <c r="AA681" s="458"/>
      <c r="AB681" s="458"/>
      <c r="AC681" s="458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458"/>
      <c r="AU681" s="458"/>
      <c r="AV681" s="458"/>
      <c r="AW681" s="458"/>
      <c r="AX681" s="458"/>
      <c r="AY681" s="458"/>
      <c r="AZ681" s="458"/>
      <c r="BA681" s="458"/>
      <c r="BB681" s="458"/>
      <c r="BC681" s="458"/>
      <c r="BD681" s="458"/>
      <c r="BE681" s="458"/>
      <c r="BF681" s="458"/>
      <c r="BG681" s="458"/>
      <c r="BH681" s="458"/>
      <c r="BI681" s="458"/>
      <c r="BJ681" s="458"/>
      <c r="BK681" s="458"/>
      <c r="BL681" s="458"/>
      <c r="BM681" s="458"/>
      <c r="BN681" s="458"/>
      <c r="BO681" s="458"/>
      <c r="BP681" s="458"/>
      <c r="BQ681" s="458"/>
      <c r="BR681" s="458"/>
      <c r="BS681" s="458"/>
      <c r="BT681" s="458"/>
      <c r="BU681" s="458"/>
      <c r="BV681" s="458"/>
      <c r="BW681" s="458"/>
      <c r="BX681" s="458"/>
      <c r="BY681" s="458"/>
      <c r="BZ681" s="458"/>
      <c r="CA681" s="458"/>
      <c r="CB681" s="458"/>
      <c r="CC681" s="458"/>
      <c r="CD681" s="458"/>
      <c r="CE681" s="458"/>
      <c r="CF681" s="458"/>
      <c r="CG681" s="458"/>
      <c r="CH681" s="458"/>
      <c r="CI681" s="458"/>
      <c r="CJ681" s="458"/>
      <c r="CK681" s="458"/>
      <c r="CL681" s="458"/>
      <c r="CM681" s="458"/>
      <c r="CN681" s="458"/>
      <c r="CO681" s="458"/>
      <c r="CP681" s="458"/>
      <c r="CQ681" s="458"/>
      <c r="CR681" s="458"/>
      <c r="CS681" s="458"/>
      <c r="CT681" s="458"/>
      <c r="CU681" s="458"/>
      <c r="CV681" s="458"/>
      <c r="CW681" s="458"/>
      <c r="CX681" s="458"/>
      <c r="CY681" s="458"/>
      <c r="CZ681" s="458"/>
      <c r="DA681" s="458"/>
      <c r="DB681" s="458"/>
      <c r="DC681" s="458"/>
      <c r="DD681" s="458"/>
      <c r="DE681" s="458"/>
      <c r="DF681" s="458"/>
      <c r="DG681" s="458"/>
      <c r="DH681" s="458"/>
      <c r="DI681" s="458"/>
      <c r="DJ681" s="458"/>
      <c r="DK681" s="458"/>
      <c r="DL681" s="458"/>
      <c r="DM681" s="458"/>
      <c r="DN681" s="458"/>
      <c r="DO681" s="458"/>
      <c r="DP681" s="458"/>
      <c r="DQ681" s="458"/>
      <c r="DR681" s="458"/>
      <c r="DS681" s="458"/>
      <c r="DT681" s="458"/>
      <c r="DU681" s="458"/>
      <c r="DV681" s="458"/>
      <c r="DW681" s="458"/>
      <c r="DX681" s="458"/>
      <c r="DY681" s="458"/>
      <c r="DZ681" s="458"/>
      <c r="EA681" s="458"/>
      <c r="EB681" s="458"/>
      <c r="EC681" s="458"/>
      <c r="ED681" s="458"/>
      <c r="EE681" s="458"/>
      <c r="EF681" s="458"/>
      <c r="EG681" s="458"/>
      <c r="EH681" s="458"/>
      <c r="EI681" s="458"/>
      <c r="EJ681" s="458"/>
      <c r="EK681" s="458"/>
      <c r="EL681" s="458"/>
      <c r="EM681" s="458"/>
      <c r="EN681" s="458"/>
      <c r="EO681" s="458"/>
      <c r="EP681" s="458"/>
      <c r="EQ681" s="458"/>
      <c r="ER681" s="458"/>
      <c r="ES681" s="458"/>
      <c r="ET681" s="458"/>
      <c r="EU681" s="458"/>
      <c r="EV681" s="458"/>
      <c r="EW681" s="458"/>
      <c r="EX681" s="458"/>
      <c r="EY681" s="458"/>
      <c r="EZ681" s="458"/>
      <c r="FA681" s="458"/>
      <c r="FB681" s="458"/>
      <c r="FC681" s="458"/>
      <c r="FD681" s="458"/>
      <c r="FE681" s="458"/>
      <c r="FF681" s="458"/>
      <c r="FG681" s="458"/>
      <c r="FH681" s="458"/>
      <c r="FI681" s="458"/>
      <c r="FJ681" s="458"/>
      <c r="FK681" s="458"/>
      <c r="FL681" s="458"/>
      <c r="FM681" s="458"/>
      <c r="FN681" s="458"/>
      <c r="FO681" s="458"/>
      <c r="FP681" s="458"/>
      <c r="FQ681" s="458"/>
      <c r="FR681" s="458"/>
      <c r="FS681" s="458"/>
      <c r="FT681" s="458"/>
      <c r="FU681" s="458"/>
      <c r="FV681" s="458"/>
      <c r="FW681" s="458"/>
      <c r="FX681" s="458"/>
      <c r="FY681" s="458"/>
      <c r="FZ681" s="458"/>
      <c r="GA681" s="458"/>
      <c r="GB681" s="458"/>
      <c r="GC681" s="458"/>
      <c r="GD681" s="458"/>
      <c r="GE681" s="458"/>
      <c r="GF681" s="458"/>
      <c r="GG681" s="458"/>
      <c r="GH681" s="458"/>
      <c r="GI681" s="458"/>
      <c r="GJ681" s="458"/>
      <c r="GK681" s="458"/>
      <c r="GL681" s="458"/>
      <c r="GM681" s="458"/>
      <c r="GN681" s="458"/>
      <c r="GO681" s="458"/>
      <c r="GP681" s="458"/>
      <c r="GQ681" s="458"/>
      <c r="GR681" s="458"/>
      <c r="GS681" s="458"/>
      <c r="GT681" s="458"/>
      <c r="GU681" s="458"/>
      <c r="GV681" s="458"/>
      <c r="GW681" s="458"/>
      <c r="GX681" s="458"/>
      <c r="GY681" s="458"/>
      <c r="GZ681" s="458"/>
      <c r="HA681" s="458"/>
      <c r="HB681" s="458"/>
      <c r="HC681" s="458"/>
      <c r="HD681" s="458"/>
      <c r="HE681" s="458"/>
      <c r="HF681" s="458"/>
      <c r="HG681" s="458"/>
      <c r="HH681" s="458"/>
      <c r="HI681" s="458"/>
      <c r="HJ681" s="458"/>
      <c r="HK681" s="458"/>
      <c r="HL681" s="458"/>
      <c r="HM681" s="458"/>
      <c r="HN681" s="458"/>
      <c r="HO681" s="458"/>
      <c r="HP681" s="458"/>
      <c r="HQ681" s="458"/>
      <c r="HR681" s="458"/>
      <c r="HS681" s="458"/>
      <c r="HT681" s="458"/>
      <c r="HU681" s="458"/>
      <c r="HV681" s="458"/>
      <c r="HW681" s="458"/>
      <c r="HX681" s="458"/>
      <c r="HY681" s="458"/>
      <c r="HZ681" s="458"/>
      <c r="IA681" s="458"/>
      <c r="IB681" s="458"/>
      <c r="IC681" s="458"/>
      <c r="ID681" s="458"/>
      <c r="IE681" s="458"/>
      <c r="IF681" s="458"/>
      <c r="IG681" s="458"/>
      <c r="IH681" s="458"/>
      <c r="II681" s="458"/>
      <c r="IJ681" s="458"/>
      <c r="IK681" s="458"/>
      <c r="IL681" s="458"/>
      <c r="IM681" s="458"/>
      <c r="IN681" s="458"/>
      <c r="IO681" s="458"/>
      <c r="IP681" s="458"/>
      <c r="IQ681" s="458"/>
      <c r="IR681" s="458"/>
      <c r="IS681" s="458"/>
    </row>
    <row r="682" spans="1:253" s="455" customFormat="1" ht="12" x14ac:dyDescent="0.2">
      <c r="A682" s="444"/>
      <c r="B682" s="445"/>
      <c r="C682" s="479"/>
      <c r="D682" s="479"/>
      <c r="E682" s="479"/>
      <c r="F682" s="479"/>
      <c r="G682" s="446"/>
      <c r="H682" s="445"/>
      <c r="I682" s="445"/>
      <c r="J682" s="445"/>
      <c r="K682" s="447"/>
      <c r="L682" s="448"/>
      <c r="M682" s="448"/>
      <c r="N682" s="445"/>
      <c r="O682" s="449"/>
      <c r="P682" s="450"/>
      <c r="Q682" s="451"/>
      <c r="R682" s="507"/>
      <c r="S682" s="508"/>
      <c r="T682" s="472"/>
      <c r="U682" s="448"/>
      <c r="V682" s="458"/>
      <c r="W682" s="448"/>
      <c r="X682" s="458"/>
      <c r="Y682" s="458"/>
      <c r="Z682" s="458"/>
      <c r="AA682" s="458"/>
      <c r="AB682" s="458"/>
      <c r="AC682" s="458"/>
      <c r="AD682" s="458"/>
      <c r="AE682" s="458"/>
      <c r="AF682" s="458"/>
      <c r="AG682" s="458"/>
      <c r="AH682" s="458"/>
      <c r="AI682" s="458"/>
      <c r="AJ682" s="458"/>
      <c r="AK682" s="458"/>
      <c r="AL682" s="458"/>
      <c r="AM682" s="458"/>
      <c r="AN682" s="458"/>
      <c r="AO682" s="458"/>
      <c r="AP682" s="458"/>
      <c r="AQ682" s="458"/>
      <c r="AR682" s="458"/>
      <c r="AS682" s="458"/>
      <c r="AT682" s="458"/>
      <c r="AU682" s="458"/>
      <c r="AV682" s="458"/>
      <c r="AW682" s="458"/>
      <c r="AX682" s="458"/>
      <c r="AY682" s="458"/>
      <c r="AZ682" s="458"/>
      <c r="BA682" s="458"/>
      <c r="BB682" s="458"/>
      <c r="BC682" s="458"/>
      <c r="BD682" s="458"/>
      <c r="BE682" s="458"/>
      <c r="BF682" s="458"/>
      <c r="BG682" s="458"/>
      <c r="BH682" s="458"/>
      <c r="BI682" s="458"/>
      <c r="BJ682" s="458"/>
      <c r="BK682" s="458"/>
      <c r="BL682" s="458"/>
      <c r="BM682" s="458"/>
      <c r="BN682" s="458"/>
      <c r="BO682" s="458"/>
      <c r="BP682" s="458"/>
      <c r="BQ682" s="458"/>
      <c r="BR682" s="458"/>
      <c r="BS682" s="458"/>
      <c r="BT682" s="458"/>
      <c r="BU682" s="458"/>
      <c r="BV682" s="458"/>
      <c r="BW682" s="458"/>
      <c r="BX682" s="458"/>
      <c r="BY682" s="458"/>
      <c r="BZ682" s="458"/>
      <c r="CA682" s="458"/>
      <c r="CB682" s="458"/>
      <c r="CC682" s="458"/>
      <c r="CD682" s="458"/>
      <c r="CE682" s="458"/>
      <c r="CF682" s="458"/>
      <c r="CG682" s="458"/>
      <c r="CH682" s="458"/>
      <c r="CI682" s="458"/>
      <c r="CJ682" s="458"/>
      <c r="CK682" s="458"/>
      <c r="CL682" s="458"/>
      <c r="CM682" s="458"/>
      <c r="CN682" s="458"/>
      <c r="CO682" s="458"/>
      <c r="CP682" s="458"/>
      <c r="CQ682" s="458"/>
      <c r="CR682" s="458"/>
      <c r="CS682" s="458"/>
      <c r="CT682" s="458"/>
      <c r="CU682" s="458"/>
      <c r="CV682" s="458"/>
      <c r="CW682" s="458"/>
      <c r="CX682" s="458"/>
      <c r="CY682" s="458"/>
      <c r="CZ682" s="458"/>
      <c r="DA682" s="458"/>
      <c r="DB682" s="458"/>
      <c r="DC682" s="458"/>
      <c r="DD682" s="458"/>
      <c r="DE682" s="458"/>
      <c r="DF682" s="458"/>
      <c r="DG682" s="458"/>
      <c r="DH682" s="458"/>
      <c r="DI682" s="458"/>
      <c r="DJ682" s="458"/>
      <c r="DK682" s="458"/>
      <c r="DL682" s="458"/>
      <c r="DM682" s="458"/>
      <c r="DN682" s="458"/>
      <c r="DO682" s="458"/>
      <c r="DP682" s="458"/>
      <c r="DQ682" s="458"/>
      <c r="DR682" s="458"/>
      <c r="DS682" s="458"/>
      <c r="DT682" s="458"/>
      <c r="DU682" s="458"/>
      <c r="DV682" s="458"/>
      <c r="DW682" s="458"/>
      <c r="DX682" s="458"/>
      <c r="DY682" s="458"/>
      <c r="DZ682" s="458"/>
      <c r="EA682" s="458"/>
      <c r="EB682" s="458"/>
      <c r="EC682" s="458"/>
      <c r="ED682" s="458"/>
      <c r="EE682" s="458"/>
      <c r="EF682" s="458"/>
      <c r="EG682" s="458"/>
      <c r="EH682" s="458"/>
      <c r="EI682" s="458"/>
      <c r="EJ682" s="458"/>
      <c r="EK682" s="458"/>
      <c r="EL682" s="458"/>
      <c r="EM682" s="458"/>
      <c r="EN682" s="458"/>
      <c r="EO682" s="458"/>
      <c r="EP682" s="458"/>
      <c r="EQ682" s="458"/>
      <c r="ER682" s="458"/>
      <c r="ES682" s="458"/>
      <c r="ET682" s="458"/>
      <c r="EU682" s="458"/>
      <c r="EV682" s="458"/>
      <c r="EW682" s="458"/>
      <c r="EX682" s="458"/>
      <c r="EY682" s="458"/>
      <c r="EZ682" s="458"/>
      <c r="FA682" s="458"/>
      <c r="FB682" s="458"/>
      <c r="FC682" s="458"/>
      <c r="FD682" s="458"/>
      <c r="FE682" s="458"/>
      <c r="FF682" s="458"/>
      <c r="FG682" s="458"/>
      <c r="FH682" s="458"/>
      <c r="FI682" s="458"/>
      <c r="FJ682" s="458"/>
      <c r="FK682" s="458"/>
      <c r="FL682" s="458"/>
      <c r="FM682" s="458"/>
      <c r="FN682" s="458"/>
      <c r="FO682" s="458"/>
      <c r="FP682" s="458"/>
      <c r="FQ682" s="458"/>
      <c r="FR682" s="458"/>
      <c r="FS682" s="458"/>
      <c r="FT682" s="458"/>
      <c r="FU682" s="458"/>
      <c r="FV682" s="458"/>
      <c r="FW682" s="458"/>
      <c r="FX682" s="458"/>
      <c r="FY682" s="458"/>
      <c r="FZ682" s="458"/>
      <c r="GA682" s="458"/>
      <c r="GB682" s="458"/>
      <c r="GC682" s="458"/>
      <c r="GD682" s="458"/>
      <c r="GE682" s="458"/>
      <c r="GF682" s="458"/>
      <c r="GG682" s="458"/>
      <c r="GH682" s="458"/>
      <c r="GI682" s="458"/>
      <c r="GJ682" s="458"/>
      <c r="GK682" s="458"/>
      <c r="GL682" s="458"/>
      <c r="GM682" s="458"/>
      <c r="GN682" s="458"/>
      <c r="GO682" s="458"/>
      <c r="GP682" s="458"/>
      <c r="GQ682" s="458"/>
      <c r="GR682" s="458"/>
      <c r="GS682" s="458"/>
      <c r="GT682" s="458"/>
      <c r="GU682" s="458"/>
      <c r="GV682" s="458"/>
      <c r="GW682" s="458"/>
      <c r="GX682" s="458"/>
      <c r="GY682" s="458"/>
      <c r="GZ682" s="458"/>
      <c r="HA682" s="458"/>
      <c r="HB682" s="458"/>
      <c r="HC682" s="458"/>
      <c r="HD682" s="458"/>
      <c r="HE682" s="458"/>
      <c r="HF682" s="458"/>
      <c r="HG682" s="458"/>
      <c r="HH682" s="458"/>
      <c r="HI682" s="458"/>
      <c r="HJ682" s="458"/>
      <c r="HK682" s="458"/>
      <c r="HL682" s="458"/>
      <c r="HM682" s="458"/>
      <c r="HN682" s="458"/>
      <c r="HO682" s="458"/>
      <c r="HP682" s="458"/>
      <c r="HQ682" s="458"/>
      <c r="HR682" s="458"/>
      <c r="HS682" s="458"/>
      <c r="HT682" s="458"/>
      <c r="HU682" s="458"/>
      <c r="HV682" s="458"/>
      <c r="HW682" s="458"/>
      <c r="HX682" s="458"/>
      <c r="HY682" s="458"/>
      <c r="HZ682" s="458"/>
      <c r="IA682" s="458"/>
      <c r="IB682" s="458"/>
      <c r="IC682" s="458"/>
      <c r="ID682" s="458"/>
      <c r="IE682" s="458"/>
      <c r="IF682" s="458"/>
      <c r="IG682" s="458"/>
      <c r="IH682" s="458"/>
      <c r="II682" s="458"/>
      <c r="IJ682" s="458"/>
      <c r="IK682" s="458"/>
      <c r="IL682" s="458"/>
      <c r="IM682" s="458"/>
      <c r="IN682" s="458"/>
      <c r="IO682" s="458"/>
      <c r="IP682" s="458"/>
      <c r="IQ682" s="458"/>
      <c r="IR682" s="458"/>
      <c r="IS682" s="458"/>
    </row>
    <row r="683" spans="1:253" s="455" customFormat="1" ht="12" x14ac:dyDescent="0.2">
      <c r="A683" s="444"/>
      <c r="B683" s="445"/>
      <c r="C683" s="479"/>
      <c r="D683" s="479"/>
      <c r="E683" s="479"/>
      <c r="F683" s="479"/>
      <c r="G683" s="446"/>
      <c r="H683" s="445"/>
      <c r="I683" s="445"/>
      <c r="J683" s="445"/>
      <c r="K683" s="447"/>
      <c r="L683" s="448"/>
      <c r="M683" s="448"/>
      <c r="N683" s="445"/>
      <c r="O683" s="449"/>
      <c r="P683" s="450"/>
      <c r="Q683" s="451"/>
      <c r="R683" s="507"/>
      <c r="S683" s="508"/>
      <c r="T683" s="472"/>
      <c r="U683" s="448"/>
      <c r="V683" s="458"/>
      <c r="W683" s="448"/>
      <c r="X683" s="458"/>
      <c r="Y683" s="458"/>
      <c r="Z683" s="458"/>
      <c r="AA683" s="458"/>
      <c r="AB683" s="458"/>
      <c r="AC683" s="458"/>
      <c r="AD683" s="458"/>
      <c r="AE683" s="458"/>
      <c r="AF683" s="458"/>
      <c r="AG683" s="458"/>
      <c r="AH683" s="458"/>
      <c r="AI683" s="458"/>
      <c r="AJ683" s="458"/>
      <c r="AK683" s="458"/>
      <c r="AL683" s="458"/>
      <c r="AM683" s="458"/>
      <c r="AN683" s="458"/>
      <c r="AO683" s="458"/>
      <c r="AP683" s="458"/>
      <c r="AQ683" s="458"/>
      <c r="AR683" s="458"/>
      <c r="AS683" s="458"/>
      <c r="AT683" s="458"/>
      <c r="AU683" s="458"/>
      <c r="AV683" s="458"/>
      <c r="AW683" s="458"/>
      <c r="AX683" s="458"/>
      <c r="AY683" s="458"/>
      <c r="AZ683" s="458"/>
      <c r="BA683" s="458"/>
      <c r="BB683" s="458"/>
      <c r="BC683" s="458"/>
      <c r="BD683" s="458"/>
      <c r="BE683" s="458"/>
      <c r="BF683" s="458"/>
      <c r="BG683" s="458"/>
      <c r="BH683" s="458"/>
      <c r="BI683" s="458"/>
      <c r="BJ683" s="458"/>
      <c r="BK683" s="458"/>
      <c r="BL683" s="458"/>
      <c r="BM683" s="458"/>
      <c r="BN683" s="458"/>
      <c r="BO683" s="458"/>
      <c r="BP683" s="458"/>
      <c r="BQ683" s="458"/>
      <c r="BR683" s="458"/>
      <c r="BS683" s="458"/>
      <c r="BT683" s="458"/>
      <c r="BU683" s="458"/>
      <c r="BV683" s="458"/>
      <c r="BW683" s="458"/>
      <c r="BX683" s="458"/>
      <c r="BY683" s="458"/>
      <c r="BZ683" s="458"/>
      <c r="CA683" s="458"/>
      <c r="CB683" s="458"/>
      <c r="CC683" s="458"/>
      <c r="CD683" s="458"/>
      <c r="CE683" s="458"/>
      <c r="CF683" s="458"/>
      <c r="CG683" s="458"/>
      <c r="CH683" s="458"/>
      <c r="CI683" s="458"/>
      <c r="CJ683" s="458"/>
      <c r="CK683" s="458"/>
      <c r="CL683" s="458"/>
      <c r="CM683" s="458"/>
      <c r="CN683" s="458"/>
      <c r="CO683" s="458"/>
      <c r="CP683" s="458"/>
      <c r="CQ683" s="458"/>
      <c r="CR683" s="458"/>
      <c r="CS683" s="458"/>
      <c r="CT683" s="458"/>
      <c r="CU683" s="458"/>
      <c r="CV683" s="458"/>
      <c r="CW683" s="458"/>
      <c r="CX683" s="458"/>
      <c r="CY683" s="458"/>
      <c r="CZ683" s="458"/>
      <c r="DA683" s="458"/>
      <c r="DB683" s="458"/>
      <c r="DC683" s="458"/>
      <c r="DD683" s="458"/>
      <c r="DE683" s="458"/>
      <c r="DF683" s="458"/>
      <c r="DG683" s="458"/>
      <c r="DH683" s="458"/>
      <c r="DI683" s="458"/>
      <c r="DJ683" s="458"/>
      <c r="DK683" s="458"/>
      <c r="DL683" s="458"/>
      <c r="DM683" s="458"/>
      <c r="DN683" s="458"/>
      <c r="DO683" s="458"/>
      <c r="DP683" s="458"/>
      <c r="DQ683" s="458"/>
      <c r="DR683" s="458"/>
      <c r="DS683" s="458"/>
      <c r="DT683" s="458"/>
      <c r="DU683" s="458"/>
      <c r="DV683" s="458"/>
      <c r="DW683" s="458"/>
      <c r="DX683" s="458"/>
      <c r="DY683" s="458"/>
      <c r="DZ683" s="458"/>
      <c r="EA683" s="458"/>
      <c r="EB683" s="458"/>
      <c r="EC683" s="458"/>
      <c r="ED683" s="458"/>
      <c r="EE683" s="458"/>
      <c r="EF683" s="458"/>
      <c r="EG683" s="458"/>
      <c r="EH683" s="458"/>
      <c r="EI683" s="458"/>
      <c r="EJ683" s="458"/>
      <c r="EK683" s="458"/>
      <c r="EL683" s="458"/>
      <c r="EM683" s="458"/>
      <c r="EN683" s="458"/>
      <c r="EO683" s="458"/>
      <c r="EP683" s="458"/>
      <c r="EQ683" s="458"/>
      <c r="ER683" s="458"/>
      <c r="ES683" s="458"/>
      <c r="ET683" s="458"/>
      <c r="EU683" s="458"/>
      <c r="EV683" s="458"/>
      <c r="EW683" s="458"/>
      <c r="EX683" s="458"/>
      <c r="EY683" s="458"/>
      <c r="EZ683" s="458"/>
      <c r="FA683" s="458"/>
      <c r="FB683" s="458"/>
      <c r="FC683" s="458"/>
      <c r="FD683" s="458"/>
      <c r="FE683" s="458"/>
      <c r="FF683" s="458"/>
      <c r="FG683" s="458"/>
      <c r="FH683" s="458"/>
      <c r="FI683" s="458"/>
      <c r="FJ683" s="458"/>
      <c r="FK683" s="458"/>
      <c r="FL683" s="458"/>
      <c r="FM683" s="458"/>
      <c r="FN683" s="458"/>
      <c r="FO683" s="458"/>
      <c r="FP683" s="458"/>
      <c r="FQ683" s="458"/>
      <c r="FR683" s="458"/>
      <c r="FS683" s="458"/>
      <c r="FT683" s="458"/>
      <c r="FU683" s="458"/>
      <c r="FV683" s="458"/>
      <c r="FW683" s="458"/>
      <c r="FX683" s="458"/>
      <c r="FY683" s="458"/>
      <c r="FZ683" s="458"/>
      <c r="GA683" s="458"/>
      <c r="GB683" s="458"/>
      <c r="GC683" s="458"/>
      <c r="GD683" s="458"/>
      <c r="GE683" s="458"/>
      <c r="GF683" s="458"/>
      <c r="GG683" s="458"/>
      <c r="GH683" s="458"/>
      <c r="GI683" s="458"/>
      <c r="GJ683" s="458"/>
      <c r="GK683" s="458"/>
      <c r="GL683" s="458"/>
      <c r="GM683" s="458"/>
      <c r="GN683" s="458"/>
      <c r="GO683" s="458"/>
      <c r="GP683" s="458"/>
      <c r="GQ683" s="458"/>
      <c r="GR683" s="458"/>
      <c r="GS683" s="458"/>
      <c r="GT683" s="458"/>
      <c r="GU683" s="458"/>
      <c r="GV683" s="458"/>
      <c r="GW683" s="458"/>
      <c r="GX683" s="458"/>
      <c r="GY683" s="458"/>
      <c r="GZ683" s="458"/>
      <c r="HA683" s="458"/>
      <c r="HB683" s="458"/>
      <c r="HC683" s="458"/>
      <c r="HD683" s="458"/>
      <c r="HE683" s="458"/>
      <c r="HF683" s="458"/>
      <c r="HG683" s="458"/>
      <c r="HH683" s="458"/>
      <c r="HI683" s="458"/>
      <c r="HJ683" s="458"/>
      <c r="HK683" s="458"/>
      <c r="HL683" s="458"/>
      <c r="HM683" s="458"/>
      <c r="HN683" s="458"/>
      <c r="HO683" s="458"/>
      <c r="HP683" s="458"/>
      <c r="HQ683" s="458"/>
      <c r="HR683" s="458"/>
      <c r="HS683" s="458"/>
      <c r="HT683" s="458"/>
      <c r="HU683" s="458"/>
      <c r="HV683" s="458"/>
      <c r="HW683" s="458"/>
      <c r="HX683" s="458"/>
      <c r="HY683" s="458"/>
      <c r="HZ683" s="458"/>
      <c r="IA683" s="458"/>
      <c r="IB683" s="458"/>
      <c r="IC683" s="458"/>
      <c r="ID683" s="458"/>
      <c r="IE683" s="458"/>
      <c r="IF683" s="458"/>
      <c r="IG683" s="458"/>
      <c r="IH683" s="458"/>
      <c r="II683" s="458"/>
      <c r="IJ683" s="458"/>
      <c r="IK683" s="458"/>
      <c r="IL683" s="458"/>
      <c r="IM683" s="458"/>
      <c r="IN683" s="458"/>
      <c r="IO683" s="458"/>
      <c r="IP683" s="458"/>
      <c r="IQ683" s="458"/>
      <c r="IR683" s="458"/>
      <c r="IS683" s="458"/>
    </row>
    <row r="684" spans="1:253" s="455" customFormat="1" ht="12" x14ac:dyDescent="0.2">
      <c r="A684" s="444"/>
      <c r="B684" s="445"/>
      <c r="C684" s="479"/>
      <c r="D684" s="479"/>
      <c r="E684" s="479"/>
      <c r="F684" s="479"/>
      <c r="G684" s="446"/>
      <c r="H684" s="445"/>
      <c r="I684" s="445"/>
      <c r="J684" s="445"/>
      <c r="K684" s="447"/>
      <c r="L684" s="448"/>
      <c r="M684" s="448"/>
      <c r="N684" s="445"/>
      <c r="O684" s="449"/>
      <c r="P684" s="450"/>
      <c r="Q684" s="451"/>
      <c r="R684" s="507"/>
      <c r="S684" s="508"/>
      <c r="T684" s="472"/>
      <c r="U684" s="448"/>
      <c r="V684" s="458"/>
      <c r="W684" s="448"/>
      <c r="X684" s="458"/>
      <c r="Y684" s="458"/>
      <c r="Z684" s="458"/>
      <c r="AA684" s="458"/>
      <c r="AB684" s="458"/>
      <c r="AC684" s="458"/>
      <c r="AD684" s="458"/>
      <c r="AE684" s="458"/>
      <c r="AF684" s="458"/>
      <c r="AG684" s="458"/>
      <c r="AH684" s="458"/>
      <c r="AI684" s="458"/>
      <c r="AJ684" s="458"/>
      <c r="AK684" s="458"/>
      <c r="AL684" s="458"/>
      <c r="AM684" s="458"/>
      <c r="AN684" s="458"/>
      <c r="AO684" s="458"/>
      <c r="AP684" s="458"/>
      <c r="AQ684" s="458"/>
      <c r="AR684" s="458"/>
      <c r="AS684" s="458"/>
      <c r="AT684" s="458"/>
      <c r="AU684" s="458"/>
      <c r="AV684" s="458"/>
      <c r="AW684" s="458"/>
      <c r="AX684" s="458"/>
      <c r="AY684" s="458"/>
      <c r="AZ684" s="458"/>
      <c r="BA684" s="458"/>
      <c r="BB684" s="458"/>
      <c r="BC684" s="458"/>
      <c r="BD684" s="458"/>
      <c r="BE684" s="458"/>
      <c r="BF684" s="458"/>
      <c r="BG684" s="458"/>
      <c r="BH684" s="458"/>
      <c r="BI684" s="458"/>
      <c r="BJ684" s="458"/>
      <c r="BK684" s="458"/>
      <c r="BL684" s="458"/>
      <c r="BM684" s="458"/>
      <c r="BN684" s="458"/>
      <c r="BO684" s="458"/>
      <c r="BP684" s="458"/>
      <c r="BQ684" s="458"/>
      <c r="BR684" s="458"/>
      <c r="BS684" s="458"/>
      <c r="BT684" s="458"/>
      <c r="BU684" s="458"/>
      <c r="BV684" s="458"/>
      <c r="BW684" s="458"/>
      <c r="BX684" s="458"/>
      <c r="BY684" s="458"/>
      <c r="BZ684" s="458"/>
      <c r="CA684" s="458"/>
      <c r="CB684" s="458"/>
      <c r="CC684" s="458"/>
      <c r="CD684" s="458"/>
      <c r="CE684" s="458"/>
      <c r="CF684" s="458"/>
      <c r="CG684" s="458"/>
      <c r="CH684" s="458"/>
      <c r="CI684" s="458"/>
      <c r="CJ684" s="458"/>
      <c r="CK684" s="458"/>
      <c r="CL684" s="458"/>
      <c r="CM684" s="458"/>
      <c r="CN684" s="458"/>
      <c r="CO684" s="458"/>
      <c r="CP684" s="458"/>
      <c r="CQ684" s="458"/>
      <c r="CR684" s="458"/>
      <c r="CS684" s="458"/>
      <c r="CT684" s="458"/>
      <c r="CU684" s="458"/>
      <c r="CV684" s="458"/>
      <c r="CW684" s="458"/>
      <c r="CX684" s="458"/>
      <c r="CY684" s="458"/>
      <c r="CZ684" s="458"/>
      <c r="DA684" s="458"/>
      <c r="DB684" s="458"/>
      <c r="DC684" s="458"/>
      <c r="DD684" s="458"/>
      <c r="DE684" s="458"/>
      <c r="DF684" s="458"/>
      <c r="DG684" s="458"/>
      <c r="DH684" s="458"/>
      <c r="DI684" s="458"/>
      <c r="DJ684" s="458"/>
      <c r="DK684" s="458"/>
      <c r="DL684" s="458"/>
      <c r="DM684" s="458"/>
      <c r="DN684" s="458"/>
      <c r="DO684" s="458"/>
      <c r="DP684" s="458"/>
      <c r="DQ684" s="458"/>
      <c r="DR684" s="458"/>
      <c r="DS684" s="458"/>
      <c r="DT684" s="458"/>
      <c r="DU684" s="458"/>
      <c r="DV684" s="458"/>
      <c r="DW684" s="458"/>
      <c r="DX684" s="458"/>
      <c r="DY684" s="458"/>
      <c r="DZ684" s="458"/>
      <c r="EA684" s="458"/>
      <c r="EB684" s="458"/>
      <c r="EC684" s="458"/>
      <c r="ED684" s="458"/>
      <c r="EE684" s="458"/>
      <c r="EF684" s="458"/>
      <c r="EG684" s="458"/>
      <c r="EH684" s="458"/>
      <c r="EI684" s="458"/>
      <c r="EJ684" s="458"/>
      <c r="EK684" s="458"/>
      <c r="EL684" s="458"/>
      <c r="EM684" s="458"/>
      <c r="EN684" s="458"/>
      <c r="EO684" s="458"/>
      <c r="EP684" s="458"/>
      <c r="EQ684" s="458"/>
      <c r="ER684" s="458"/>
      <c r="ES684" s="458"/>
      <c r="ET684" s="458"/>
      <c r="EU684" s="458"/>
      <c r="EV684" s="458"/>
      <c r="EW684" s="458"/>
      <c r="EX684" s="458"/>
      <c r="EY684" s="458"/>
      <c r="EZ684" s="458"/>
      <c r="FA684" s="458"/>
      <c r="FB684" s="458"/>
      <c r="FC684" s="458"/>
      <c r="FD684" s="458"/>
      <c r="FE684" s="458"/>
      <c r="FF684" s="458"/>
      <c r="FG684" s="458"/>
      <c r="FH684" s="458"/>
      <c r="FI684" s="458"/>
      <c r="FJ684" s="458"/>
      <c r="FK684" s="458"/>
      <c r="FL684" s="458"/>
      <c r="FM684" s="458"/>
      <c r="FN684" s="458"/>
      <c r="FO684" s="458"/>
      <c r="FP684" s="458"/>
      <c r="FQ684" s="458"/>
      <c r="FR684" s="458"/>
      <c r="FS684" s="458"/>
      <c r="FT684" s="458"/>
      <c r="FU684" s="458"/>
      <c r="FV684" s="458"/>
      <c r="FW684" s="458"/>
      <c r="FX684" s="458"/>
      <c r="FY684" s="458"/>
      <c r="FZ684" s="458"/>
      <c r="GA684" s="458"/>
      <c r="GB684" s="458"/>
      <c r="GC684" s="458"/>
      <c r="GD684" s="458"/>
      <c r="GE684" s="458"/>
      <c r="GF684" s="458"/>
      <c r="GG684" s="458"/>
      <c r="GH684" s="458"/>
      <c r="GI684" s="458"/>
      <c r="GJ684" s="458"/>
      <c r="GK684" s="458"/>
      <c r="GL684" s="458"/>
      <c r="GM684" s="458"/>
      <c r="GN684" s="458"/>
      <c r="GO684" s="458"/>
      <c r="GP684" s="458"/>
      <c r="GQ684" s="458"/>
      <c r="GR684" s="458"/>
      <c r="GS684" s="458"/>
      <c r="GT684" s="458"/>
      <c r="GU684" s="458"/>
      <c r="GV684" s="458"/>
      <c r="GW684" s="458"/>
      <c r="GX684" s="458"/>
      <c r="GY684" s="458"/>
      <c r="GZ684" s="458"/>
      <c r="HA684" s="458"/>
      <c r="HB684" s="458"/>
      <c r="HC684" s="458"/>
      <c r="HD684" s="458"/>
      <c r="HE684" s="458"/>
      <c r="HF684" s="458"/>
      <c r="HG684" s="458"/>
      <c r="HH684" s="458"/>
      <c r="HI684" s="458"/>
      <c r="HJ684" s="458"/>
      <c r="HK684" s="458"/>
      <c r="HL684" s="458"/>
      <c r="HM684" s="458"/>
      <c r="HN684" s="458"/>
      <c r="HO684" s="458"/>
      <c r="HP684" s="458"/>
      <c r="HQ684" s="458"/>
      <c r="HR684" s="458"/>
      <c r="HS684" s="458"/>
      <c r="HT684" s="458"/>
      <c r="HU684" s="458"/>
      <c r="HV684" s="458"/>
      <c r="HW684" s="458"/>
      <c r="HX684" s="458"/>
      <c r="HY684" s="458"/>
      <c r="HZ684" s="458"/>
      <c r="IA684" s="458"/>
      <c r="IB684" s="458"/>
      <c r="IC684" s="458"/>
      <c r="ID684" s="458"/>
      <c r="IE684" s="458"/>
      <c r="IF684" s="458"/>
      <c r="IG684" s="458"/>
      <c r="IH684" s="458"/>
      <c r="II684" s="458"/>
      <c r="IJ684" s="458"/>
      <c r="IK684" s="458"/>
      <c r="IL684" s="458"/>
      <c r="IM684" s="458"/>
      <c r="IN684" s="458"/>
      <c r="IO684" s="458"/>
      <c r="IP684" s="458"/>
      <c r="IQ684" s="458"/>
      <c r="IR684" s="458"/>
      <c r="IS684" s="458"/>
    </row>
    <row r="685" spans="1:253" s="458" customFormat="1" ht="12" x14ac:dyDescent="0.2">
      <c r="A685" s="444"/>
      <c r="B685" s="445"/>
      <c r="C685" s="479"/>
      <c r="D685" s="479"/>
      <c r="E685" s="479"/>
      <c r="F685" s="479"/>
      <c r="G685" s="446"/>
      <c r="H685" s="445"/>
      <c r="I685" s="445"/>
      <c r="J685" s="445"/>
      <c r="K685" s="447"/>
      <c r="L685" s="448"/>
      <c r="M685" s="448"/>
      <c r="N685" s="445"/>
      <c r="O685" s="449"/>
      <c r="P685" s="450"/>
      <c r="Q685" s="451"/>
      <c r="R685" s="507"/>
      <c r="S685" s="508"/>
      <c r="T685" s="472"/>
      <c r="U685" s="448"/>
      <c r="W685" s="448"/>
    </row>
    <row r="686" spans="1:253" s="455" customFormat="1" ht="12" x14ac:dyDescent="0.2">
      <c r="A686" s="444"/>
      <c r="B686" s="445"/>
      <c r="C686" s="479"/>
      <c r="D686" s="479"/>
      <c r="E686" s="479"/>
      <c r="F686" s="479"/>
      <c r="G686" s="446"/>
      <c r="H686" s="445"/>
      <c r="I686" s="445"/>
      <c r="J686" s="445"/>
      <c r="K686" s="447"/>
      <c r="L686" s="448"/>
      <c r="M686" s="448"/>
      <c r="N686" s="445"/>
      <c r="O686" s="449"/>
      <c r="P686" s="450"/>
      <c r="Q686" s="451"/>
      <c r="R686" s="507"/>
      <c r="S686" s="508"/>
      <c r="T686" s="472"/>
      <c r="U686" s="448"/>
      <c r="V686" s="458"/>
      <c r="W686" s="448"/>
      <c r="X686" s="458"/>
      <c r="Y686" s="458"/>
      <c r="Z686" s="458"/>
      <c r="AA686" s="458"/>
      <c r="AB686" s="458"/>
      <c r="AC686" s="458"/>
      <c r="AD686" s="458"/>
      <c r="AE686" s="458"/>
      <c r="AF686" s="458"/>
      <c r="AG686" s="458"/>
      <c r="AH686" s="458"/>
      <c r="AI686" s="458"/>
      <c r="AJ686" s="458"/>
      <c r="AK686" s="458"/>
      <c r="AL686" s="458"/>
      <c r="AM686" s="458"/>
      <c r="AN686" s="458"/>
      <c r="AO686" s="458"/>
      <c r="AP686" s="458"/>
      <c r="AQ686" s="458"/>
      <c r="AR686" s="458"/>
      <c r="AS686" s="458"/>
      <c r="AT686" s="458"/>
      <c r="AU686" s="458"/>
      <c r="AV686" s="458"/>
      <c r="AW686" s="458"/>
      <c r="AX686" s="458"/>
      <c r="AY686" s="458"/>
      <c r="AZ686" s="458"/>
      <c r="BA686" s="458"/>
      <c r="BB686" s="458"/>
      <c r="BC686" s="458"/>
      <c r="BD686" s="458"/>
      <c r="BE686" s="458"/>
      <c r="BF686" s="458"/>
      <c r="BG686" s="458"/>
      <c r="BH686" s="458"/>
      <c r="BI686" s="458"/>
      <c r="BJ686" s="458"/>
      <c r="BK686" s="458"/>
      <c r="BL686" s="458"/>
      <c r="BM686" s="458"/>
      <c r="BN686" s="458"/>
      <c r="BO686" s="458"/>
      <c r="BP686" s="458"/>
      <c r="BQ686" s="458"/>
      <c r="BR686" s="458"/>
      <c r="BS686" s="458"/>
      <c r="BT686" s="458"/>
      <c r="BU686" s="458"/>
      <c r="BV686" s="458"/>
      <c r="BW686" s="458"/>
      <c r="BX686" s="458"/>
      <c r="BY686" s="458"/>
      <c r="BZ686" s="458"/>
      <c r="CA686" s="458"/>
      <c r="CB686" s="458"/>
      <c r="CC686" s="458"/>
      <c r="CD686" s="458"/>
      <c r="CE686" s="458"/>
      <c r="CF686" s="458"/>
      <c r="CG686" s="458"/>
      <c r="CH686" s="458"/>
      <c r="CI686" s="458"/>
      <c r="CJ686" s="458"/>
      <c r="CK686" s="458"/>
      <c r="CL686" s="458"/>
      <c r="CM686" s="458"/>
      <c r="CN686" s="458"/>
      <c r="CO686" s="458"/>
      <c r="CP686" s="458"/>
      <c r="CQ686" s="458"/>
      <c r="CR686" s="458"/>
      <c r="CS686" s="458"/>
      <c r="CT686" s="458"/>
      <c r="CU686" s="458"/>
      <c r="CV686" s="458"/>
      <c r="CW686" s="458"/>
      <c r="CX686" s="458"/>
      <c r="CY686" s="458"/>
      <c r="CZ686" s="458"/>
      <c r="DA686" s="458"/>
      <c r="DB686" s="458"/>
      <c r="DC686" s="458"/>
      <c r="DD686" s="458"/>
      <c r="DE686" s="458"/>
      <c r="DF686" s="458"/>
      <c r="DG686" s="458"/>
      <c r="DH686" s="458"/>
      <c r="DI686" s="458"/>
      <c r="DJ686" s="458"/>
      <c r="DK686" s="458"/>
      <c r="DL686" s="458"/>
      <c r="DM686" s="458"/>
      <c r="DN686" s="458"/>
      <c r="DO686" s="458"/>
      <c r="DP686" s="458"/>
      <c r="DQ686" s="458"/>
      <c r="DR686" s="458"/>
      <c r="DS686" s="458"/>
      <c r="DT686" s="458"/>
      <c r="DU686" s="458"/>
      <c r="DV686" s="458"/>
      <c r="DW686" s="458"/>
      <c r="DX686" s="458"/>
      <c r="DY686" s="458"/>
      <c r="DZ686" s="458"/>
      <c r="EA686" s="458"/>
      <c r="EB686" s="458"/>
      <c r="EC686" s="458"/>
      <c r="ED686" s="458"/>
      <c r="EE686" s="458"/>
      <c r="EF686" s="458"/>
      <c r="EG686" s="458"/>
      <c r="EH686" s="458"/>
      <c r="EI686" s="458"/>
      <c r="EJ686" s="458"/>
      <c r="EK686" s="458"/>
      <c r="EL686" s="458"/>
      <c r="EM686" s="458"/>
      <c r="EN686" s="458"/>
      <c r="EO686" s="458"/>
      <c r="EP686" s="458"/>
      <c r="EQ686" s="458"/>
      <c r="ER686" s="458"/>
      <c r="ES686" s="458"/>
      <c r="ET686" s="458"/>
      <c r="EU686" s="458"/>
      <c r="EV686" s="458"/>
      <c r="EW686" s="458"/>
      <c r="EX686" s="458"/>
      <c r="EY686" s="458"/>
      <c r="EZ686" s="458"/>
      <c r="FA686" s="458"/>
      <c r="FB686" s="458"/>
      <c r="FC686" s="458"/>
      <c r="FD686" s="458"/>
      <c r="FE686" s="458"/>
      <c r="FF686" s="458"/>
      <c r="FG686" s="458"/>
      <c r="FH686" s="458"/>
      <c r="FI686" s="458"/>
      <c r="FJ686" s="458"/>
      <c r="FK686" s="458"/>
      <c r="FL686" s="458"/>
      <c r="FM686" s="458"/>
      <c r="FN686" s="458"/>
      <c r="FO686" s="458"/>
      <c r="FP686" s="458"/>
      <c r="FQ686" s="458"/>
      <c r="FR686" s="458"/>
      <c r="FS686" s="458"/>
      <c r="FT686" s="458"/>
      <c r="FU686" s="458"/>
      <c r="FV686" s="458"/>
      <c r="FW686" s="458"/>
      <c r="FX686" s="458"/>
      <c r="FY686" s="458"/>
      <c r="FZ686" s="458"/>
      <c r="GA686" s="458"/>
      <c r="GB686" s="458"/>
      <c r="GC686" s="458"/>
      <c r="GD686" s="458"/>
      <c r="GE686" s="458"/>
      <c r="GF686" s="458"/>
      <c r="GG686" s="458"/>
      <c r="GH686" s="458"/>
      <c r="GI686" s="458"/>
      <c r="GJ686" s="458"/>
      <c r="GK686" s="458"/>
      <c r="GL686" s="458"/>
      <c r="GM686" s="458"/>
      <c r="GN686" s="458"/>
      <c r="GO686" s="458"/>
      <c r="GP686" s="458"/>
      <c r="GQ686" s="458"/>
      <c r="GR686" s="458"/>
      <c r="GS686" s="458"/>
      <c r="GT686" s="458"/>
      <c r="GU686" s="458"/>
      <c r="GV686" s="458"/>
      <c r="GW686" s="458"/>
      <c r="GX686" s="458"/>
      <c r="GY686" s="458"/>
      <c r="GZ686" s="458"/>
      <c r="HA686" s="458"/>
      <c r="HB686" s="458"/>
      <c r="HC686" s="458"/>
      <c r="HD686" s="458"/>
      <c r="HE686" s="458"/>
      <c r="HF686" s="458"/>
      <c r="HG686" s="458"/>
      <c r="HH686" s="458"/>
      <c r="HI686" s="458"/>
      <c r="HJ686" s="458"/>
      <c r="HK686" s="458"/>
      <c r="HL686" s="458"/>
      <c r="HM686" s="458"/>
      <c r="HN686" s="458"/>
      <c r="HO686" s="458"/>
      <c r="HP686" s="458"/>
      <c r="HQ686" s="458"/>
      <c r="HR686" s="458"/>
      <c r="HS686" s="458"/>
      <c r="HT686" s="458"/>
      <c r="HU686" s="458"/>
      <c r="HV686" s="458"/>
      <c r="HW686" s="458"/>
      <c r="HX686" s="458"/>
      <c r="HY686" s="458"/>
      <c r="HZ686" s="458"/>
      <c r="IA686" s="458"/>
      <c r="IB686" s="458"/>
      <c r="IC686" s="458"/>
      <c r="ID686" s="458"/>
      <c r="IE686" s="458"/>
      <c r="IF686" s="458"/>
      <c r="IG686" s="458"/>
      <c r="IH686" s="458"/>
      <c r="II686" s="458"/>
      <c r="IJ686" s="458"/>
      <c r="IK686" s="458"/>
      <c r="IL686" s="458"/>
      <c r="IM686" s="458"/>
      <c r="IN686" s="458"/>
      <c r="IO686" s="458"/>
      <c r="IP686" s="458"/>
      <c r="IQ686" s="458"/>
      <c r="IR686" s="458"/>
      <c r="IS686" s="458"/>
    </row>
    <row r="687" spans="1:253" s="455" customFormat="1" ht="12" x14ac:dyDescent="0.2">
      <c r="A687" s="444"/>
      <c r="B687" s="445"/>
      <c r="C687" s="479"/>
      <c r="D687" s="479"/>
      <c r="E687" s="479"/>
      <c r="F687" s="479"/>
      <c r="G687" s="446"/>
      <c r="H687" s="445"/>
      <c r="I687" s="445"/>
      <c r="J687" s="445"/>
      <c r="K687" s="447"/>
      <c r="L687" s="448"/>
      <c r="M687" s="448"/>
      <c r="N687" s="445"/>
      <c r="O687" s="449"/>
      <c r="P687" s="450"/>
      <c r="Q687" s="451"/>
      <c r="R687" s="507"/>
      <c r="S687" s="508"/>
      <c r="T687" s="472"/>
      <c r="U687" s="448"/>
      <c r="V687" s="458"/>
      <c r="W687" s="448"/>
      <c r="X687" s="458"/>
      <c r="Y687" s="458"/>
      <c r="Z687" s="458"/>
      <c r="AA687" s="458"/>
      <c r="AB687" s="458"/>
      <c r="AC687" s="458"/>
      <c r="AD687" s="458"/>
      <c r="AE687" s="458"/>
      <c r="AF687" s="458"/>
      <c r="AG687" s="458"/>
      <c r="AH687" s="458"/>
      <c r="AI687" s="458"/>
      <c r="AJ687" s="458"/>
      <c r="AK687" s="458"/>
      <c r="AL687" s="458"/>
      <c r="AM687" s="458"/>
      <c r="AN687" s="458"/>
      <c r="AO687" s="458"/>
      <c r="AP687" s="458"/>
      <c r="AQ687" s="458"/>
      <c r="AR687" s="458"/>
      <c r="AS687" s="458"/>
      <c r="AT687" s="458"/>
      <c r="AU687" s="458"/>
      <c r="AV687" s="458"/>
      <c r="AW687" s="458"/>
      <c r="AX687" s="458"/>
      <c r="AY687" s="458"/>
      <c r="AZ687" s="458"/>
      <c r="BA687" s="458"/>
      <c r="BB687" s="458"/>
      <c r="BC687" s="458"/>
      <c r="BD687" s="458"/>
      <c r="BE687" s="458"/>
      <c r="BF687" s="458"/>
      <c r="BG687" s="458"/>
      <c r="BH687" s="458"/>
      <c r="BI687" s="458"/>
      <c r="BJ687" s="458"/>
      <c r="BK687" s="458"/>
      <c r="BL687" s="458"/>
      <c r="BM687" s="458"/>
      <c r="BN687" s="458"/>
      <c r="BO687" s="458"/>
      <c r="BP687" s="458"/>
      <c r="BQ687" s="458"/>
      <c r="BR687" s="458"/>
      <c r="BS687" s="458"/>
      <c r="BT687" s="458"/>
      <c r="BU687" s="458"/>
      <c r="BV687" s="458"/>
      <c r="BW687" s="458"/>
      <c r="BX687" s="458"/>
      <c r="BY687" s="458"/>
      <c r="BZ687" s="458"/>
      <c r="CA687" s="458"/>
      <c r="CB687" s="458"/>
      <c r="CC687" s="458"/>
      <c r="CD687" s="458"/>
      <c r="CE687" s="458"/>
      <c r="CF687" s="458"/>
      <c r="CG687" s="458"/>
      <c r="CH687" s="458"/>
      <c r="CI687" s="458"/>
      <c r="CJ687" s="458"/>
      <c r="CK687" s="458"/>
      <c r="CL687" s="458"/>
      <c r="CM687" s="458"/>
      <c r="CN687" s="458"/>
      <c r="CO687" s="458"/>
      <c r="CP687" s="458"/>
      <c r="CQ687" s="458"/>
      <c r="CR687" s="458"/>
      <c r="CS687" s="458"/>
      <c r="CT687" s="458"/>
      <c r="CU687" s="458"/>
      <c r="CV687" s="458"/>
      <c r="CW687" s="458"/>
      <c r="CX687" s="458"/>
      <c r="CY687" s="458"/>
      <c r="CZ687" s="458"/>
      <c r="DA687" s="458"/>
      <c r="DB687" s="458"/>
      <c r="DC687" s="458"/>
      <c r="DD687" s="458"/>
      <c r="DE687" s="458"/>
      <c r="DF687" s="458"/>
      <c r="DG687" s="458"/>
      <c r="DH687" s="458"/>
      <c r="DI687" s="458"/>
      <c r="DJ687" s="458"/>
      <c r="DK687" s="458"/>
      <c r="DL687" s="458"/>
      <c r="DM687" s="458"/>
      <c r="DN687" s="458"/>
      <c r="DO687" s="458"/>
      <c r="DP687" s="458"/>
      <c r="DQ687" s="458"/>
      <c r="DR687" s="458"/>
      <c r="DS687" s="458"/>
      <c r="DT687" s="458"/>
      <c r="DU687" s="458"/>
      <c r="DV687" s="458"/>
      <c r="DW687" s="458"/>
      <c r="DX687" s="458"/>
      <c r="DY687" s="458"/>
      <c r="DZ687" s="458"/>
      <c r="EA687" s="458"/>
      <c r="EB687" s="458"/>
      <c r="EC687" s="458"/>
      <c r="ED687" s="458"/>
      <c r="EE687" s="458"/>
      <c r="EF687" s="458"/>
      <c r="EG687" s="458"/>
      <c r="EH687" s="458"/>
      <c r="EI687" s="458"/>
      <c r="EJ687" s="458"/>
      <c r="EK687" s="458"/>
      <c r="EL687" s="458"/>
      <c r="EM687" s="458"/>
      <c r="EN687" s="458"/>
      <c r="EO687" s="458"/>
      <c r="EP687" s="458"/>
      <c r="EQ687" s="458"/>
      <c r="ER687" s="458"/>
      <c r="ES687" s="458"/>
      <c r="ET687" s="458"/>
      <c r="EU687" s="458"/>
      <c r="EV687" s="458"/>
      <c r="EW687" s="458"/>
      <c r="EX687" s="458"/>
      <c r="EY687" s="458"/>
      <c r="EZ687" s="458"/>
      <c r="FA687" s="458"/>
      <c r="FB687" s="458"/>
      <c r="FC687" s="458"/>
      <c r="FD687" s="458"/>
      <c r="FE687" s="458"/>
      <c r="FF687" s="458"/>
      <c r="FG687" s="458"/>
      <c r="FH687" s="458"/>
      <c r="FI687" s="458"/>
      <c r="FJ687" s="458"/>
      <c r="FK687" s="458"/>
      <c r="FL687" s="458"/>
      <c r="FM687" s="458"/>
      <c r="FN687" s="458"/>
      <c r="FO687" s="458"/>
      <c r="FP687" s="458"/>
      <c r="FQ687" s="458"/>
      <c r="FR687" s="458"/>
      <c r="FS687" s="458"/>
      <c r="FT687" s="458"/>
      <c r="FU687" s="458"/>
      <c r="FV687" s="458"/>
      <c r="FW687" s="458"/>
      <c r="FX687" s="458"/>
      <c r="FY687" s="458"/>
      <c r="FZ687" s="458"/>
      <c r="GA687" s="458"/>
      <c r="GB687" s="458"/>
      <c r="GC687" s="458"/>
      <c r="GD687" s="458"/>
      <c r="GE687" s="458"/>
      <c r="GF687" s="458"/>
      <c r="GG687" s="458"/>
      <c r="GH687" s="458"/>
      <c r="GI687" s="458"/>
      <c r="GJ687" s="458"/>
      <c r="GK687" s="458"/>
      <c r="GL687" s="458"/>
      <c r="GM687" s="458"/>
      <c r="GN687" s="458"/>
      <c r="GO687" s="458"/>
      <c r="GP687" s="458"/>
      <c r="GQ687" s="458"/>
      <c r="GR687" s="458"/>
      <c r="GS687" s="458"/>
      <c r="GT687" s="458"/>
      <c r="GU687" s="458"/>
      <c r="GV687" s="458"/>
      <c r="GW687" s="458"/>
      <c r="GX687" s="458"/>
      <c r="GY687" s="458"/>
      <c r="GZ687" s="458"/>
      <c r="HA687" s="458"/>
      <c r="HB687" s="458"/>
      <c r="HC687" s="458"/>
      <c r="HD687" s="458"/>
      <c r="HE687" s="458"/>
      <c r="HF687" s="458"/>
      <c r="HG687" s="458"/>
      <c r="HH687" s="458"/>
      <c r="HI687" s="458"/>
      <c r="HJ687" s="458"/>
      <c r="HK687" s="458"/>
      <c r="HL687" s="458"/>
      <c r="HM687" s="458"/>
      <c r="HN687" s="458"/>
      <c r="HO687" s="458"/>
      <c r="HP687" s="458"/>
      <c r="HQ687" s="458"/>
      <c r="HR687" s="458"/>
      <c r="HS687" s="458"/>
      <c r="HT687" s="458"/>
      <c r="HU687" s="458"/>
      <c r="HV687" s="458"/>
      <c r="HW687" s="458"/>
      <c r="HX687" s="458"/>
      <c r="HY687" s="458"/>
      <c r="HZ687" s="458"/>
      <c r="IA687" s="458"/>
      <c r="IB687" s="458"/>
      <c r="IC687" s="458"/>
      <c r="ID687" s="458"/>
      <c r="IE687" s="458"/>
      <c r="IF687" s="458"/>
      <c r="IG687" s="458"/>
      <c r="IH687" s="458"/>
      <c r="II687" s="458"/>
      <c r="IJ687" s="458"/>
      <c r="IK687" s="458"/>
      <c r="IL687" s="458"/>
      <c r="IM687" s="458"/>
      <c r="IN687" s="458"/>
      <c r="IO687" s="458"/>
      <c r="IP687" s="458"/>
      <c r="IQ687" s="458"/>
      <c r="IR687" s="458"/>
      <c r="IS687" s="458"/>
    </row>
    <row r="688" spans="1:253" s="455" customFormat="1" ht="12" x14ac:dyDescent="0.2">
      <c r="A688" s="444"/>
      <c r="B688" s="445"/>
      <c r="C688" s="479"/>
      <c r="D688" s="479"/>
      <c r="E688" s="479"/>
      <c r="F688" s="479"/>
      <c r="G688" s="446"/>
      <c r="H688" s="445"/>
      <c r="I688" s="445"/>
      <c r="J688" s="445"/>
      <c r="K688" s="447"/>
      <c r="L688" s="448"/>
      <c r="M688" s="448"/>
      <c r="N688" s="445"/>
      <c r="O688" s="449"/>
      <c r="P688" s="450"/>
      <c r="Q688" s="451"/>
      <c r="R688" s="507"/>
      <c r="S688" s="508"/>
      <c r="T688" s="472"/>
      <c r="U688" s="448"/>
      <c r="V688" s="458"/>
      <c r="W688" s="448"/>
      <c r="X688" s="458"/>
      <c r="Y688" s="458"/>
      <c r="Z688" s="458"/>
      <c r="AA688" s="458"/>
      <c r="AB688" s="458"/>
      <c r="AC688" s="458"/>
      <c r="AD688" s="458"/>
      <c r="AE688" s="458"/>
      <c r="AF688" s="458"/>
      <c r="AG688" s="458"/>
      <c r="AH688" s="458"/>
      <c r="AI688" s="458"/>
      <c r="AJ688" s="458"/>
      <c r="AK688" s="458"/>
      <c r="AL688" s="458"/>
      <c r="AM688" s="458"/>
      <c r="AN688" s="458"/>
      <c r="AO688" s="458"/>
      <c r="AP688" s="458"/>
      <c r="AQ688" s="458"/>
      <c r="AR688" s="458"/>
      <c r="AS688" s="458"/>
      <c r="AT688" s="458"/>
      <c r="AU688" s="458"/>
      <c r="AV688" s="458"/>
      <c r="AW688" s="458"/>
      <c r="AX688" s="458"/>
      <c r="AY688" s="458"/>
      <c r="AZ688" s="458"/>
      <c r="BA688" s="458"/>
      <c r="BB688" s="458"/>
      <c r="BC688" s="458"/>
      <c r="BD688" s="458"/>
      <c r="BE688" s="458"/>
      <c r="BF688" s="458"/>
      <c r="BG688" s="458"/>
      <c r="BH688" s="458"/>
      <c r="BI688" s="458"/>
      <c r="BJ688" s="458"/>
      <c r="BK688" s="458"/>
      <c r="BL688" s="458"/>
      <c r="BM688" s="458"/>
      <c r="BN688" s="458"/>
      <c r="BO688" s="458"/>
      <c r="BP688" s="458"/>
      <c r="BQ688" s="458"/>
      <c r="BR688" s="458"/>
      <c r="BS688" s="458"/>
      <c r="BT688" s="458"/>
      <c r="BU688" s="458"/>
      <c r="BV688" s="458"/>
      <c r="BW688" s="458"/>
      <c r="BX688" s="458"/>
      <c r="BY688" s="458"/>
      <c r="BZ688" s="458"/>
      <c r="CA688" s="458"/>
      <c r="CB688" s="458"/>
      <c r="CC688" s="458"/>
      <c r="CD688" s="458"/>
      <c r="CE688" s="458"/>
      <c r="CF688" s="458"/>
      <c r="CG688" s="458"/>
      <c r="CH688" s="458"/>
      <c r="CI688" s="458"/>
      <c r="CJ688" s="458"/>
      <c r="CK688" s="458"/>
      <c r="CL688" s="458"/>
      <c r="CM688" s="458"/>
      <c r="CN688" s="458"/>
      <c r="CO688" s="458"/>
      <c r="CP688" s="458"/>
      <c r="CQ688" s="458"/>
      <c r="CR688" s="458"/>
      <c r="CS688" s="458"/>
      <c r="CT688" s="458"/>
      <c r="CU688" s="458"/>
      <c r="CV688" s="458"/>
      <c r="CW688" s="458"/>
      <c r="CX688" s="458"/>
      <c r="CY688" s="458"/>
      <c r="CZ688" s="458"/>
      <c r="DA688" s="458"/>
      <c r="DB688" s="458"/>
      <c r="DC688" s="458"/>
      <c r="DD688" s="458"/>
      <c r="DE688" s="458"/>
      <c r="DF688" s="458"/>
      <c r="DG688" s="458"/>
      <c r="DH688" s="458"/>
      <c r="DI688" s="458"/>
      <c r="DJ688" s="458"/>
      <c r="DK688" s="458"/>
      <c r="DL688" s="458"/>
      <c r="DM688" s="458"/>
      <c r="DN688" s="458"/>
      <c r="DO688" s="458"/>
      <c r="DP688" s="458"/>
      <c r="DQ688" s="458"/>
      <c r="DR688" s="458"/>
      <c r="DS688" s="458"/>
      <c r="DT688" s="458"/>
      <c r="DU688" s="458"/>
      <c r="DV688" s="458"/>
      <c r="DW688" s="458"/>
      <c r="DX688" s="458"/>
      <c r="DY688" s="458"/>
      <c r="DZ688" s="458"/>
      <c r="EA688" s="458"/>
      <c r="EB688" s="458"/>
      <c r="EC688" s="458"/>
      <c r="ED688" s="458"/>
      <c r="EE688" s="458"/>
      <c r="EF688" s="458"/>
      <c r="EG688" s="458"/>
      <c r="EH688" s="458"/>
      <c r="EI688" s="458"/>
      <c r="EJ688" s="458"/>
      <c r="EK688" s="458"/>
      <c r="EL688" s="458"/>
      <c r="EM688" s="458"/>
      <c r="EN688" s="458"/>
      <c r="EO688" s="458"/>
      <c r="EP688" s="458"/>
      <c r="EQ688" s="458"/>
      <c r="ER688" s="458"/>
      <c r="ES688" s="458"/>
      <c r="ET688" s="458"/>
      <c r="EU688" s="458"/>
      <c r="EV688" s="458"/>
      <c r="EW688" s="458"/>
      <c r="EX688" s="458"/>
      <c r="EY688" s="458"/>
      <c r="EZ688" s="458"/>
      <c r="FA688" s="458"/>
      <c r="FB688" s="458"/>
      <c r="FC688" s="458"/>
      <c r="FD688" s="458"/>
      <c r="FE688" s="458"/>
      <c r="FF688" s="458"/>
      <c r="FG688" s="458"/>
      <c r="FH688" s="458"/>
      <c r="FI688" s="458"/>
      <c r="FJ688" s="458"/>
      <c r="FK688" s="458"/>
      <c r="FL688" s="458"/>
      <c r="FM688" s="458"/>
      <c r="FN688" s="458"/>
      <c r="FO688" s="458"/>
      <c r="FP688" s="458"/>
      <c r="FQ688" s="458"/>
      <c r="FR688" s="458"/>
      <c r="FS688" s="458"/>
      <c r="FT688" s="458"/>
      <c r="FU688" s="458"/>
      <c r="FV688" s="458"/>
      <c r="FW688" s="458"/>
      <c r="FX688" s="458"/>
      <c r="FY688" s="458"/>
      <c r="FZ688" s="458"/>
      <c r="GA688" s="458"/>
      <c r="GB688" s="458"/>
      <c r="GC688" s="458"/>
      <c r="GD688" s="458"/>
      <c r="GE688" s="458"/>
      <c r="GF688" s="458"/>
      <c r="GG688" s="458"/>
      <c r="GH688" s="458"/>
      <c r="GI688" s="458"/>
      <c r="GJ688" s="458"/>
      <c r="GK688" s="458"/>
      <c r="GL688" s="458"/>
      <c r="GM688" s="458"/>
      <c r="GN688" s="458"/>
      <c r="GO688" s="458"/>
      <c r="GP688" s="458"/>
      <c r="GQ688" s="458"/>
      <c r="GR688" s="458"/>
      <c r="GS688" s="458"/>
      <c r="GT688" s="458"/>
      <c r="GU688" s="458"/>
      <c r="GV688" s="458"/>
      <c r="GW688" s="458"/>
      <c r="GX688" s="458"/>
      <c r="GY688" s="458"/>
      <c r="GZ688" s="458"/>
      <c r="HA688" s="458"/>
      <c r="HB688" s="458"/>
      <c r="HC688" s="458"/>
      <c r="HD688" s="458"/>
      <c r="HE688" s="458"/>
      <c r="HF688" s="458"/>
      <c r="HG688" s="458"/>
      <c r="HH688" s="458"/>
      <c r="HI688" s="458"/>
      <c r="HJ688" s="458"/>
      <c r="HK688" s="458"/>
      <c r="HL688" s="458"/>
      <c r="HM688" s="458"/>
      <c r="HN688" s="458"/>
      <c r="HO688" s="458"/>
      <c r="HP688" s="458"/>
      <c r="HQ688" s="458"/>
      <c r="HR688" s="458"/>
      <c r="HS688" s="458"/>
      <c r="HT688" s="458"/>
      <c r="HU688" s="458"/>
      <c r="HV688" s="458"/>
      <c r="HW688" s="458"/>
      <c r="HX688" s="458"/>
      <c r="HY688" s="458"/>
      <c r="HZ688" s="458"/>
      <c r="IA688" s="458"/>
      <c r="IB688" s="458"/>
      <c r="IC688" s="458"/>
      <c r="ID688" s="458"/>
      <c r="IE688" s="458"/>
      <c r="IF688" s="458"/>
      <c r="IG688" s="458"/>
      <c r="IH688" s="458"/>
      <c r="II688" s="458"/>
      <c r="IJ688" s="458"/>
      <c r="IK688" s="458"/>
      <c r="IL688" s="458"/>
      <c r="IM688" s="458"/>
      <c r="IN688" s="458"/>
      <c r="IO688" s="458"/>
      <c r="IP688" s="458"/>
      <c r="IQ688" s="458"/>
      <c r="IR688" s="458"/>
      <c r="IS688" s="458"/>
    </row>
    <row r="689" spans="1:253" s="455" customFormat="1" ht="12" x14ac:dyDescent="0.2">
      <c r="A689" s="444"/>
      <c r="B689" s="445"/>
      <c r="C689" s="479"/>
      <c r="D689" s="479"/>
      <c r="E689" s="479"/>
      <c r="F689" s="479"/>
      <c r="G689" s="446"/>
      <c r="H689" s="445"/>
      <c r="I689" s="445"/>
      <c r="J689" s="445"/>
      <c r="K689" s="447"/>
      <c r="L689" s="448"/>
      <c r="M689" s="448"/>
      <c r="N689" s="445"/>
      <c r="O689" s="449"/>
      <c r="P689" s="450"/>
      <c r="Q689" s="451"/>
      <c r="R689" s="507"/>
      <c r="S689" s="508"/>
      <c r="T689" s="472"/>
      <c r="U689" s="448"/>
      <c r="V689" s="458"/>
      <c r="W689" s="448"/>
      <c r="X689" s="458"/>
      <c r="Y689" s="458"/>
      <c r="Z689" s="458"/>
      <c r="AA689" s="458"/>
      <c r="AB689" s="458"/>
      <c r="AC689" s="458"/>
      <c r="AD689" s="458"/>
      <c r="AE689" s="458"/>
      <c r="AF689" s="458"/>
      <c r="AG689" s="458"/>
      <c r="AH689" s="458"/>
      <c r="AI689" s="458"/>
      <c r="AJ689" s="458"/>
      <c r="AK689" s="458"/>
      <c r="AL689" s="458"/>
      <c r="AM689" s="458"/>
      <c r="AN689" s="458"/>
      <c r="AO689" s="458"/>
      <c r="AP689" s="458"/>
      <c r="AQ689" s="458"/>
      <c r="AR689" s="458"/>
      <c r="AS689" s="458"/>
      <c r="AT689" s="458"/>
      <c r="AU689" s="458"/>
      <c r="AV689" s="458"/>
      <c r="AW689" s="458"/>
      <c r="AX689" s="458"/>
      <c r="AY689" s="458"/>
      <c r="AZ689" s="458"/>
      <c r="BA689" s="458"/>
      <c r="BB689" s="458"/>
      <c r="BC689" s="458"/>
      <c r="BD689" s="458"/>
      <c r="BE689" s="458"/>
      <c r="BF689" s="458"/>
      <c r="BG689" s="458"/>
      <c r="BH689" s="458"/>
      <c r="BI689" s="458"/>
      <c r="BJ689" s="458"/>
      <c r="BK689" s="458"/>
      <c r="BL689" s="458"/>
      <c r="BM689" s="458"/>
      <c r="BN689" s="458"/>
      <c r="BO689" s="458"/>
      <c r="BP689" s="458"/>
      <c r="BQ689" s="458"/>
      <c r="BR689" s="458"/>
      <c r="BS689" s="458"/>
      <c r="BT689" s="458"/>
      <c r="BU689" s="458"/>
      <c r="BV689" s="458"/>
      <c r="BW689" s="458"/>
      <c r="BX689" s="458"/>
      <c r="BY689" s="458"/>
      <c r="BZ689" s="458"/>
      <c r="CA689" s="458"/>
      <c r="CB689" s="458"/>
      <c r="CC689" s="458"/>
      <c r="CD689" s="458"/>
      <c r="CE689" s="458"/>
      <c r="CF689" s="458"/>
      <c r="CG689" s="458"/>
      <c r="CH689" s="458"/>
      <c r="CI689" s="458"/>
      <c r="CJ689" s="458"/>
      <c r="CK689" s="458"/>
      <c r="CL689" s="458"/>
      <c r="CM689" s="458"/>
      <c r="CN689" s="458"/>
      <c r="CO689" s="458"/>
      <c r="CP689" s="458"/>
      <c r="CQ689" s="458"/>
      <c r="CR689" s="458"/>
      <c r="CS689" s="458"/>
      <c r="CT689" s="458"/>
      <c r="CU689" s="458"/>
      <c r="CV689" s="458"/>
      <c r="CW689" s="458"/>
      <c r="CX689" s="458"/>
      <c r="CY689" s="458"/>
      <c r="CZ689" s="458"/>
      <c r="DA689" s="458"/>
      <c r="DB689" s="458"/>
      <c r="DC689" s="458"/>
      <c r="DD689" s="458"/>
      <c r="DE689" s="458"/>
      <c r="DF689" s="458"/>
      <c r="DG689" s="458"/>
      <c r="DH689" s="458"/>
      <c r="DI689" s="458"/>
      <c r="DJ689" s="458"/>
      <c r="DK689" s="458"/>
      <c r="DL689" s="458"/>
      <c r="DM689" s="458"/>
      <c r="DN689" s="458"/>
      <c r="DO689" s="458"/>
      <c r="DP689" s="458"/>
      <c r="DQ689" s="458"/>
      <c r="DR689" s="458"/>
      <c r="DS689" s="458"/>
      <c r="DT689" s="458"/>
      <c r="DU689" s="458"/>
      <c r="DV689" s="458"/>
      <c r="DW689" s="458"/>
      <c r="DX689" s="458"/>
      <c r="DY689" s="458"/>
      <c r="DZ689" s="458"/>
      <c r="EA689" s="458"/>
      <c r="EB689" s="458"/>
      <c r="EC689" s="458"/>
      <c r="ED689" s="458"/>
      <c r="EE689" s="458"/>
      <c r="EF689" s="458"/>
      <c r="EG689" s="458"/>
      <c r="EH689" s="458"/>
      <c r="EI689" s="458"/>
      <c r="EJ689" s="458"/>
      <c r="EK689" s="458"/>
      <c r="EL689" s="458"/>
      <c r="EM689" s="458"/>
      <c r="EN689" s="458"/>
      <c r="EO689" s="458"/>
      <c r="EP689" s="458"/>
      <c r="EQ689" s="458"/>
      <c r="ER689" s="458"/>
      <c r="ES689" s="458"/>
      <c r="ET689" s="458"/>
      <c r="EU689" s="458"/>
      <c r="EV689" s="458"/>
      <c r="EW689" s="458"/>
      <c r="EX689" s="458"/>
      <c r="EY689" s="458"/>
      <c r="EZ689" s="458"/>
      <c r="FA689" s="458"/>
      <c r="FB689" s="458"/>
      <c r="FC689" s="458"/>
      <c r="FD689" s="458"/>
      <c r="FE689" s="458"/>
      <c r="FF689" s="458"/>
      <c r="FG689" s="458"/>
      <c r="FH689" s="458"/>
      <c r="FI689" s="458"/>
      <c r="FJ689" s="458"/>
      <c r="FK689" s="458"/>
      <c r="FL689" s="458"/>
      <c r="FM689" s="458"/>
      <c r="FN689" s="458"/>
      <c r="FO689" s="458"/>
      <c r="FP689" s="458"/>
      <c r="FQ689" s="458"/>
      <c r="FR689" s="458"/>
      <c r="FS689" s="458"/>
      <c r="FT689" s="458"/>
      <c r="FU689" s="458"/>
      <c r="FV689" s="458"/>
      <c r="FW689" s="458"/>
      <c r="FX689" s="458"/>
      <c r="FY689" s="458"/>
      <c r="FZ689" s="458"/>
      <c r="GA689" s="458"/>
      <c r="GB689" s="458"/>
      <c r="GC689" s="458"/>
      <c r="GD689" s="458"/>
      <c r="GE689" s="458"/>
      <c r="GF689" s="458"/>
      <c r="GG689" s="458"/>
      <c r="GH689" s="458"/>
      <c r="GI689" s="458"/>
      <c r="GJ689" s="458"/>
      <c r="GK689" s="458"/>
      <c r="GL689" s="458"/>
      <c r="GM689" s="458"/>
      <c r="GN689" s="458"/>
      <c r="GO689" s="458"/>
      <c r="GP689" s="458"/>
      <c r="GQ689" s="458"/>
      <c r="GR689" s="458"/>
      <c r="GS689" s="458"/>
      <c r="GT689" s="458"/>
      <c r="GU689" s="458"/>
      <c r="GV689" s="458"/>
      <c r="GW689" s="458"/>
      <c r="GX689" s="458"/>
      <c r="GY689" s="458"/>
      <c r="GZ689" s="458"/>
      <c r="HA689" s="458"/>
      <c r="HB689" s="458"/>
      <c r="HC689" s="458"/>
      <c r="HD689" s="458"/>
      <c r="HE689" s="458"/>
      <c r="HF689" s="458"/>
      <c r="HG689" s="458"/>
      <c r="HH689" s="458"/>
      <c r="HI689" s="458"/>
      <c r="HJ689" s="458"/>
      <c r="HK689" s="458"/>
      <c r="HL689" s="458"/>
      <c r="HM689" s="458"/>
      <c r="HN689" s="458"/>
      <c r="HO689" s="458"/>
      <c r="HP689" s="458"/>
      <c r="HQ689" s="458"/>
      <c r="HR689" s="458"/>
      <c r="HS689" s="458"/>
      <c r="HT689" s="458"/>
      <c r="HU689" s="458"/>
      <c r="HV689" s="458"/>
      <c r="HW689" s="458"/>
      <c r="HX689" s="458"/>
      <c r="HY689" s="458"/>
      <c r="HZ689" s="458"/>
      <c r="IA689" s="458"/>
      <c r="IB689" s="458"/>
      <c r="IC689" s="458"/>
      <c r="ID689" s="458"/>
      <c r="IE689" s="458"/>
      <c r="IF689" s="458"/>
      <c r="IG689" s="458"/>
      <c r="IH689" s="458"/>
      <c r="II689" s="458"/>
      <c r="IJ689" s="458"/>
      <c r="IK689" s="458"/>
      <c r="IL689" s="458"/>
      <c r="IM689" s="458"/>
      <c r="IN689" s="458"/>
      <c r="IO689" s="458"/>
      <c r="IP689" s="458"/>
      <c r="IQ689" s="458"/>
      <c r="IR689" s="458"/>
      <c r="IS689" s="458"/>
    </row>
    <row r="690" spans="1:253" s="455" customFormat="1" ht="12" x14ac:dyDescent="0.2">
      <c r="A690" s="444"/>
      <c r="B690" s="445"/>
      <c r="C690" s="479"/>
      <c r="D690" s="479"/>
      <c r="E690" s="479"/>
      <c r="F690" s="479"/>
      <c r="G690" s="446"/>
      <c r="H690" s="445"/>
      <c r="I690" s="445"/>
      <c r="J690" s="445"/>
      <c r="K690" s="447"/>
      <c r="L690" s="448"/>
      <c r="M690" s="448"/>
      <c r="N690" s="445"/>
      <c r="O690" s="449"/>
      <c r="P690" s="450"/>
      <c r="Q690" s="451"/>
      <c r="R690" s="507"/>
      <c r="S690" s="508"/>
      <c r="T690" s="472"/>
      <c r="U690" s="448"/>
      <c r="V690" s="458"/>
      <c r="W690" s="448"/>
      <c r="X690" s="458"/>
      <c r="Y690" s="458"/>
      <c r="Z690" s="458"/>
      <c r="AA690" s="458"/>
      <c r="AB690" s="458"/>
      <c r="AC690" s="458"/>
      <c r="AD690" s="458"/>
      <c r="AE690" s="458"/>
      <c r="AF690" s="458"/>
      <c r="AG690" s="458"/>
      <c r="AH690" s="458"/>
      <c r="AI690" s="458"/>
      <c r="AJ690" s="458"/>
      <c r="AK690" s="458"/>
      <c r="AL690" s="458"/>
      <c r="AM690" s="458"/>
      <c r="AN690" s="458"/>
      <c r="AO690" s="458"/>
      <c r="AP690" s="458"/>
      <c r="AQ690" s="458"/>
      <c r="AR690" s="458"/>
      <c r="AS690" s="458"/>
      <c r="AT690" s="458"/>
      <c r="AU690" s="458"/>
      <c r="AV690" s="458"/>
      <c r="AW690" s="458"/>
      <c r="AX690" s="458"/>
      <c r="AY690" s="458"/>
      <c r="AZ690" s="458"/>
      <c r="BA690" s="458"/>
      <c r="BB690" s="458"/>
      <c r="BC690" s="458"/>
      <c r="BD690" s="458"/>
      <c r="BE690" s="458"/>
      <c r="BF690" s="458"/>
      <c r="BG690" s="458"/>
      <c r="BH690" s="458"/>
      <c r="BI690" s="458"/>
      <c r="BJ690" s="458"/>
      <c r="BK690" s="458"/>
      <c r="BL690" s="458"/>
      <c r="BM690" s="458"/>
      <c r="BN690" s="458"/>
      <c r="BO690" s="458"/>
      <c r="BP690" s="458"/>
      <c r="BQ690" s="458"/>
      <c r="BR690" s="458"/>
      <c r="BS690" s="458"/>
      <c r="BT690" s="458"/>
      <c r="BU690" s="458"/>
      <c r="BV690" s="458"/>
      <c r="BW690" s="458"/>
      <c r="BX690" s="458"/>
      <c r="BY690" s="458"/>
      <c r="BZ690" s="458"/>
      <c r="CA690" s="458"/>
      <c r="CB690" s="458"/>
      <c r="CC690" s="458"/>
      <c r="CD690" s="458"/>
      <c r="CE690" s="458"/>
      <c r="CF690" s="458"/>
      <c r="CG690" s="458"/>
      <c r="CH690" s="458"/>
      <c r="CI690" s="458"/>
      <c r="CJ690" s="458"/>
      <c r="CK690" s="458"/>
      <c r="CL690" s="458"/>
      <c r="CM690" s="458"/>
      <c r="CN690" s="458"/>
      <c r="CO690" s="458"/>
      <c r="CP690" s="458"/>
      <c r="CQ690" s="458"/>
      <c r="CR690" s="458"/>
      <c r="CS690" s="458"/>
      <c r="CT690" s="458"/>
      <c r="CU690" s="458"/>
      <c r="CV690" s="458"/>
      <c r="CW690" s="458"/>
      <c r="CX690" s="458"/>
      <c r="CY690" s="458"/>
      <c r="CZ690" s="458"/>
      <c r="DA690" s="458"/>
      <c r="DB690" s="458"/>
      <c r="DC690" s="458"/>
      <c r="DD690" s="458"/>
      <c r="DE690" s="458"/>
      <c r="DF690" s="458"/>
      <c r="DG690" s="458"/>
      <c r="DH690" s="458"/>
      <c r="DI690" s="458"/>
      <c r="DJ690" s="458"/>
      <c r="DK690" s="458"/>
      <c r="DL690" s="458"/>
      <c r="DM690" s="458"/>
      <c r="DN690" s="458"/>
      <c r="DO690" s="458"/>
      <c r="DP690" s="458"/>
      <c r="DQ690" s="458"/>
      <c r="DR690" s="458"/>
      <c r="DS690" s="458"/>
      <c r="DT690" s="458"/>
      <c r="DU690" s="458"/>
      <c r="DV690" s="458"/>
      <c r="DW690" s="458"/>
      <c r="DX690" s="458"/>
      <c r="DY690" s="458"/>
      <c r="DZ690" s="458"/>
      <c r="EA690" s="458"/>
      <c r="EB690" s="458"/>
      <c r="EC690" s="458"/>
      <c r="ED690" s="458"/>
      <c r="EE690" s="458"/>
      <c r="EF690" s="458"/>
      <c r="EG690" s="458"/>
      <c r="EH690" s="458"/>
      <c r="EI690" s="458"/>
      <c r="EJ690" s="458"/>
      <c r="EK690" s="458"/>
      <c r="EL690" s="458"/>
      <c r="EM690" s="458"/>
      <c r="EN690" s="458"/>
      <c r="EO690" s="458"/>
      <c r="EP690" s="458"/>
      <c r="EQ690" s="458"/>
      <c r="ER690" s="458"/>
      <c r="ES690" s="458"/>
      <c r="ET690" s="458"/>
      <c r="EU690" s="458"/>
      <c r="EV690" s="458"/>
      <c r="EW690" s="458"/>
      <c r="EX690" s="458"/>
      <c r="EY690" s="458"/>
      <c r="EZ690" s="458"/>
      <c r="FA690" s="458"/>
      <c r="FB690" s="458"/>
      <c r="FC690" s="458"/>
      <c r="FD690" s="458"/>
      <c r="FE690" s="458"/>
      <c r="FF690" s="458"/>
      <c r="FG690" s="458"/>
      <c r="FH690" s="458"/>
      <c r="FI690" s="458"/>
      <c r="FJ690" s="458"/>
      <c r="FK690" s="458"/>
      <c r="FL690" s="458"/>
      <c r="FM690" s="458"/>
      <c r="FN690" s="458"/>
      <c r="FO690" s="458"/>
      <c r="FP690" s="458"/>
      <c r="FQ690" s="458"/>
      <c r="FR690" s="458"/>
      <c r="FS690" s="458"/>
      <c r="FT690" s="458"/>
      <c r="FU690" s="458"/>
      <c r="FV690" s="458"/>
      <c r="FW690" s="458"/>
      <c r="FX690" s="458"/>
      <c r="FY690" s="458"/>
      <c r="FZ690" s="458"/>
      <c r="GA690" s="458"/>
      <c r="GB690" s="458"/>
      <c r="GC690" s="458"/>
      <c r="GD690" s="458"/>
      <c r="GE690" s="458"/>
      <c r="GF690" s="458"/>
      <c r="GG690" s="458"/>
      <c r="GH690" s="458"/>
      <c r="GI690" s="458"/>
      <c r="GJ690" s="458"/>
      <c r="GK690" s="458"/>
      <c r="GL690" s="458"/>
      <c r="GM690" s="458"/>
      <c r="GN690" s="458"/>
      <c r="GO690" s="458"/>
      <c r="GP690" s="458"/>
      <c r="GQ690" s="458"/>
      <c r="GR690" s="458"/>
      <c r="GS690" s="458"/>
      <c r="GT690" s="458"/>
      <c r="GU690" s="458"/>
      <c r="GV690" s="458"/>
      <c r="GW690" s="458"/>
      <c r="GX690" s="458"/>
      <c r="GY690" s="458"/>
      <c r="GZ690" s="458"/>
      <c r="HA690" s="458"/>
      <c r="HB690" s="458"/>
      <c r="HC690" s="458"/>
      <c r="HD690" s="458"/>
      <c r="HE690" s="458"/>
      <c r="HF690" s="458"/>
      <c r="HG690" s="458"/>
      <c r="HH690" s="458"/>
      <c r="HI690" s="458"/>
      <c r="HJ690" s="458"/>
      <c r="HK690" s="458"/>
      <c r="HL690" s="458"/>
      <c r="HM690" s="458"/>
      <c r="HN690" s="458"/>
      <c r="HO690" s="458"/>
      <c r="HP690" s="458"/>
      <c r="HQ690" s="458"/>
      <c r="HR690" s="458"/>
      <c r="HS690" s="458"/>
      <c r="HT690" s="458"/>
      <c r="HU690" s="458"/>
      <c r="HV690" s="458"/>
      <c r="HW690" s="458"/>
      <c r="HX690" s="458"/>
      <c r="HY690" s="458"/>
      <c r="HZ690" s="458"/>
      <c r="IA690" s="458"/>
      <c r="IB690" s="458"/>
      <c r="IC690" s="458"/>
      <c r="ID690" s="458"/>
      <c r="IE690" s="458"/>
      <c r="IF690" s="458"/>
      <c r="IG690" s="458"/>
      <c r="IH690" s="458"/>
      <c r="II690" s="458"/>
      <c r="IJ690" s="458"/>
      <c r="IK690" s="458"/>
      <c r="IL690" s="458"/>
      <c r="IM690" s="458"/>
      <c r="IN690" s="458"/>
      <c r="IO690" s="458"/>
      <c r="IP690" s="458"/>
      <c r="IQ690" s="458"/>
      <c r="IR690" s="458"/>
      <c r="IS690" s="458"/>
    </row>
    <row r="691" spans="1:253" s="455" customFormat="1" ht="12" x14ac:dyDescent="0.2">
      <c r="A691" s="444"/>
      <c r="B691" s="445"/>
      <c r="C691" s="479"/>
      <c r="D691" s="479"/>
      <c r="E691" s="479"/>
      <c r="F691" s="479"/>
      <c r="G691" s="446"/>
      <c r="H691" s="445"/>
      <c r="I691" s="445"/>
      <c r="J691" s="445"/>
      <c r="K691" s="447"/>
      <c r="L691" s="448"/>
      <c r="M691" s="448"/>
      <c r="N691" s="445"/>
      <c r="O691" s="449"/>
      <c r="P691" s="450"/>
      <c r="Q691" s="451"/>
      <c r="R691" s="507"/>
      <c r="S691" s="508"/>
      <c r="T691" s="472"/>
      <c r="U691" s="448"/>
      <c r="V691" s="458"/>
      <c r="W691" s="448"/>
      <c r="X691" s="458"/>
      <c r="Y691" s="458"/>
      <c r="Z691" s="458"/>
      <c r="AA691" s="458"/>
      <c r="AB691" s="458"/>
      <c r="AC691" s="458"/>
      <c r="AD691" s="458"/>
      <c r="AE691" s="458"/>
      <c r="AF691" s="458"/>
      <c r="AG691" s="458"/>
      <c r="AH691" s="458"/>
      <c r="AI691" s="458"/>
      <c r="AJ691" s="458"/>
      <c r="AK691" s="458"/>
      <c r="AL691" s="458"/>
      <c r="AM691" s="458"/>
      <c r="AN691" s="458"/>
      <c r="AO691" s="458"/>
      <c r="AP691" s="458"/>
      <c r="AQ691" s="458"/>
      <c r="AR691" s="458"/>
      <c r="AS691" s="458"/>
      <c r="AT691" s="458"/>
      <c r="AU691" s="458"/>
      <c r="AV691" s="458"/>
      <c r="AW691" s="458"/>
      <c r="AX691" s="458"/>
      <c r="AY691" s="458"/>
      <c r="AZ691" s="458"/>
      <c r="BA691" s="458"/>
      <c r="BB691" s="458"/>
      <c r="BC691" s="458"/>
      <c r="BD691" s="458"/>
      <c r="BE691" s="458"/>
      <c r="BF691" s="458"/>
      <c r="BG691" s="458"/>
      <c r="BH691" s="458"/>
      <c r="BI691" s="458"/>
      <c r="BJ691" s="458"/>
      <c r="BK691" s="458"/>
      <c r="BL691" s="458"/>
      <c r="BM691" s="458"/>
      <c r="BN691" s="458"/>
      <c r="BO691" s="458"/>
      <c r="BP691" s="458"/>
      <c r="BQ691" s="458"/>
      <c r="BR691" s="458"/>
      <c r="BS691" s="458"/>
      <c r="BT691" s="458"/>
      <c r="BU691" s="458"/>
      <c r="BV691" s="458"/>
      <c r="BW691" s="458"/>
      <c r="BX691" s="458"/>
      <c r="BY691" s="458"/>
      <c r="BZ691" s="458"/>
      <c r="CA691" s="458"/>
      <c r="CB691" s="458"/>
      <c r="CC691" s="458"/>
      <c r="CD691" s="458"/>
      <c r="CE691" s="458"/>
      <c r="CF691" s="458"/>
      <c r="CG691" s="458"/>
      <c r="CH691" s="458"/>
      <c r="CI691" s="458"/>
      <c r="CJ691" s="458"/>
      <c r="CK691" s="458"/>
      <c r="CL691" s="458"/>
      <c r="CM691" s="458"/>
      <c r="CN691" s="458"/>
      <c r="CO691" s="458"/>
      <c r="CP691" s="458"/>
      <c r="CQ691" s="458"/>
      <c r="CR691" s="458"/>
      <c r="CS691" s="458"/>
      <c r="CT691" s="458"/>
      <c r="CU691" s="458"/>
      <c r="CV691" s="458"/>
      <c r="CW691" s="458"/>
      <c r="CX691" s="458"/>
      <c r="CY691" s="458"/>
      <c r="CZ691" s="458"/>
      <c r="DA691" s="458"/>
      <c r="DB691" s="458"/>
      <c r="DC691" s="458"/>
      <c r="DD691" s="458"/>
      <c r="DE691" s="458"/>
      <c r="DF691" s="458"/>
      <c r="DG691" s="458"/>
      <c r="DH691" s="458"/>
      <c r="DI691" s="458"/>
      <c r="DJ691" s="458"/>
      <c r="DK691" s="458"/>
      <c r="DL691" s="458"/>
      <c r="DM691" s="458"/>
      <c r="DN691" s="458"/>
      <c r="DO691" s="458"/>
      <c r="DP691" s="458"/>
      <c r="DQ691" s="458"/>
      <c r="DR691" s="458"/>
      <c r="DS691" s="458"/>
      <c r="DT691" s="458"/>
      <c r="DU691" s="458"/>
      <c r="DV691" s="458"/>
      <c r="DW691" s="458"/>
      <c r="DX691" s="458"/>
      <c r="DY691" s="458"/>
      <c r="DZ691" s="458"/>
      <c r="EA691" s="458"/>
      <c r="EB691" s="458"/>
      <c r="EC691" s="458"/>
      <c r="ED691" s="458"/>
      <c r="EE691" s="458"/>
      <c r="EF691" s="458"/>
      <c r="EG691" s="458"/>
      <c r="EH691" s="458"/>
      <c r="EI691" s="458"/>
      <c r="EJ691" s="458"/>
      <c r="EK691" s="458"/>
      <c r="EL691" s="458"/>
      <c r="EM691" s="458"/>
      <c r="EN691" s="458"/>
      <c r="EO691" s="458"/>
      <c r="EP691" s="458"/>
      <c r="EQ691" s="458"/>
      <c r="ER691" s="458"/>
      <c r="ES691" s="458"/>
      <c r="ET691" s="458"/>
      <c r="EU691" s="458"/>
      <c r="EV691" s="458"/>
      <c r="EW691" s="458"/>
      <c r="EX691" s="458"/>
      <c r="EY691" s="458"/>
      <c r="EZ691" s="458"/>
      <c r="FA691" s="458"/>
      <c r="FB691" s="458"/>
      <c r="FC691" s="458"/>
      <c r="FD691" s="458"/>
      <c r="FE691" s="458"/>
      <c r="FF691" s="458"/>
      <c r="FG691" s="458"/>
      <c r="FH691" s="458"/>
      <c r="FI691" s="458"/>
      <c r="FJ691" s="458"/>
      <c r="FK691" s="458"/>
      <c r="FL691" s="458"/>
      <c r="FM691" s="458"/>
      <c r="FN691" s="458"/>
      <c r="FO691" s="458"/>
      <c r="FP691" s="458"/>
      <c r="FQ691" s="458"/>
      <c r="FR691" s="458"/>
      <c r="FS691" s="458"/>
      <c r="FT691" s="458"/>
      <c r="FU691" s="458"/>
      <c r="FV691" s="458"/>
      <c r="FW691" s="458"/>
      <c r="FX691" s="458"/>
      <c r="FY691" s="458"/>
      <c r="FZ691" s="458"/>
      <c r="GA691" s="458"/>
      <c r="GB691" s="458"/>
      <c r="GC691" s="458"/>
      <c r="GD691" s="458"/>
      <c r="GE691" s="458"/>
      <c r="GF691" s="458"/>
      <c r="GG691" s="458"/>
      <c r="GH691" s="458"/>
      <c r="GI691" s="458"/>
      <c r="GJ691" s="458"/>
      <c r="GK691" s="458"/>
      <c r="GL691" s="458"/>
      <c r="GM691" s="458"/>
      <c r="GN691" s="458"/>
      <c r="GO691" s="458"/>
      <c r="GP691" s="458"/>
      <c r="GQ691" s="458"/>
      <c r="GR691" s="458"/>
      <c r="GS691" s="458"/>
      <c r="GT691" s="458"/>
      <c r="GU691" s="458"/>
      <c r="GV691" s="458"/>
      <c r="GW691" s="458"/>
      <c r="GX691" s="458"/>
      <c r="GY691" s="458"/>
      <c r="GZ691" s="458"/>
      <c r="HA691" s="458"/>
      <c r="HB691" s="458"/>
      <c r="HC691" s="458"/>
      <c r="HD691" s="458"/>
      <c r="HE691" s="458"/>
      <c r="HF691" s="458"/>
      <c r="HG691" s="458"/>
      <c r="HH691" s="458"/>
      <c r="HI691" s="458"/>
      <c r="HJ691" s="458"/>
      <c r="HK691" s="458"/>
      <c r="HL691" s="458"/>
      <c r="HM691" s="458"/>
      <c r="HN691" s="458"/>
      <c r="HO691" s="458"/>
      <c r="HP691" s="458"/>
      <c r="HQ691" s="458"/>
      <c r="HR691" s="458"/>
      <c r="HS691" s="458"/>
      <c r="HT691" s="458"/>
      <c r="HU691" s="458"/>
      <c r="HV691" s="458"/>
      <c r="HW691" s="458"/>
      <c r="HX691" s="458"/>
      <c r="HY691" s="458"/>
      <c r="HZ691" s="458"/>
      <c r="IA691" s="458"/>
      <c r="IB691" s="458"/>
      <c r="IC691" s="458"/>
      <c r="ID691" s="458"/>
      <c r="IE691" s="458"/>
      <c r="IF691" s="458"/>
      <c r="IG691" s="458"/>
      <c r="IH691" s="458"/>
      <c r="II691" s="458"/>
      <c r="IJ691" s="458"/>
      <c r="IK691" s="458"/>
      <c r="IL691" s="458"/>
      <c r="IM691" s="458"/>
      <c r="IN691" s="458"/>
      <c r="IO691" s="458"/>
      <c r="IP691" s="458"/>
      <c r="IQ691" s="458"/>
      <c r="IR691" s="458"/>
      <c r="IS691" s="458"/>
    </row>
    <row r="692" spans="1:253" s="458" customFormat="1" ht="12" x14ac:dyDescent="0.2">
      <c r="A692" s="444"/>
      <c r="B692" s="445"/>
      <c r="C692" s="479"/>
      <c r="D692" s="479"/>
      <c r="E692" s="479"/>
      <c r="F692" s="479"/>
      <c r="G692" s="446"/>
      <c r="H692" s="445"/>
      <c r="I692" s="445"/>
      <c r="J692" s="445"/>
      <c r="K692" s="447"/>
      <c r="L692" s="448"/>
      <c r="M692" s="448"/>
      <c r="N692" s="445"/>
      <c r="O692" s="449"/>
      <c r="P692" s="450"/>
      <c r="Q692" s="451"/>
      <c r="R692" s="507"/>
      <c r="S692" s="508"/>
      <c r="T692" s="472"/>
      <c r="U692" s="448"/>
      <c r="W692" s="448"/>
    </row>
    <row r="693" spans="1:253" s="458" customFormat="1" ht="12" x14ac:dyDescent="0.2">
      <c r="A693" s="444"/>
      <c r="B693" s="445"/>
      <c r="C693" s="479"/>
      <c r="D693" s="479"/>
      <c r="E693" s="479"/>
      <c r="F693" s="479"/>
      <c r="G693" s="446"/>
      <c r="H693" s="445"/>
      <c r="I693" s="445"/>
      <c r="J693" s="445"/>
      <c r="K693" s="447"/>
      <c r="L693" s="448"/>
      <c r="M693" s="448"/>
      <c r="N693" s="445"/>
      <c r="O693" s="449"/>
      <c r="P693" s="450"/>
      <c r="Q693" s="451"/>
      <c r="R693" s="507"/>
      <c r="S693" s="508"/>
      <c r="T693" s="472"/>
      <c r="U693" s="448"/>
      <c r="W693" s="448"/>
    </row>
    <row r="694" spans="1:253" s="458" customFormat="1" ht="12" x14ac:dyDescent="0.2">
      <c r="A694" s="444"/>
      <c r="B694" s="445"/>
      <c r="C694" s="479"/>
      <c r="D694" s="479"/>
      <c r="E694" s="479"/>
      <c r="F694" s="479"/>
      <c r="G694" s="446"/>
      <c r="H694" s="445"/>
      <c r="I694" s="445"/>
      <c r="J694" s="445"/>
      <c r="K694" s="447"/>
      <c r="L694" s="448"/>
      <c r="M694" s="448"/>
      <c r="N694" s="445"/>
      <c r="O694" s="449"/>
      <c r="P694" s="450"/>
      <c r="Q694" s="451"/>
      <c r="R694" s="507"/>
      <c r="S694" s="508"/>
      <c r="T694" s="472"/>
      <c r="U694" s="448"/>
      <c r="W694" s="448"/>
    </row>
    <row r="695" spans="1:253" s="455" customFormat="1" ht="12" x14ac:dyDescent="0.2">
      <c r="A695" s="444"/>
      <c r="B695" s="445"/>
      <c r="C695" s="479"/>
      <c r="D695" s="479"/>
      <c r="E695" s="479"/>
      <c r="F695" s="479"/>
      <c r="G695" s="446"/>
      <c r="H695" s="445"/>
      <c r="I695" s="445"/>
      <c r="J695" s="445"/>
      <c r="K695" s="447"/>
      <c r="L695" s="448"/>
      <c r="M695" s="448"/>
      <c r="N695" s="445"/>
      <c r="O695" s="449"/>
      <c r="P695" s="450"/>
      <c r="Q695" s="451"/>
      <c r="R695" s="507"/>
      <c r="S695" s="508"/>
      <c r="T695" s="472"/>
      <c r="U695" s="448"/>
      <c r="V695" s="458"/>
      <c r="W695" s="448"/>
      <c r="X695" s="458"/>
      <c r="Y695" s="458"/>
      <c r="Z695" s="458"/>
      <c r="AA695" s="458"/>
      <c r="AB695" s="458"/>
      <c r="AC695" s="458"/>
      <c r="AD695" s="458"/>
      <c r="AE695" s="458"/>
      <c r="AF695" s="458"/>
      <c r="AG695" s="458"/>
      <c r="AH695" s="458"/>
      <c r="AI695" s="458"/>
      <c r="AJ695" s="458"/>
      <c r="AK695" s="458"/>
      <c r="AL695" s="458"/>
      <c r="AM695" s="458"/>
      <c r="AN695" s="458"/>
      <c r="AO695" s="458"/>
      <c r="AP695" s="458"/>
      <c r="AQ695" s="458"/>
      <c r="AR695" s="458"/>
      <c r="AS695" s="458"/>
      <c r="AT695" s="458"/>
      <c r="AU695" s="458"/>
      <c r="AV695" s="458"/>
      <c r="AW695" s="458"/>
      <c r="AX695" s="458"/>
      <c r="AY695" s="458"/>
      <c r="AZ695" s="458"/>
      <c r="BA695" s="458"/>
      <c r="BB695" s="458"/>
      <c r="BC695" s="458"/>
      <c r="BD695" s="458"/>
      <c r="BE695" s="458"/>
      <c r="BF695" s="458"/>
      <c r="BG695" s="458"/>
      <c r="BH695" s="458"/>
      <c r="BI695" s="458"/>
      <c r="BJ695" s="458"/>
      <c r="BK695" s="458"/>
      <c r="BL695" s="458"/>
      <c r="BM695" s="458"/>
      <c r="BN695" s="458"/>
      <c r="BO695" s="458"/>
      <c r="BP695" s="458"/>
      <c r="BQ695" s="458"/>
      <c r="BR695" s="458"/>
      <c r="BS695" s="458"/>
      <c r="BT695" s="458"/>
      <c r="BU695" s="458"/>
      <c r="BV695" s="458"/>
      <c r="BW695" s="458"/>
      <c r="BX695" s="458"/>
      <c r="BY695" s="458"/>
      <c r="BZ695" s="458"/>
      <c r="CA695" s="458"/>
      <c r="CB695" s="458"/>
      <c r="CC695" s="458"/>
      <c r="CD695" s="458"/>
      <c r="CE695" s="458"/>
      <c r="CF695" s="458"/>
      <c r="CG695" s="458"/>
      <c r="CH695" s="458"/>
      <c r="CI695" s="458"/>
      <c r="CJ695" s="458"/>
      <c r="CK695" s="458"/>
      <c r="CL695" s="458"/>
      <c r="CM695" s="458"/>
      <c r="CN695" s="458"/>
      <c r="CO695" s="458"/>
      <c r="CP695" s="458"/>
      <c r="CQ695" s="458"/>
      <c r="CR695" s="458"/>
      <c r="CS695" s="458"/>
      <c r="CT695" s="458"/>
      <c r="CU695" s="458"/>
      <c r="CV695" s="458"/>
      <c r="CW695" s="458"/>
      <c r="CX695" s="458"/>
      <c r="CY695" s="458"/>
      <c r="CZ695" s="458"/>
      <c r="DA695" s="458"/>
      <c r="DB695" s="458"/>
      <c r="DC695" s="458"/>
      <c r="DD695" s="458"/>
      <c r="DE695" s="458"/>
      <c r="DF695" s="458"/>
      <c r="DG695" s="458"/>
      <c r="DH695" s="458"/>
      <c r="DI695" s="458"/>
      <c r="DJ695" s="458"/>
      <c r="DK695" s="458"/>
      <c r="DL695" s="458"/>
      <c r="DM695" s="458"/>
      <c r="DN695" s="458"/>
      <c r="DO695" s="458"/>
      <c r="DP695" s="458"/>
      <c r="DQ695" s="458"/>
      <c r="DR695" s="458"/>
      <c r="DS695" s="458"/>
      <c r="DT695" s="458"/>
      <c r="DU695" s="458"/>
      <c r="DV695" s="458"/>
      <c r="DW695" s="458"/>
      <c r="DX695" s="458"/>
      <c r="DY695" s="458"/>
      <c r="DZ695" s="458"/>
      <c r="EA695" s="458"/>
      <c r="EB695" s="458"/>
      <c r="EC695" s="458"/>
      <c r="ED695" s="458"/>
      <c r="EE695" s="458"/>
      <c r="EF695" s="458"/>
      <c r="EG695" s="458"/>
      <c r="EH695" s="458"/>
      <c r="EI695" s="458"/>
      <c r="EJ695" s="458"/>
      <c r="EK695" s="458"/>
      <c r="EL695" s="458"/>
      <c r="EM695" s="458"/>
      <c r="EN695" s="458"/>
      <c r="EO695" s="458"/>
      <c r="EP695" s="458"/>
      <c r="EQ695" s="458"/>
      <c r="ER695" s="458"/>
      <c r="ES695" s="458"/>
      <c r="ET695" s="458"/>
      <c r="EU695" s="458"/>
      <c r="EV695" s="458"/>
      <c r="EW695" s="458"/>
      <c r="EX695" s="458"/>
      <c r="EY695" s="458"/>
      <c r="EZ695" s="458"/>
      <c r="FA695" s="458"/>
      <c r="FB695" s="458"/>
      <c r="FC695" s="458"/>
      <c r="FD695" s="458"/>
      <c r="FE695" s="458"/>
      <c r="FF695" s="458"/>
      <c r="FG695" s="458"/>
      <c r="FH695" s="458"/>
      <c r="FI695" s="458"/>
      <c r="FJ695" s="458"/>
      <c r="FK695" s="458"/>
      <c r="FL695" s="458"/>
      <c r="FM695" s="458"/>
      <c r="FN695" s="458"/>
      <c r="FO695" s="458"/>
      <c r="FP695" s="458"/>
      <c r="FQ695" s="458"/>
      <c r="FR695" s="458"/>
      <c r="FS695" s="458"/>
      <c r="FT695" s="458"/>
      <c r="FU695" s="458"/>
      <c r="FV695" s="458"/>
      <c r="FW695" s="458"/>
      <c r="FX695" s="458"/>
      <c r="FY695" s="458"/>
      <c r="FZ695" s="458"/>
      <c r="GA695" s="458"/>
      <c r="GB695" s="458"/>
      <c r="GC695" s="458"/>
      <c r="GD695" s="458"/>
      <c r="GE695" s="458"/>
      <c r="GF695" s="458"/>
      <c r="GG695" s="458"/>
      <c r="GH695" s="458"/>
      <c r="GI695" s="458"/>
      <c r="GJ695" s="458"/>
      <c r="GK695" s="458"/>
      <c r="GL695" s="458"/>
      <c r="GM695" s="458"/>
      <c r="GN695" s="458"/>
      <c r="GO695" s="458"/>
      <c r="GP695" s="458"/>
      <c r="GQ695" s="458"/>
      <c r="GR695" s="458"/>
      <c r="GS695" s="458"/>
      <c r="GT695" s="458"/>
      <c r="GU695" s="458"/>
      <c r="GV695" s="458"/>
      <c r="GW695" s="458"/>
      <c r="GX695" s="458"/>
      <c r="GY695" s="458"/>
      <c r="GZ695" s="458"/>
      <c r="HA695" s="458"/>
      <c r="HB695" s="458"/>
      <c r="HC695" s="458"/>
      <c r="HD695" s="458"/>
      <c r="HE695" s="458"/>
      <c r="HF695" s="458"/>
      <c r="HG695" s="458"/>
      <c r="HH695" s="458"/>
      <c r="HI695" s="458"/>
      <c r="HJ695" s="458"/>
      <c r="HK695" s="458"/>
      <c r="HL695" s="458"/>
      <c r="HM695" s="458"/>
      <c r="HN695" s="458"/>
      <c r="HO695" s="458"/>
      <c r="HP695" s="458"/>
      <c r="HQ695" s="458"/>
      <c r="HR695" s="458"/>
      <c r="HS695" s="458"/>
      <c r="HT695" s="458"/>
      <c r="HU695" s="458"/>
      <c r="HV695" s="458"/>
      <c r="HW695" s="458"/>
      <c r="HX695" s="458"/>
      <c r="HY695" s="458"/>
      <c r="HZ695" s="458"/>
      <c r="IA695" s="458"/>
      <c r="IB695" s="458"/>
      <c r="IC695" s="458"/>
      <c r="ID695" s="458"/>
      <c r="IE695" s="458"/>
      <c r="IF695" s="458"/>
      <c r="IG695" s="458"/>
      <c r="IH695" s="458"/>
      <c r="II695" s="458"/>
      <c r="IJ695" s="458"/>
      <c r="IK695" s="458"/>
      <c r="IL695" s="458"/>
      <c r="IM695" s="458"/>
      <c r="IN695" s="458"/>
      <c r="IO695" s="458"/>
      <c r="IP695" s="458"/>
      <c r="IQ695" s="458"/>
      <c r="IR695" s="458"/>
      <c r="IS695" s="458"/>
    </row>
    <row r="696" spans="1:253" s="458" customFormat="1" ht="12" x14ac:dyDescent="0.2">
      <c r="A696" s="444"/>
      <c r="B696" s="445"/>
      <c r="C696" s="479"/>
      <c r="D696" s="479"/>
      <c r="E696" s="479"/>
      <c r="F696" s="479"/>
      <c r="G696" s="446"/>
      <c r="H696" s="445"/>
      <c r="I696" s="445"/>
      <c r="J696" s="445"/>
      <c r="K696" s="447"/>
      <c r="L696" s="448"/>
      <c r="M696" s="448"/>
      <c r="N696" s="445"/>
      <c r="O696" s="449"/>
      <c r="P696" s="450"/>
      <c r="Q696" s="451"/>
      <c r="R696" s="507"/>
      <c r="S696" s="508"/>
      <c r="T696" s="472"/>
      <c r="U696" s="448"/>
      <c r="W696" s="448"/>
    </row>
    <row r="697" spans="1:253" s="455" customFormat="1" ht="12" x14ac:dyDescent="0.2">
      <c r="A697" s="444"/>
      <c r="B697" s="445"/>
      <c r="C697" s="479"/>
      <c r="D697" s="479"/>
      <c r="E697" s="479"/>
      <c r="F697" s="479"/>
      <c r="G697" s="446"/>
      <c r="H697" s="445"/>
      <c r="I697" s="445"/>
      <c r="J697" s="445"/>
      <c r="K697" s="447"/>
      <c r="L697" s="448"/>
      <c r="M697" s="448"/>
      <c r="N697" s="445"/>
      <c r="O697" s="449"/>
      <c r="P697" s="450"/>
      <c r="Q697" s="451"/>
      <c r="R697" s="507"/>
      <c r="S697" s="508"/>
      <c r="T697" s="472"/>
      <c r="U697" s="448"/>
      <c r="V697" s="458"/>
      <c r="W697" s="448"/>
      <c r="X697" s="458"/>
      <c r="Y697" s="458"/>
      <c r="Z697" s="458"/>
      <c r="AA697" s="458"/>
      <c r="AB697" s="458"/>
      <c r="AC697" s="458"/>
      <c r="AD697" s="458"/>
      <c r="AE697" s="458"/>
      <c r="AF697" s="458"/>
      <c r="AG697" s="458"/>
      <c r="AH697" s="458"/>
      <c r="AI697" s="458"/>
      <c r="AJ697" s="458"/>
      <c r="AK697" s="458"/>
      <c r="AL697" s="458"/>
      <c r="AM697" s="458"/>
      <c r="AN697" s="458"/>
      <c r="AO697" s="458"/>
      <c r="AP697" s="458"/>
      <c r="AQ697" s="458"/>
      <c r="AR697" s="458"/>
      <c r="AS697" s="458"/>
      <c r="AT697" s="458"/>
      <c r="AU697" s="458"/>
      <c r="AV697" s="458"/>
      <c r="AW697" s="458"/>
      <c r="AX697" s="458"/>
      <c r="AY697" s="458"/>
      <c r="AZ697" s="458"/>
      <c r="BA697" s="458"/>
      <c r="BB697" s="458"/>
      <c r="BC697" s="458"/>
      <c r="BD697" s="458"/>
      <c r="BE697" s="458"/>
      <c r="BF697" s="458"/>
      <c r="BG697" s="458"/>
      <c r="BH697" s="458"/>
      <c r="BI697" s="458"/>
      <c r="BJ697" s="458"/>
      <c r="BK697" s="458"/>
      <c r="BL697" s="458"/>
      <c r="BM697" s="458"/>
      <c r="BN697" s="458"/>
      <c r="BO697" s="458"/>
      <c r="BP697" s="458"/>
      <c r="BQ697" s="458"/>
      <c r="BR697" s="458"/>
      <c r="BS697" s="458"/>
      <c r="BT697" s="458"/>
      <c r="BU697" s="458"/>
      <c r="BV697" s="458"/>
      <c r="BW697" s="458"/>
      <c r="BX697" s="458"/>
      <c r="BY697" s="458"/>
      <c r="BZ697" s="458"/>
      <c r="CA697" s="458"/>
      <c r="CB697" s="458"/>
      <c r="CC697" s="458"/>
      <c r="CD697" s="458"/>
      <c r="CE697" s="458"/>
      <c r="CF697" s="458"/>
      <c r="CG697" s="458"/>
      <c r="CH697" s="458"/>
      <c r="CI697" s="458"/>
      <c r="CJ697" s="458"/>
      <c r="CK697" s="458"/>
      <c r="CL697" s="458"/>
      <c r="CM697" s="458"/>
      <c r="CN697" s="458"/>
      <c r="CO697" s="458"/>
      <c r="CP697" s="458"/>
      <c r="CQ697" s="458"/>
      <c r="CR697" s="458"/>
      <c r="CS697" s="458"/>
      <c r="CT697" s="458"/>
      <c r="CU697" s="458"/>
      <c r="CV697" s="458"/>
      <c r="CW697" s="458"/>
      <c r="CX697" s="458"/>
      <c r="CY697" s="458"/>
      <c r="CZ697" s="458"/>
      <c r="DA697" s="458"/>
      <c r="DB697" s="458"/>
      <c r="DC697" s="458"/>
      <c r="DD697" s="458"/>
      <c r="DE697" s="458"/>
      <c r="DF697" s="458"/>
      <c r="DG697" s="458"/>
      <c r="DH697" s="458"/>
      <c r="DI697" s="458"/>
      <c r="DJ697" s="458"/>
      <c r="DK697" s="458"/>
      <c r="DL697" s="458"/>
      <c r="DM697" s="458"/>
      <c r="DN697" s="458"/>
      <c r="DO697" s="458"/>
      <c r="DP697" s="458"/>
      <c r="DQ697" s="458"/>
      <c r="DR697" s="458"/>
      <c r="DS697" s="458"/>
      <c r="DT697" s="458"/>
      <c r="DU697" s="458"/>
      <c r="DV697" s="458"/>
      <c r="DW697" s="458"/>
      <c r="DX697" s="458"/>
      <c r="DY697" s="458"/>
      <c r="DZ697" s="458"/>
      <c r="EA697" s="458"/>
      <c r="EB697" s="458"/>
      <c r="EC697" s="458"/>
      <c r="ED697" s="458"/>
      <c r="EE697" s="458"/>
      <c r="EF697" s="458"/>
      <c r="EG697" s="458"/>
      <c r="EH697" s="458"/>
      <c r="EI697" s="458"/>
      <c r="EJ697" s="458"/>
      <c r="EK697" s="458"/>
      <c r="EL697" s="458"/>
      <c r="EM697" s="458"/>
      <c r="EN697" s="458"/>
      <c r="EO697" s="458"/>
      <c r="EP697" s="458"/>
      <c r="EQ697" s="458"/>
      <c r="ER697" s="458"/>
      <c r="ES697" s="458"/>
      <c r="ET697" s="458"/>
      <c r="EU697" s="458"/>
      <c r="EV697" s="458"/>
      <c r="EW697" s="458"/>
      <c r="EX697" s="458"/>
      <c r="EY697" s="458"/>
      <c r="EZ697" s="458"/>
      <c r="FA697" s="458"/>
      <c r="FB697" s="458"/>
      <c r="FC697" s="458"/>
      <c r="FD697" s="458"/>
      <c r="FE697" s="458"/>
      <c r="FF697" s="458"/>
      <c r="FG697" s="458"/>
      <c r="FH697" s="458"/>
      <c r="FI697" s="458"/>
      <c r="FJ697" s="458"/>
      <c r="FK697" s="458"/>
      <c r="FL697" s="458"/>
      <c r="FM697" s="458"/>
      <c r="FN697" s="458"/>
      <c r="FO697" s="458"/>
      <c r="FP697" s="458"/>
      <c r="FQ697" s="458"/>
      <c r="FR697" s="458"/>
      <c r="FS697" s="458"/>
      <c r="FT697" s="458"/>
      <c r="FU697" s="458"/>
      <c r="FV697" s="458"/>
      <c r="FW697" s="458"/>
      <c r="FX697" s="458"/>
      <c r="FY697" s="458"/>
      <c r="FZ697" s="458"/>
      <c r="GA697" s="458"/>
      <c r="GB697" s="458"/>
      <c r="GC697" s="458"/>
      <c r="GD697" s="458"/>
      <c r="GE697" s="458"/>
      <c r="GF697" s="458"/>
      <c r="GG697" s="458"/>
      <c r="GH697" s="458"/>
      <c r="GI697" s="458"/>
      <c r="GJ697" s="458"/>
      <c r="GK697" s="458"/>
      <c r="GL697" s="458"/>
      <c r="GM697" s="458"/>
      <c r="GN697" s="458"/>
      <c r="GO697" s="458"/>
      <c r="GP697" s="458"/>
      <c r="GQ697" s="458"/>
      <c r="GR697" s="458"/>
      <c r="GS697" s="458"/>
      <c r="GT697" s="458"/>
      <c r="GU697" s="458"/>
      <c r="GV697" s="458"/>
      <c r="GW697" s="458"/>
      <c r="GX697" s="458"/>
      <c r="GY697" s="458"/>
      <c r="GZ697" s="458"/>
      <c r="HA697" s="458"/>
      <c r="HB697" s="458"/>
      <c r="HC697" s="458"/>
      <c r="HD697" s="458"/>
      <c r="HE697" s="458"/>
      <c r="HF697" s="458"/>
      <c r="HG697" s="458"/>
      <c r="HH697" s="458"/>
      <c r="HI697" s="458"/>
      <c r="HJ697" s="458"/>
      <c r="HK697" s="458"/>
      <c r="HL697" s="458"/>
      <c r="HM697" s="458"/>
      <c r="HN697" s="458"/>
      <c r="HO697" s="458"/>
      <c r="HP697" s="458"/>
      <c r="HQ697" s="458"/>
      <c r="HR697" s="458"/>
      <c r="HS697" s="458"/>
      <c r="HT697" s="458"/>
      <c r="HU697" s="458"/>
      <c r="HV697" s="458"/>
      <c r="HW697" s="458"/>
      <c r="HX697" s="458"/>
      <c r="HY697" s="458"/>
      <c r="HZ697" s="458"/>
      <c r="IA697" s="458"/>
      <c r="IB697" s="458"/>
      <c r="IC697" s="458"/>
      <c r="ID697" s="458"/>
      <c r="IE697" s="458"/>
      <c r="IF697" s="458"/>
      <c r="IG697" s="458"/>
      <c r="IH697" s="458"/>
      <c r="II697" s="458"/>
      <c r="IJ697" s="458"/>
      <c r="IK697" s="458"/>
      <c r="IL697" s="458"/>
      <c r="IM697" s="458"/>
      <c r="IN697" s="458"/>
      <c r="IO697" s="458"/>
      <c r="IP697" s="458"/>
      <c r="IQ697" s="458"/>
      <c r="IR697" s="458"/>
      <c r="IS697" s="458"/>
    </row>
    <row r="698" spans="1:253" s="455" customFormat="1" ht="12" x14ac:dyDescent="0.2">
      <c r="A698" s="444"/>
      <c r="B698" s="445"/>
      <c r="C698" s="479"/>
      <c r="D698" s="479"/>
      <c r="E698" s="479"/>
      <c r="F698" s="479"/>
      <c r="G698" s="446"/>
      <c r="H698" s="445"/>
      <c r="I698" s="445"/>
      <c r="J698" s="445"/>
      <c r="K698" s="447"/>
      <c r="L698" s="448"/>
      <c r="M698" s="448"/>
      <c r="N698" s="445"/>
      <c r="O698" s="449"/>
      <c r="P698" s="450"/>
      <c r="Q698" s="451"/>
      <c r="R698" s="507"/>
      <c r="S698" s="508"/>
      <c r="T698" s="472"/>
      <c r="U698" s="448"/>
      <c r="V698" s="458"/>
      <c r="W698" s="448"/>
      <c r="X698" s="458"/>
      <c r="Y698" s="458"/>
      <c r="Z698" s="458"/>
      <c r="AA698" s="458"/>
      <c r="AB698" s="458"/>
      <c r="AC698" s="458"/>
      <c r="AD698" s="458"/>
      <c r="AE698" s="458"/>
      <c r="AF698" s="458"/>
      <c r="AG698" s="458"/>
      <c r="AH698" s="458"/>
      <c r="AI698" s="458"/>
      <c r="AJ698" s="458"/>
      <c r="AK698" s="458"/>
      <c r="AL698" s="458"/>
      <c r="AM698" s="458"/>
      <c r="AN698" s="458"/>
      <c r="AO698" s="458"/>
      <c r="AP698" s="458"/>
      <c r="AQ698" s="458"/>
      <c r="AR698" s="458"/>
      <c r="AS698" s="458"/>
      <c r="AT698" s="458"/>
      <c r="AU698" s="458"/>
      <c r="AV698" s="458"/>
      <c r="AW698" s="458"/>
      <c r="AX698" s="458"/>
      <c r="AY698" s="458"/>
      <c r="AZ698" s="458"/>
      <c r="BA698" s="458"/>
      <c r="BB698" s="458"/>
      <c r="BC698" s="458"/>
      <c r="BD698" s="458"/>
      <c r="BE698" s="458"/>
      <c r="BF698" s="458"/>
      <c r="BG698" s="458"/>
      <c r="BH698" s="458"/>
      <c r="BI698" s="458"/>
      <c r="BJ698" s="458"/>
      <c r="BK698" s="458"/>
      <c r="BL698" s="458"/>
      <c r="BM698" s="458"/>
      <c r="BN698" s="458"/>
      <c r="BO698" s="458"/>
      <c r="BP698" s="458"/>
      <c r="BQ698" s="458"/>
      <c r="BR698" s="458"/>
      <c r="BS698" s="458"/>
      <c r="BT698" s="458"/>
      <c r="BU698" s="458"/>
      <c r="BV698" s="458"/>
      <c r="BW698" s="458"/>
      <c r="BX698" s="458"/>
      <c r="BY698" s="458"/>
      <c r="BZ698" s="458"/>
      <c r="CA698" s="458"/>
      <c r="CB698" s="458"/>
      <c r="CC698" s="458"/>
      <c r="CD698" s="458"/>
      <c r="CE698" s="458"/>
      <c r="CF698" s="458"/>
      <c r="CG698" s="458"/>
      <c r="CH698" s="458"/>
      <c r="CI698" s="458"/>
      <c r="CJ698" s="458"/>
      <c r="CK698" s="458"/>
      <c r="CL698" s="458"/>
      <c r="CM698" s="458"/>
      <c r="CN698" s="458"/>
      <c r="CO698" s="458"/>
      <c r="CP698" s="458"/>
      <c r="CQ698" s="458"/>
      <c r="CR698" s="458"/>
      <c r="CS698" s="458"/>
      <c r="CT698" s="458"/>
      <c r="CU698" s="458"/>
      <c r="CV698" s="458"/>
      <c r="CW698" s="458"/>
      <c r="CX698" s="458"/>
      <c r="CY698" s="458"/>
      <c r="CZ698" s="458"/>
      <c r="DA698" s="458"/>
      <c r="DB698" s="458"/>
      <c r="DC698" s="458"/>
      <c r="DD698" s="458"/>
      <c r="DE698" s="458"/>
      <c r="DF698" s="458"/>
      <c r="DG698" s="458"/>
      <c r="DH698" s="458"/>
      <c r="DI698" s="458"/>
      <c r="DJ698" s="458"/>
      <c r="DK698" s="458"/>
      <c r="DL698" s="458"/>
      <c r="DM698" s="458"/>
      <c r="DN698" s="458"/>
      <c r="DO698" s="458"/>
      <c r="DP698" s="458"/>
      <c r="DQ698" s="458"/>
      <c r="DR698" s="458"/>
      <c r="DS698" s="458"/>
      <c r="DT698" s="458"/>
      <c r="DU698" s="458"/>
      <c r="DV698" s="458"/>
      <c r="DW698" s="458"/>
      <c r="DX698" s="458"/>
      <c r="DY698" s="458"/>
      <c r="DZ698" s="458"/>
      <c r="EA698" s="458"/>
      <c r="EB698" s="458"/>
      <c r="EC698" s="458"/>
      <c r="ED698" s="458"/>
      <c r="EE698" s="458"/>
      <c r="EF698" s="458"/>
      <c r="EG698" s="458"/>
      <c r="EH698" s="458"/>
      <c r="EI698" s="458"/>
      <c r="EJ698" s="458"/>
      <c r="EK698" s="458"/>
      <c r="EL698" s="458"/>
      <c r="EM698" s="458"/>
      <c r="EN698" s="458"/>
      <c r="EO698" s="458"/>
      <c r="EP698" s="458"/>
      <c r="EQ698" s="458"/>
      <c r="ER698" s="458"/>
      <c r="ES698" s="458"/>
      <c r="ET698" s="458"/>
      <c r="EU698" s="458"/>
      <c r="EV698" s="458"/>
      <c r="EW698" s="458"/>
      <c r="EX698" s="458"/>
      <c r="EY698" s="458"/>
      <c r="EZ698" s="458"/>
      <c r="FA698" s="458"/>
      <c r="FB698" s="458"/>
      <c r="FC698" s="458"/>
      <c r="FD698" s="458"/>
      <c r="FE698" s="458"/>
      <c r="FF698" s="458"/>
      <c r="FG698" s="458"/>
      <c r="FH698" s="458"/>
      <c r="FI698" s="458"/>
      <c r="FJ698" s="458"/>
      <c r="FK698" s="458"/>
      <c r="FL698" s="458"/>
      <c r="FM698" s="458"/>
      <c r="FN698" s="458"/>
      <c r="FO698" s="458"/>
      <c r="FP698" s="458"/>
      <c r="FQ698" s="458"/>
      <c r="FR698" s="458"/>
      <c r="FS698" s="458"/>
      <c r="FT698" s="458"/>
      <c r="FU698" s="458"/>
      <c r="FV698" s="458"/>
      <c r="FW698" s="458"/>
      <c r="FX698" s="458"/>
      <c r="FY698" s="458"/>
      <c r="FZ698" s="458"/>
      <c r="GA698" s="458"/>
      <c r="GB698" s="458"/>
      <c r="GC698" s="458"/>
      <c r="GD698" s="458"/>
      <c r="GE698" s="458"/>
      <c r="GF698" s="458"/>
      <c r="GG698" s="458"/>
      <c r="GH698" s="458"/>
      <c r="GI698" s="458"/>
      <c r="GJ698" s="458"/>
      <c r="GK698" s="458"/>
      <c r="GL698" s="458"/>
      <c r="GM698" s="458"/>
      <c r="GN698" s="458"/>
      <c r="GO698" s="458"/>
      <c r="GP698" s="458"/>
      <c r="GQ698" s="458"/>
      <c r="GR698" s="458"/>
      <c r="GS698" s="458"/>
      <c r="GT698" s="458"/>
      <c r="GU698" s="458"/>
      <c r="GV698" s="458"/>
      <c r="GW698" s="458"/>
      <c r="GX698" s="458"/>
      <c r="GY698" s="458"/>
      <c r="GZ698" s="458"/>
      <c r="HA698" s="458"/>
      <c r="HB698" s="458"/>
      <c r="HC698" s="458"/>
      <c r="HD698" s="458"/>
      <c r="HE698" s="458"/>
      <c r="HF698" s="458"/>
      <c r="HG698" s="458"/>
      <c r="HH698" s="458"/>
      <c r="HI698" s="458"/>
      <c r="HJ698" s="458"/>
      <c r="HK698" s="458"/>
      <c r="HL698" s="458"/>
      <c r="HM698" s="458"/>
      <c r="HN698" s="458"/>
      <c r="HO698" s="458"/>
      <c r="HP698" s="458"/>
      <c r="HQ698" s="458"/>
      <c r="HR698" s="458"/>
      <c r="HS698" s="458"/>
      <c r="HT698" s="458"/>
      <c r="HU698" s="458"/>
      <c r="HV698" s="458"/>
      <c r="HW698" s="458"/>
      <c r="HX698" s="458"/>
      <c r="HY698" s="458"/>
      <c r="HZ698" s="458"/>
      <c r="IA698" s="458"/>
      <c r="IB698" s="458"/>
      <c r="IC698" s="458"/>
      <c r="ID698" s="458"/>
      <c r="IE698" s="458"/>
      <c r="IF698" s="458"/>
      <c r="IG698" s="458"/>
      <c r="IH698" s="458"/>
      <c r="II698" s="458"/>
      <c r="IJ698" s="458"/>
      <c r="IK698" s="458"/>
      <c r="IL698" s="458"/>
      <c r="IM698" s="458"/>
      <c r="IN698" s="458"/>
      <c r="IO698" s="458"/>
      <c r="IP698" s="458"/>
      <c r="IQ698" s="458"/>
      <c r="IR698" s="458"/>
      <c r="IS698" s="458"/>
    </row>
    <row r="699" spans="1:253" s="455" customFormat="1" ht="12" x14ac:dyDescent="0.2">
      <c r="A699" s="444"/>
      <c r="B699" s="445"/>
      <c r="C699" s="479"/>
      <c r="D699" s="479"/>
      <c r="E699" s="479"/>
      <c r="F699" s="479"/>
      <c r="G699" s="446"/>
      <c r="H699" s="445"/>
      <c r="I699" s="445"/>
      <c r="J699" s="445"/>
      <c r="K699" s="447"/>
      <c r="L699" s="448"/>
      <c r="M699" s="448"/>
      <c r="N699" s="445"/>
      <c r="O699" s="449"/>
      <c r="P699" s="450"/>
      <c r="Q699" s="451"/>
      <c r="R699" s="507"/>
      <c r="S699" s="508"/>
      <c r="T699" s="472"/>
      <c r="U699" s="448"/>
      <c r="V699" s="458"/>
      <c r="W699" s="448"/>
      <c r="X699" s="458"/>
      <c r="Y699" s="458"/>
      <c r="Z699" s="458"/>
      <c r="AA699" s="458"/>
      <c r="AB699" s="458"/>
      <c r="AC699" s="458"/>
      <c r="AD699" s="458"/>
      <c r="AE699" s="458"/>
      <c r="AF699" s="458"/>
      <c r="AG699" s="458"/>
      <c r="AH699" s="458"/>
      <c r="AI699" s="458"/>
      <c r="AJ699" s="458"/>
      <c r="AK699" s="458"/>
      <c r="AL699" s="458"/>
      <c r="AM699" s="458"/>
      <c r="AN699" s="458"/>
      <c r="AO699" s="458"/>
      <c r="AP699" s="458"/>
      <c r="AQ699" s="458"/>
      <c r="AR699" s="458"/>
      <c r="AS699" s="458"/>
      <c r="AT699" s="458"/>
      <c r="AU699" s="458"/>
      <c r="AV699" s="458"/>
      <c r="AW699" s="458"/>
      <c r="AX699" s="458"/>
      <c r="AY699" s="458"/>
      <c r="AZ699" s="458"/>
      <c r="BA699" s="458"/>
      <c r="BB699" s="458"/>
      <c r="BC699" s="458"/>
      <c r="BD699" s="458"/>
      <c r="BE699" s="458"/>
      <c r="BF699" s="458"/>
      <c r="BG699" s="458"/>
      <c r="BH699" s="458"/>
      <c r="BI699" s="458"/>
      <c r="BJ699" s="458"/>
      <c r="BK699" s="458"/>
      <c r="BL699" s="458"/>
      <c r="BM699" s="458"/>
      <c r="BN699" s="458"/>
      <c r="BO699" s="458"/>
      <c r="BP699" s="458"/>
      <c r="BQ699" s="458"/>
      <c r="BR699" s="458"/>
      <c r="BS699" s="458"/>
      <c r="BT699" s="458"/>
      <c r="BU699" s="458"/>
      <c r="BV699" s="458"/>
      <c r="BW699" s="458"/>
      <c r="BX699" s="458"/>
      <c r="BY699" s="458"/>
      <c r="BZ699" s="458"/>
      <c r="CA699" s="458"/>
      <c r="CB699" s="458"/>
      <c r="CC699" s="458"/>
      <c r="CD699" s="458"/>
      <c r="CE699" s="458"/>
      <c r="CF699" s="458"/>
      <c r="CG699" s="458"/>
      <c r="CH699" s="458"/>
      <c r="CI699" s="458"/>
      <c r="CJ699" s="458"/>
      <c r="CK699" s="458"/>
      <c r="CL699" s="458"/>
      <c r="CM699" s="458"/>
      <c r="CN699" s="458"/>
      <c r="CO699" s="458"/>
      <c r="CP699" s="458"/>
      <c r="CQ699" s="458"/>
      <c r="CR699" s="458"/>
      <c r="CS699" s="458"/>
      <c r="CT699" s="458"/>
      <c r="CU699" s="458"/>
      <c r="CV699" s="458"/>
      <c r="CW699" s="458"/>
      <c r="CX699" s="458"/>
      <c r="CY699" s="458"/>
      <c r="CZ699" s="458"/>
      <c r="DA699" s="458"/>
      <c r="DB699" s="458"/>
      <c r="DC699" s="458"/>
      <c r="DD699" s="458"/>
      <c r="DE699" s="458"/>
      <c r="DF699" s="458"/>
      <c r="DG699" s="458"/>
      <c r="DH699" s="458"/>
      <c r="DI699" s="458"/>
      <c r="DJ699" s="458"/>
      <c r="DK699" s="458"/>
      <c r="DL699" s="458"/>
      <c r="DM699" s="458"/>
      <c r="DN699" s="458"/>
      <c r="DO699" s="458"/>
      <c r="DP699" s="458"/>
      <c r="DQ699" s="458"/>
      <c r="DR699" s="458"/>
      <c r="DS699" s="458"/>
      <c r="DT699" s="458"/>
      <c r="DU699" s="458"/>
      <c r="DV699" s="458"/>
      <c r="DW699" s="458"/>
      <c r="DX699" s="458"/>
      <c r="DY699" s="458"/>
      <c r="DZ699" s="458"/>
      <c r="EA699" s="458"/>
      <c r="EB699" s="458"/>
      <c r="EC699" s="458"/>
      <c r="ED699" s="458"/>
      <c r="EE699" s="458"/>
      <c r="EF699" s="458"/>
      <c r="EG699" s="458"/>
      <c r="EH699" s="458"/>
      <c r="EI699" s="458"/>
      <c r="EJ699" s="458"/>
      <c r="EK699" s="458"/>
      <c r="EL699" s="458"/>
      <c r="EM699" s="458"/>
      <c r="EN699" s="458"/>
      <c r="EO699" s="458"/>
      <c r="EP699" s="458"/>
      <c r="EQ699" s="458"/>
      <c r="ER699" s="458"/>
      <c r="ES699" s="458"/>
      <c r="ET699" s="458"/>
      <c r="EU699" s="458"/>
      <c r="EV699" s="458"/>
      <c r="EW699" s="458"/>
      <c r="EX699" s="458"/>
      <c r="EY699" s="458"/>
      <c r="EZ699" s="458"/>
      <c r="FA699" s="458"/>
      <c r="FB699" s="458"/>
      <c r="FC699" s="458"/>
      <c r="FD699" s="458"/>
      <c r="FE699" s="458"/>
      <c r="FF699" s="458"/>
      <c r="FG699" s="458"/>
      <c r="FH699" s="458"/>
      <c r="FI699" s="458"/>
      <c r="FJ699" s="458"/>
      <c r="FK699" s="458"/>
      <c r="FL699" s="458"/>
      <c r="FM699" s="458"/>
      <c r="FN699" s="458"/>
      <c r="FO699" s="458"/>
      <c r="FP699" s="458"/>
      <c r="FQ699" s="458"/>
      <c r="FR699" s="458"/>
      <c r="FS699" s="458"/>
      <c r="FT699" s="458"/>
      <c r="FU699" s="458"/>
      <c r="FV699" s="458"/>
      <c r="FW699" s="458"/>
      <c r="FX699" s="458"/>
      <c r="FY699" s="458"/>
      <c r="FZ699" s="458"/>
      <c r="GA699" s="458"/>
      <c r="GB699" s="458"/>
      <c r="GC699" s="458"/>
      <c r="GD699" s="458"/>
      <c r="GE699" s="458"/>
      <c r="GF699" s="458"/>
      <c r="GG699" s="458"/>
      <c r="GH699" s="458"/>
      <c r="GI699" s="458"/>
      <c r="GJ699" s="458"/>
      <c r="GK699" s="458"/>
      <c r="GL699" s="458"/>
      <c r="GM699" s="458"/>
      <c r="GN699" s="458"/>
      <c r="GO699" s="458"/>
      <c r="GP699" s="458"/>
      <c r="GQ699" s="458"/>
      <c r="GR699" s="458"/>
      <c r="GS699" s="458"/>
      <c r="GT699" s="458"/>
      <c r="GU699" s="458"/>
      <c r="GV699" s="458"/>
      <c r="GW699" s="458"/>
      <c r="GX699" s="458"/>
      <c r="GY699" s="458"/>
      <c r="GZ699" s="458"/>
      <c r="HA699" s="458"/>
      <c r="HB699" s="458"/>
      <c r="HC699" s="458"/>
      <c r="HD699" s="458"/>
      <c r="HE699" s="458"/>
      <c r="HF699" s="458"/>
      <c r="HG699" s="458"/>
      <c r="HH699" s="458"/>
      <c r="HI699" s="458"/>
      <c r="HJ699" s="458"/>
      <c r="HK699" s="458"/>
      <c r="HL699" s="458"/>
      <c r="HM699" s="458"/>
      <c r="HN699" s="458"/>
      <c r="HO699" s="458"/>
      <c r="HP699" s="458"/>
      <c r="HQ699" s="458"/>
      <c r="HR699" s="458"/>
      <c r="HS699" s="458"/>
      <c r="HT699" s="458"/>
      <c r="HU699" s="458"/>
      <c r="HV699" s="458"/>
      <c r="HW699" s="458"/>
      <c r="HX699" s="458"/>
      <c r="HY699" s="458"/>
      <c r="HZ699" s="458"/>
      <c r="IA699" s="458"/>
      <c r="IB699" s="458"/>
      <c r="IC699" s="458"/>
      <c r="ID699" s="458"/>
      <c r="IE699" s="458"/>
      <c r="IF699" s="458"/>
      <c r="IG699" s="458"/>
      <c r="IH699" s="458"/>
      <c r="II699" s="458"/>
      <c r="IJ699" s="458"/>
      <c r="IK699" s="458"/>
      <c r="IL699" s="458"/>
      <c r="IM699" s="458"/>
      <c r="IN699" s="458"/>
      <c r="IO699" s="458"/>
      <c r="IP699" s="458"/>
      <c r="IQ699" s="458"/>
      <c r="IR699" s="458"/>
      <c r="IS699" s="458"/>
    </row>
    <row r="700" spans="1:253" s="455" customFormat="1" ht="12" x14ac:dyDescent="0.2">
      <c r="A700" s="444"/>
      <c r="B700" s="445"/>
      <c r="C700" s="479"/>
      <c r="D700" s="479"/>
      <c r="E700" s="479"/>
      <c r="F700" s="479"/>
      <c r="G700" s="446"/>
      <c r="H700" s="445"/>
      <c r="I700" s="445"/>
      <c r="J700" s="445"/>
      <c r="K700" s="447"/>
      <c r="L700" s="448"/>
      <c r="M700" s="448"/>
      <c r="N700" s="445"/>
      <c r="O700" s="449"/>
      <c r="P700" s="450"/>
      <c r="Q700" s="451"/>
      <c r="R700" s="507"/>
      <c r="S700" s="508"/>
      <c r="T700" s="472"/>
      <c r="U700" s="448"/>
      <c r="V700" s="458"/>
      <c r="W700" s="448"/>
      <c r="X700" s="458"/>
      <c r="Y700" s="458"/>
      <c r="Z700" s="458"/>
      <c r="AA700" s="458"/>
      <c r="AB700" s="458"/>
      <c r="AC700" s="458"/>
      <c r="AD700" s="458"/>
      <c r="AE700" s="458"/>
      <c r="AF700" s="458"/>
      <c r="AG700" s="458"/>
      <c r="AH700" s="458"/>
      <c r="AI700" s="458"/>
      <c r="AJ700" s="458"/>
      <c r="AK700" s="458"/>
      <c r="AL700" s="458"/>
      <c r="AM700" s="458"/>
      <c r="AN700" s="458"/>
      <c r="AO700" s="458"/>
      <c r="AP700" s="458"/>
      <c r="AQ700" s="458"/>
      <c r="AR700" s="458"/>
      <c r="AS700" s="458"/>
      <c r="AT700" s="458"/>
      <c r="AU700" s="458"/>
      <c r="AV700" s="458"/>
      <c r="AW700" s="458"/>
      <c r="AX700" s="458"/>
      <c r="AY700" s="458"/>
      <c r="AZ700" s="458"/>
      <c r="BA700" s="458"/>
      <c r="BB700" s="458"/>
      <c r="BC700" s="458"/>
      <c r="BD700" s="458"/>
      <c r="BE700" s="458"/>
      <c r="BF700" s="458"/>
      <c r="BG700" s="458"/>
      <c r="BH700" s="458"/>
      <c r="BI700" s="458"/>
      <c r="BJ700" s="458"/>
      <c r="BK700" s="458"/>
      <c r="BL700" s="458"/>
      <c r="BM700" s="458"/>
      <c r="BN700" s="458"/>
      <c r="BO700" s="458"/>
      <c r="BP700" s="458"/>
      <c r="BQ700" s="458"/>
      <c r="BR700" s="458"/>
      <c r="BS700" s="458"/>
      <c r="BT700" s="458"/>
      <c r="BU700" s="458"/>
      <c r="BV700" s="458"/>
      <c r="BW700" s="458"/>
      <c r="BX700" s="458"/>
      <c r="BY700" s="458"/>
      <c r="BZ700" s="458"/>
      <c r="CA700" s="458"/>
      <c r="CB700" s="458"/>
      <c r="CC700" s="458"/>
      <c r="CD700" s="458"/>
      <c r="CE700" s="458"/>
      <c r="CF700" s="458"/>
      <c r="CG700" s="458"/>
      <c r="CH700" s="458"/>
      <c r="CI700" s="458"/>
      <c r="CJ700" s="458"/>
      <c r="CK700" s="458"/>
      <c r="CL700" s="458"/>
      <c r="CM700" s="458"/>
      <c r="CN700" s="458"/>
      <c r="CO700" s="458"/>
      <c r="CP700" s="458"/>
      <c r="CQ700" s="458"/>
      <c r="CR700" s="458"/>
      <c r="CS700" s="458"/>
      <c r="CT700" s="458"/>
      <c r="CU700" s="458"/>
      <c r="CV700" s="458"/>
      <c r="CW700" s="458"/>
      <c r="CX700" s="458"/>
      <c r="CY700" s="458"/>
      <c r="CZ700" s="458"/>
      <c r="DA700" s="458"/>
      <c r="DB700" s="458"/>
      <c r="DC700" s="458"/>
      <c r="DD700" s="458"/>
      <c r="DE700" s="458"/>
      <c r="DF700" s="458"/>
      <c r="DG700" s="458"/>
      <c r="DH700" s="458"/>
      <c r="DI700" s="458"/>
      <c r="DJ700" s="458"/>
      <c r="DK700" s="458"/>
      <c r="DL700" s="458"/>
      <c r="DM700" s="458"/>
      <c r="DN700" s="458"/>
      <c r="DO700" s="458"/>
      <c r="DP700" s="458"/>
      <c r="DQ700" s="458"/>
      <c r="DR700" s="458"/>
      <c r="DS700" s="458"/>
      <c r="DT700" s="458"/>
      <c r="DU700" s="458"/>
      <c r="DV700" s="458"/>
      <c r="DW700" s="458"/>
      <c r="DX700" s="458"/>
      <c r="DY700" s="458"/>
      <c r="DZ700" s="458"/>
      <c r="EA700" s="458"/>
      <c r="EB700" s="458"/>
      <c r="EC700" s="458"/>
      <c r="ED700" s="458"/>
      <c r="EE700" s="458"/>
      <c r="EF700" s="458"/>
      <c r="EG700" s="458"/>
      <c r="EH700" s="458"/>
      <c r="EI700" s="458"/>
      <c r="EJ700" s="458"/>
      <c r="EK700" s="458"/>
      <c r="EL700" s="458"/>
      <c r="EM700" s="458"/>
      <c r="EN700" s="458"/>
      <c r="EO700" s="458"/>
      <c r="EP700" s="458"/>
      <c r="EQ700" s="458"/>
      <c r="ER700" s="458"/>
      <c r="ES700" s="458"/>
      <c r="ET700" s="458"/>
      <c r="EU700" s="458"/>
      <c r="EV700" s="458"/>
      <c r="EW700" s="458"/>
      <c r="EX700" s="458"/>
      <c r="EY700" s="458"/>
      <c r="EZ700" s="458"/>
      <c r="FA700" s="458"/>
      <c r="FB700" s="458"/>
      <c r="FC700" s="458"/>
      <c r="FD700" s="458"/>
      <c r="FE700" s="458"/>
      <c r="FF700" s="458"/>
      <c r="FG700" s="458"/>
      <c r="FH700" s="458"/>
      <c r="FI700" s="458"/>
      <c r="FJ700" s="458"/>
      <c r="FK700" s="458"/>
      <c r="FL700" s="458"/>
      <c r="FM700" s="458"/>
      <c r="FN700" s="458"/>
      <c r="FO700" s="458"/>
      <c r="FP700" s="458"/>
      <c r="FQ700" s="458"/>
      <c r="FR700" s="458"/>
      <c r="FS700" s="458"/>
      <c r="FT700" s="458"/>
      <c r="FU700" s="458"/>
      <c r="FV700" s="458"/>
      <c r="FW700" s="458"/>
      <c r="FX700" s="458"/>
      <c r="FY700" s="458"/>
      <c r="FZ700" s="458"/>
      <c r="GA700" s="458"/>
      <c r="GB700" s="458"/>
      <c r="GC700" s="458"/>
      <c r="GD700" s="458"/>
      <c r="GE700" s="458"/>
      <c r="GF700" s="458"/>
      <c r="GG700" s="458"/>
      <c r="GH700" s="458"/>
      <c r="GI700" s="458"/>
      <c r="GJ700" s="458"/>
      <c r="GK700" s="458"/>
      <c r="GL700" s="458"/>
      <c r="GM700" s="458"/>
      <c r="GN700" s="458"/>
      <c r="GO700" s="458"/>
      <c r="GP700" s="458"/>
      <c r="GQ700" s="458"/>
      <c r="GR700" s="458"/>
      <c r="GS700" s="458"/>
      <c r="GT700" s="458"/>
      <c r="GU700" s="458"/>
      <c r="GV700" s="458"/>
      <c r="GW700" s="458"/>
      <c r="GX700" s="458"/>
      <c r="GY700" s="458"/>
      <c r="GZ700" s="458"/>
      <c r="HA700" s="458"/>
      <c r="HB700" s="458"/>
      <c r="HC700" s="458"/>
      <c r="HD700" s="458"/>
      <c r="HE700" s="458"/>
      <c r="HF700" s="458"/>
      <c r="HG700" s="458"/>
      <c r="HH700" s="458"/>
      <c r="HI700" s="458"/>
      <c r="HJ700" s="458"/>
      <c r="HK700" s="458"/>
      <c r="HL700" s="458"/>
      <c r="HM700" s="458"/>
      <c r="HN700" s="458"/>
      <c r="HO700" s="458"/>
      <c r="HP700" s="458"/>
      <c r="HQ700" s="458"/>
      <c r="HR700" s="458"/>
      <c r="HS700" s="458"/>
      <c r="HT700" s="458"/>
      <c r="HU700" s="458"/>
      <c r="HV700" s="458"/>
      <c r="HW700" s="458"/>
      <c r="HX700" s="458"/>
      <c r="HY700" s="458"/>
      <c r="HZ700" s="458"/>
      <c r="IA700" s="458"/>
      <c r="IB700" s="458"/>
      <c r="IC700" s="458"/>
      <c r="ID700" s="458"/>
      <c r="IE700" s="458"/>
      <c r="IF700" s="458"/>
      <c r="IG700" s="458"/>
      <c r="IH700" s="458"/>
      <c r="II700" s="458"/>
      <c r="IJ700" s="458"/>
      <c r="IK700" s="458"/>
      <c r="IL700" s="458"/>
      <c r="IM700" s="458"/>
      <c r="IN700" s="458"/>
      <c r="IO700" s="458"/>
      <c r="IP700" s="458"/>
      <c r="IQ700" s="458"/>
      <c r="IR700" s="458"/>
      <c r="IS700" s="458"/>
    </row>
    <row r="701" spans="1:253" s="455" customFormat="1" ht="12" x14ac:dyDescent="0.2">
      <c r="A701" s="444"/>
      <c r="B701" s="445"/>
      <c r="C701" s="479"/>
      <c r="D701" s="479"/>
      <c r="E701" s="479"/>
      <c r="F701" s="479"/>
      <c r="G701" s="446"/>
      <c r="H701" s="445"/>
      <c r="I701" s="445"/>
      <c r="J701" s="445"/>
      <c r="K701" s="447"/>
      <c r="L701" s="448"/>
      <c r="M701" s="448"/>
      <c r="N701" s="445"/>
      <c r="O701" s="449"/>
      <c r="P701" s="450"/>
      <c r="Q701" s="451"/>
      <c r="R701" s="507"/>
      <c r="S701" s="508"/>
      <c r="T701" s="472"/>
      <c r="U701" s="448"/>
      <c r="V701" s="458"/>
      <c r="W701" s="448"/>
      <c r="X701" s="458"/>
      <c r="Y701" s="458"/>
      <c r="Z701" s="458"/>
      <c r="AA701" s="458"/>
      <c r="AB701" s="458"/>
      <c r="AC701" s="458"/>
      <c r="AD701" s="458"/>
      <c r="AE701" s="458"/>
      <c r="AF701" s="458"/>
      <c r="AG701" s="458"/>
      <c r="AH701" s="458"/>
      <c r="AI701" s="458"/>
      <c r="AJ701" s="458"/>
      <c r="AK701" s="458"/>
      <c r="AL701" s="458"/>
      <c r="AM701" s="458"/>
      <c r="AN701" s="458"/>
      <c r="AO701" s="458"/>
      <c r="AP701" s="458"/>
      <c r="AQ701" s="458"/>
      <c r="AR701" s="458"/>
      <c r="AS701" s="458"/>
      <c r="AT701" s="458"/>
      <c r="AU701" s="458"/>
      <c r="AV701" s="458"/>
      <c r="AW701" s="458"/>
      <c r="AX701" s="458"/>
      <c r="AY701" s="458"/>
      <c r="AZ701" s="458"/>
      <c r="BA701" s="458"/>
      <c r="BB701" s="458"/>
      <c r="BC701" s="458"/>
      <c r="BD701" s="458"/>
      <c r="BE701" s="458"/>
      <c r="BF701" s="458"/>
      <c r="BG701" s="458"/>
      <c r="BH701" s="458"/>
      <c r="BI701" s="458"/>
      <c r="BJ701" s="458"/>
      <c r="BK701" s="458"/>
      <c r="BL701" s="458"/>
      <c r="BM701" s="458"/>
      <c r="BN701" s="458"/>
      <c r="BO701" s="458"/>
      <c r="BP701" s="458"/>
      <c r="BQ701" s="458"/>
      <c r="BR701" s="458"/>
      <c r="BS701" s="458"/>
      <c r="BT701" s="458"/>
      <c r="BU701" s="458"/>
      <c r="BV701" s="458"/>
      <c r="BW701" s="458"/>
      <c r="BX701" s="458"/>
      <c r="BY701" s="458"/>
      <c r="BZ701" s="458"/>
      <c r="CA701" s="458"/>
      <c r="CB701" s="458"/>
      <c r="CC701" s="458"/>
      <c r="CD701" s="458"/>
      <c r="CE701" s="458"/>
      <c r="CF701" s="458"/>
      <c r="CG701" s="458"/>
      <c r="CH701" s="458"/>
      <c r="CI701" s="458"/>
      <c r="CJ701" s="458"/>
      <c r="CK701" s="458"/>
      <c r="CL701" s="458"/>
      <c r="CM701" s="458"/>
      <c r="CN701" s="458"/>
      <c r="CO701" s="458"/>
      <c r="CP701" s="458"/>
      <c r="CQ701" s="458"/>
      <c r="CR701" s="458"/>
      <c r="CS701" s="458"/>
      <c r="CT701" s="458"/>
      <c r="CU701" s="458"/>
      <c r="CV701" s="458"/>
      <c r="CW701" s="458"/>
      <c r="CX701" s="458"/>
      <c r="CY701" s="458"/>
      <c r="CZ701" s="458"/>
      <c r="DA701" s="458"/>
      <c r="DB701" s="458"/>
      <c r="DC701" s="458"/>
      <c r="DD701" s="458"/>
      <c r="DE701" s="458"/>
      <c r="DF701" s="458"/>
      <c r="DG701" s="458"/>
      <c r="DH701" s="458"/>
      <c r="DI701" s="458"/>
      <c r="DJ701" s="458"/>
      <c r="DK701" s="458"/>
      <c r="DL701" s="458"/>
      <c r="DM701" s="458"/>
      <c r="DN701" s="458"/>
      <c r="DO701" s="458"/>
      <c r="DP701" s="458"/>
      <c r="DQ701" s="458"/>
      <c r="DR701" s="458"/>
      <c r="DS701" s="458"/>
      <c r="DT701" s="458"/>
      <c r="DU701" s="458"/>
      <c r="DV701" s="458"/>
      <c r="DW701" s="458"/>
      <c r="DX701" s="458"/>
      <c r="DY701" s="458"/>
      <c r="DZ701" s="458"/>
      <c r="EA701" s="458"/>
      <c r="EB701" s="458"/>
      <c r="EC701" s="458"/>
      <c r="ED701" s="458"/>
      <c r="EE701" s="458"/>
      <c r="EF701" s="458"/>
      <c r="EG701" s="458"/>
      <c r="EH701" s="458"/>
      <c r="EI701" s="458"/>
      <c r="EJ701" s="458"/>
      <c r="EK701" s="458"/>
      <c r="EL701" s="458"/>
      <c r="EM701" s="458"/>
      <c r="EN701" s="458"/>
      <c r="EO701" s="458"/>
      <c r="EP701" s="458"/>
      <c r="EQ701" s="458"/>
      <c r="ER701" s="458"/>
      <c r="ES701" s="458"/>
      <c r="ET701" s="458"/>
      <c r="EU701" s="458"/>
      <c r="EV701" s="458"/>
      <c r="EW701" s="458"/>
      <c r="EX701" s="458"/>
      <c r="EY701" s="458"/>
      <c r="EZ701" s="458"/>
      <c r="FA701" s="458"/>
      <c r="FB701" s="458"/>
      <c r="FC701" s="458"/>
      <c r="FD701" s="458"/>
      <c r="FE701" s="458"/>
      <c r="FF701" s="458"/>
      <c r="FG701" s="458"/>
      <c r="FH701" s="458"/>
      <c r="FI701" s="458"/>
      <c r="FJ701" s="458"/>
      <c r="FK701" s="458"/>
      <c r="FL701" s="458"/>
      <c r="FM701" s="458"/>
      <c r="FN701" s="458"/>
      <c r="FO701" s="458"/>
      <c r="FP701" s="458"/>
      <c r="FQ701" s="458"/>
      <c r="FR701" s="458"/>
      <c r="FS701" s="458"/>
      <c r="FT701" s="458"/>
      <c r="FU701" s="458"/>
      <c r="FV701" s="458"/>
      <c r="FW701" s="458"/>
      <c r="FX701" s="458"/>
      <c r="FY701" s="458"/>
      <c r="FZ701" s="458"/>
      <c r="GA701" s="458"/>
      <c r="GB701" s="458"/>
      <c r="GC701" s="458"/>
      <c r="GD701" s="458"/>
      <c r="GE701" s="458"/>
      <c r="GF701" s="458"/>
      <c r="GG701" s="458"/>
      <c r="GH701" s="458"/>
      <c r="GI701" s="458"/>
      <c r="GJ701" s="458"/>
      <c r="GK701" s="458"/>
      <c r="GL701" s="458"/>
      <c r="GM701" s="458"/>
      <c r="GN701" s="458"/>
      <c r="GO701" s="458"/>
      <c r="GP701" s="458"/>
      <c r="GQ701" s="458"/>
      <c r="GR701" s="458"/>
      <c r="GS701" s="458"/>
      <c r="GT701" s="458"/>
      <c r="GU701" s="458"/>
      <c r="GV701" s="458"/>
      <c r="GW701" s="458"/>
      <c r="GX701" s="458"/>
      <c r="GY701" s="458"/>
      <c r="GZ701" s="458"/>
      <c r="HA701" s="458"/>
      <c r="HB701" s="458"/>
      <c r="HC701" s="458"/>
      <c r="HD701" s="458"/>
      <c r="HE701" s="458"/>
      <c r="HF701" s="458"/>
      <c r="HG701" s="458"/>
      <c r="HH701" s="458"/>
      <c r="HI701" s="458"/>
      <c r="HJ701" s="458"/>
      <c r="HK701" s="458"/>
      <c r="HL701" s="458"/>
      <c r="HM701" s="458"/>
      <c r="HN701" s="458"/>
      <c r="HO701" s="458"/>
      <c r="HP701" s="458"/>
      <c r="HQ701" s="458"/>
      <c r="HR701" s="458"/>
      <c r="HS701" s="458"/>
      <c r="HT701" s="458"/>
      <c r="HU701" s="458"/>
      <c r="HV701" s="458"/>
      <c r="HW701" s="458"/>
      <c r="HX701" s="458"/>
      <c r="HY701" s="458"/>
      <c r="HZ701" s="458"/>
      <c r="IA701" s="458"/>
      <c r="IB701" s="458"/>
      <c r="IC701" s="458"/>
      <c r="ID701" s="458"/>
      <c r="IE701" s="458"/>
      <c r="IF701" s="458"/>
      <c r="IG701" s="458"/>
      <c r="IH701" s="458"/>
      <c r="II701" s="458"/>
      <c r="IJ701" s="458"/>
      <c r="IK701" s="458"/>
      <c r="IL701" s="458"/>
      <c r="IM701" s="458"/>
      <c r="IN701" s="458"/>
      <c r="IO701" s="458"/>
      <c r="IP701" s="458"/>
      <c r="IQ701" s="458"/>
      <c r="IR701" s="458"/>
      <c r="IS701" s="458"/>
    </row>
    <row r="702" spans="1:253" s="455" customFormat="1" ht="12" x14ac:dyDescent="0.2">
      <c r="A702" s="444"/>
      <c r="B702" s="445"/>
      <c r="C702" s="479"/>
      <c r="D702" s="479"/>
      <c r="E702" s="479"/>
      <c r="F702" s="479"/>
      <c r="G702" s="446"/>
      <c r="H702" s="445"/>
      <c r="I702" s="445"/>
      <c r="J702" s="445"/>
      <c r="K702" s="447"/>
      <c r="L702" s="448"/>
      <c r="M702" s="448"/>
      <c r="N702" s="445"/>
      <c r="O702" s="449"/>
      <c r="P702" s="450"/>
      <c r="Q702" s="451"/>
      <c r="R702" s="507"/>
      <c r="S702" s="508"/>
      <c r="T702" s="472"/>
      <c r="U702" s="448"/>
      <c r="V702" s="458"/>
      <c r="W702" s="448"/>
      <c r="X702" s="458"/>
      <c r="Y702" s="458"/>
      <c r="Z702" s="458"/>
      <c r="AA702" s="458"/>
      <c r="AB702" s="458"/>
      <c r="AC702" s="458"/>
      <c r="AD702" s="458"/>
      <c r="AE702" s="458"/>
      <c r="AF702" s="458"/>
      <c r="AG702" s="458"/>
      <c r="AH702" s="458"/>
      <c r="AI702" s="458"/>
      <c r="AJ702" s="458"/>
      <c r="AK702" s="458"/>
      <c r="AL702" s="458"/>
      <c r="AM702" s="458"/>
      <c r="AN702" s="458"/>
      <c r="AO702" s="458"/>
      <c r="AP702" s="458"/>
      <c r="AQ702" s="458"/>
      <c r="AR702" s="458"/>
      <c r="AS702" s="458"/>
      <c r="AT702" s="458"/>
      <c r="AU702" s="458"/>
      <c r="AV702" s="458"/>
      <c r="AW702" s="458"/>
      <c r="AX702" s="458"/>
      <c r="AY702" s="458"/>
      <c r="AZ702" s="458"/>
      <c r="BA702" s="458"/>
      <c r="BB702" s="458"/>
      <c r="BC702" s="458"/>
      <c r="BD702" s="458"/>
      <c r="BE702" s="458"/>
      <c r="BF702" s="458"/>
      <c r="BG702" s="458"/>
      <c r="BH702" s="458"/>
      <c r="BI702" s="458"/>
      <c r="BJ702" s="458"/>
      <c r="BK702" s="458"/>
      <c r="BL702" s="458"/>
      <c r="BM702" s="458"/>
      <c r="BN702" s="458"/>
      <c r="BO702" s="458"/>
      <c r="BP702" s="458"/>
      <c r="BQ702" s="458"/>
      <c r="BR702" s="458"/>
      <c r="BS702" s="458"/>
      <c r="BT702" s="458"/>
      <c r="BU702" s="458"/>
      <c r="BV702" s="458"/>
      <c r="BW702" s="458"/>
      <c r="BX702" s="458"/>
      <c r="BY702" s="458"/>
      <c r="BZ702" s="458"/>
      <c r="CA702" s="458"/>
      <c r="CB702" s="458"/>
      <c r="CC702" s="458"/>
      <c r="CD702" s="458"/>
      <c r="CE702" s="458"/>
      <c r="CF702" s="458"/>
      <c r="CG702" s="458"/>
      <c r="CH702" s="458"/>
      <c r="CI702" s="458"/>
      <c r="CJ702" s="458"/>
      <c r="CK702" s="458"/>
      <c r="CL702" s="458"/>
      <c r="CM702" s="458"/>
      <c r="CN702" s="458"/>
      <c r="CO702" s="458"/>
      <c r="CP702" s="458"/>
      <c r="CQ702" s="458"/>
      <c r="CR702" s="458"/>
      <c r="CS702" s="458"/>
      <c r="CT702" s="458"/>
      <c r="CU702" s="458"/>
      <c r="CV702" s="458"/>
      <c r="CW702" s="458"/>
      <c r="CX702" s="458"/>
      <c r="CY702" s="458"/>
      <c r="CZ702" s="458"/>
      <c r="DA702" s="458"/>
      <c r="DB702" s="458"/>
      <c r="DC702" s="458"/>
      <c r="DD702" s="458"/>
      <c r="DE702" s="458"/>
      <c r="DF702" s="458"/>
      <c r="DG702" s="458"/>
      <c r="DH702" s="458"/>
      <c r="DI702" s="458"/>
      <c r="DJ702" s="458"/>
      <c r="DK702" s="458"/>
      <c r="DL702" s="458"/>
      <c r="DM702" s="458"/>
      <c r="DN702" s="458"/>
      <c r="DO702" s="458"/>
      <c r="DP702" s="458"/>
      <c r="DQ702" s="458"/>
      <c r="DR702" s="458"/>
      <c r="DS702" s="458"/>
      <c r="DT702" s="458"/>
      <c r="DU702" s="458"/>
      <c r="DV702" s="458"/>
      <c r="DW702" s="458"/>
      <c r="DX702" s="458"/>
      <c r="DY702" s="458"/>
      <c r="DZ702" s="458"/>
      <c r="EA702" s="458"/>
      <c r="EB702" s="458"/>
      <c r="EC702" s="458"/>
      <c r="ED702" s="458"/>
      <c r="EE702" s="458"/>
      <c r="EF702" s="458"/>
      <c r="EG702" s="458"/>
      <c r="EH702" s="458"/>
      <c r="EI702" s="458"/>
      <c r="EJ702" s="458"/>
      <c r="EK702" s="458"/>
      <c r="EL702" s="458"/>
      <c r="EM702" s="458"/>
      <c r="EN702" s="458"/>
      <c r="EO702" s="458"/>
      <c r="EP702" s="458"/>
      <c r="EQ702" s="458"/>
      <c r="ER702" s="458"/>
      <c r="ES702" s="458"/>
      <c r="ET702" s="458"/>
      <c r="EU702" s="458"/>
      <c r="EV702" s="458"/>
      <c r="EW702" s="458"/>
      <c r="EX702" s="458"/>
      <c r="EY702" s="458"/>
      <c r="EZ702" s="458"/>
      <c r="FA702" s="458"/>
      <c r="FB702" s="458"/>
      <c r="FC702" s="458"/>
      <c r="FD702" s="458"/>
      <c r="FE702" s="458"/>
      <c r="FF702" s="458"/>
      <c r="FG702" s="458"/>
      <c r="FH702" s="458"/>
      <c r="FI702" s="458"/>
      <c r="FJ702" s="458"/>
      <c r="FK702" s="458"/>
      <c r="FL702" s="458"/>
      <c r="FM702" s="458"/>
      <c r="FN702" s="458"/>
      <c r="FO702" s="458"/>
      <c r="FP702" s="458"/>
      <c r="FQ702" s="458"/>
      <c r="FR702" s="458"/>
      <c r="FS702" s="458"/>
      <c r="FT702" s="458"/>
      <c r="FU702" s="458"/>
      <c r="FV702" s="458"/>
      <c r="FW702" s="458"/>
      <c r="FX702" s="458"/>
      <c r="FY702" s="458"/>
      <c r="FZ702" s="458"/>
      <c r="GA702" s="458"/>
      <c r="GB702" s="458"/>
      <c r="GC702" s="458"/>
      <c r="GD702" s="458"/>
      <c r="GE702" s="458"/>
      <c r="GF702" s="458"/>
      <c r="GG702" s="458"/>
      <c r="GH702" s="458"/>
      <c r="GI702" s="458"/>
      <c r="GJ702" s="458"/>
      <c r="GK702" s="458"/>
      <c r="GL702" s="458"/>
      <c r="GM702" s="458"/>
      <c r="GN702" s="458"/>
      <c r="GO702" s="458"/>
      <c r="GP702" s="458"/>
      <c r="GQ702" s="458"/>
      <c r="GR702" s="458"/>
      <c r="GS702" s="458"/>
      <c r="GT702" s="458"/>
      <c r="GU702" s="458"/>
      <c r="GV702" s="458"/>
      <c r="GW702" s="458"/>
      <c r="GX702" s="458"/>
      <c r="GY702" s="458"/>
      <c r="GZ702" s="458"/>
      <c r="HA702" s="458"/>
      <c r="HB702" s="458"/>
      <c r="HC702" s="458"/>
      <c r="HD702" s="458"/>
      <c r="HE702" s="458"/>
      <c r="HF702" s="458"/>
      <c r="HG702" s="458"/>
      <c r="HH702" s="458"/>
      <c r="HI702" s="458"/>
      <c r="HJ702" s="458"/>
      <c r="HK702" s="458"/>
      <c r="HL702" s="458"/>
      <c r="HM702" s="458"/>
      <c r="HN702" s="458"/>
      <c r="HO702" s="458"/>
      <c r="HP702" s="458"/>
      <c r="HQ702" s="458"/>
      <c r="HR702" s="458"/>
      <c r="HS702" s="458"/>
      <c r="HT702" s="458"/>
      <c r="HU702" s="458"/>
      <c r="HV702" s="458"/>
      <c r="HW702" s="458"/>
      <c r="HX702" s="458"/>
      <c r="HY702" s="458"/>
      <c r="HZ702" s="458"/>
      <c r="IA702" s="458"/>
      <c r="IB702" s="458"/>
      <c r="IC702" s="458"/>
      <c r="ID702" s="458"/>
      <c r="IE702" s="458"/>
      <c r="IF702" s="458"/>
      <c r="IG702" s="458"/>
      <c r="IH702" s="458"/>
      <c r="II702" s="458"/>
      <c r="IJ702" s="458"/>
      <c r="IK702" s="458"/>
      <c r="IL702" s="458"/>
      <c r="IM702" s="458"/>
      <c r="IN702" s="458"/>
      <c r="IO702" s="458"/>
      <c r="IP702" s="458"/>
      <c r="IQ702" s="458"/>
      <c r="IR702" s="458"/>
      <c r="IS702" s="458"/>
    </row>
    <row r="703" spans="1:253" s="455" customFormat="1" ht="12" x14ac:dyDescent="0.2">
      <c r="A703" s="444"/>
      <c r="B703" s="445"/>
      <c r="C703" s="479"/>
      <c r="D703" s="479"/>
      <c r="E703" s="479"/>
      <c r="F703" s="479"/>
      <c r="G703" s="446"/>
      <c r="H703" s="445"/>
      <c r="I703" s="445"/>
      <c r="J703" s="445"/>
      <c r="K703" s="447"/>
      <c r="L703" s="448"/>
      <c r="M703" s="448"/>
      <c r="N703" s="445"/>
      <c r="O703" s="449"/>
      <c r="P703" s="450"/>
      <c r="Q703" s="451"/>
      <c r="R703" s="507"/>
      <c r="S703" s="508"/>
      <c r="T703" s="472"/>
      <c r="U703" s="448"/>
      <c r="V703" s="458"/>
      <c r="W703" s="448"/>
      <c r="X703" s="458"/>
      <c r="Y703" s="458"/>
      <c r="Z703" s="458"/>
      <c r="AA703" s="458"/>
      <c r="AB703" s="458"/>
      <c r="AC703" s="458"/>
      <c r="AD703" s="458"/>
      <c r="AE703" s="458"/>
      <c r="AF703" s="458"/>
      <c r="AG703" s="458"/>
      <c r="AH703" s="458"/>
      <c r="AI703" s="458"/>
      <c r="AJ703" s="458"/>
      <c r="AK703" s="458"/>
      <c r="AL703" s="458"/>
      <c r="AM703" s="458"/>
      <c r="AN703" s="458"/>
      <c r="AO703" s="458"/>
      <c r="AP703" s="458"/>
      <c r="AQ703" s="458"/>
      <c r="AR703" s="458"/>
      <c r="AS703" s="458"/>
      <c r="AT703" s="458"/>
      <c r="AU703" s="458"/>
      <c r="AV703" s="458"/>
      <c r="AW703" s="458"/>
      <c r="AX703" s="458"/>
      <c r="AY703" s="458"/>
      <c r="AZ703" s="458"/>
      <c r="BA703" s="458"/>
      <c r="BB703" s="458"/>
      <c r="BC703" s="458"/>
      <c r="BD703" s="458"/>
      <c r="BE703" s="458"/>
      <c r="BF703" s="458"/>
      <c r="BG703" s="458"/>
      <c r="BH703" s="458"/>
      <c r="BI703" s="458"/>
      <c r="BJ703" s="458"/>
      <c r="BK703" s="458"/>
      <c r="BL703" s="458"/>
      <c r="BM703" s="458"/>
      <c r="BN703" s="458"/>
      <c r="BO703" s="458"/>
      <c r="BP703" s="458"/>
      <c r="BQ703" s="458"/>
      <c r="BR703" s="458"/>
      <c r="BS703" s="458"/>
      <c r="BT703" s="458"/>
      <c r="BU703" s="458"/>
      <c r="BV703" s="458"/>
      <c r="BW703" s="458"/>
      <c r="BX703" s="458"/>
      <c r="BY703" s="458"/>
      <c r="BZ703" s="458"/>
      <c r="CA703" s="458"/>
      <c r="CB703" s="458"/>
      <c r="CC703" s="458"/>
      <c r="CD703" s="458"/>
      <c r="CE703" s="458"/>
      <c r="CF703" s="458"/>
      <c r="CG703" s="458"/>
      <c r="CH703" s="458"/>
      <c r="CI703" s="458"/>
      <c r="CJ703" s="458"/>
      <c r="CK703" s="458"/>
      <c r="CL703" s="458"/>
      <c r="CM703" s="458"/>
      <c r="CN703" s="458"/>
      <c r="CO703" s="458"/>
      <c r="CP703" s="458"/>
      <c r="CQ703" s="458"/>
      <c r="CR703" s="458"/>
      <c r="CS703" s="458"/>
      <c r="CT703" s="458"/>
      <c r="CU703" s="458"/>
      <c r="CV703" s="458"/>
      <c r="CW703" s="458"/>
      <c r="CX703" s="458"/>
      <c r="CY703" s="458"/>
      <c r="CZ703" s="458"/>
      <c r="DA703" s="458"/>
      <c r="DB703" s="458"/>
      <c r="DC703" s="458"/>
      <c r="DD703" s="458"/>
      <c r="DE703" s="458"/>
      <c r="DF703" s="458"/>
      <c r="DG703" s="458"/>
      <c r="DH703" s="458"/>
      <c r="DI703" s="458"/>
      <c r="DJ703" s="458"/>
      <c r="DK703" s="458"/>
      <c r="DL703" s="458"/>
      <c r="DM703" s="458"/>
      <c r="DN703" s="458"/>
      <c r="DO703" s="458"/>
      <c r="DP703" s="458"/>
      <c r="DQ703" s="458"/>
      <c r="DR703" s="458"/>
      <c r="DS703" s="458"/>
      <c r="DT703" s="458"/>
      <c r="DU703" s="458"/>
      <c r="DV703" s="458"/>
      <c r="DW703" s="458"/>
      <c r="DX703" s="458"/>
      <c r="DY703" s="458"/>
      <c r="DZ703" s="458"/>
      <c r="EA703" s="458"/>
      <c r="EB703" s="458"/>
      <c r="EC703" s="458"/>
      <c r="ED703" s="458"/>
      <c r="EE703" s="458"/>
      <c r="EF703" s="458"/>
      <c r="EG703" s="458"/>
      <c r="EH703" s="458"/>
      <c r="EI703" s="458"/>
      <c r="EJ703" s="458"/>
      <c r="EK703" s="458"/>
      <c r="EL703" s="458"/>
      <c r="EM703" s="458"/>
      <c r="EN703" s="458"/>
      <c r="EO703" s="458"/>
      <c r="EP703" s="458"/>
      <c r="EQ703" s="458"/>
      <c r="ER703" s="458"/>
      <c r="ES703" s="458"/>
      <c r="ET703" s="458"/>
      <c r="EU703" s="458"/>
      <c r="EV703" s="458"/>
      <c r="EW703" s="458"/>
      <c r="EX703" s="458"/>
      <c r="EY703" s="458"/>
      <c r="EZ703" s="458"/>
      <c r="FA703" s="458"/>
      <c r="FB703" s="458"/>
      <c r="FC703" s="458"/>
      <c r="FD703" s="458"/>
      <c r="FE703" s="458"/>
      <c r="FF703" s="458"/>
      <c r="FG703" s="458"/>
      <c r="FH703" s="458"/>
      <c r="FI703" s="458"/>
      <c r="FJ703" s="458"/>
      <c r="FK703" s="458"/>
      <c r="FL703" s="458"/>
      <c r="FM703" s="458"/>
      <c r="FN703" s="458"/>
      <c r="FO703" s="458"/>
      <c r="FP703" s="458"/>
      <c r="FQ703" s="458"/>
      <c r="FR703" s="458"/>
      <c r="FS703" s="458"/>
      <c r="FT703" s="458"/>
      <c r="FU703" s="458"/>
      <c r="FV703" s="458"/>
      <c r="FW703" s="458"/>
      <c r="FX703" s="458"/>
      <c r="FY703" s="458"/>
      <c r="FZ703" s="458"/>
      <c r="GA703" s="458"/>
      <c r="GB703" s="458"/>
      <c r="GC703" s="458"/>
      <c r="GD703" s="458"/>
      <c r="GE703" s="458"/>
      <c r="GF703" s="458"/>
      <c r="GG703" s="458"/>
      <c r="GH703" s="458"/>
      <c r="GI703" s="458"/>
      <c r="GJ703" s="458"/>
      <c r="GK703" s="458"/>
      <c r="GL703" s="458"/>
      <c r="GM703" s="458"/>
      <c r="GN703" s="458"/>
      <c r="GO703" s="458"/>
      <c r="GP703" s="458"/>
      <c r="GQ703" s="458"/>
      <c r="GR703" s="458"/>
      <c r="GS703" s="458"/>
      <c r="GT703" s="458"/>
      <c r="GU703" s="458"/>
      <c r="GV703" s="458"/>
      <c r="GW703" s="458"/>
      <c r="GX703" s="458"/>
      <c r="GY703" s="458"/>
      <c r="GZ703" s="458"/>
      <c r="HA703" s="458"/>
      <c r="HB703" s="458"/>
      <c r="HC703" s="458"/>
      <c r="HD703" s="458"/>
      <c r="HE703" s="458"/>
      <c r="HF703" s="458"/>
      <c r="HG703" s="458"/>
      <c r="HH703" s="458"/>
      <c r="HI703" s="458"/>
      <c r="HJ703" s="458"/>
      <c r="HK703" s="458"/>
      <c r="HL703" s="458"/>
      <c r="HM703" s="458"/>
      <c r="HN703" s="458"/>
      <c r="HO703" s="458"/>
      <c r="HP703" s="458"/>
      <c r="HQ703" s="458"/>
      <c r="HR703" s="458"/>
      <c r="HS703" s="458"/>
      <c r="HT703" s="458"/>
      <c r="HU703" s="458"/>
      <c r="HV703" s="458"/>
      <c r="HW703" s="458"/>
      <c r="HX703" s="458"/>
      <c r="HY703" s="458"/>
      <c r="HZ703" s="458"/>
      <c r="IA703" s="458"/>
      <c r="IB703" s="458"/>
      <c r="IC703" s="458"/>
      <c r="ID703" s="458"/>
      <c r="IE703" s="458"/>
      <c r="IF703" s="458"/>
      <c r="IG703" s="458"/>
      <c r="IH703" s="458"/>
      <c r="II703" s="458"/>
      <c r="IJ703" s="458"/>
      <c r="IK703" s="458"/>
      <c r="IL703" s="458"/>
      <c r="IM703" s="458"/>
      <c r="IN703" s="458"/>
      <c r="IO703" s="458"/>
      <c r="IP703" s="458"/>
      <c r="IQ703" s="458"/>
      <c r="IR703" s="458"/>
      <c r="IS703" s="458"/>
    </row>
    <row r="704" spans="1:253" s="458" customFormat="1" ht="12" x14ac:dyDescent="0.2">
      <c r="A704" s="444"/>
      <c r="B704" s="445"/>
      <c r="C704" s="479"/>
      <c r="D704" s="479"/>
      <c r="E704" s="479"/>
      <c r="G704" s="727"/>
      <c r="H704" s="455"/>
      <c r="I704" s="455"/>
      <c r="J704" s="455"/>
      <c r="K704" s="728"/>
      <c r="P704" s="729"/>
      <c r="Q704" s="730"/>
      <c r="R704" s="731"/>
      <c r="T704" s="732"/>
      <c r="U704" s="448"/>
      <c r="W704" s="448"/>
    </row>
    <row r="705" spans="1:253" s="458" customFormat="1" ht="12" x14ac:dyDescent="0.2">
      <c r="A705" s="444"/>
      <c r="B705" s="445"/>
      <c r="C705" s="479"/>
      <c r="D705" s="479"/>
      <c r="E705" s="479"/>
      <c r="F705" s="479"/>
      <c r="G705" s="446"/>
      <c r="H705" s="445"/>
      <c r="I705" s="445"/>
      <c r="J705" s="445"/>
      <c r="K705" s="447"/>
      <c r="L705" s="448"/>
      <c r="M705" s="448"/>
      <c r="N705" s="445"/>
      <c r="O705" s="449"/>
      <c r="P705" s="450"/>
      <c r="Q705" s="451"/>
      <c r="R705" s="507"/>
      <c r="S705" s="508"/>
      <c r="T705" s="472"/>
      <c r="U705" s="448"/>
      <c r="W705" s="448"/>
    </row>
    <row r="706" spans="1:253" s="458" customFormat="1" ht="12" x14ac:dyDescent="0.2">
      <c r="A706" s="444"/>
      <c r="B706" s="445"/>
      <c r="C706" s="479"/>
      <c r="D706" s="479"/>
      <c r="E706" s="479"/>
      <c r="F706" s="479"/>
      <c r="G706" s="446"/>
      <c r="H706" s="445"/>
      <c r="I706" s="445"/>
      <c r="J706" s="445"/>
      <c r="K706" s="447"/>
      <c r="L706" s="448"/>
      <c r="M706" s="448"/>
      <c r="N706" s="445"/>
      <c r="O706" s="449"/>
      <c r="P706" s="450"/>
      <c r="Q706" s="451"/>
      <c r="R706" s="507"/>
      <c r="S706" s="508"/>
      <c r="T706" s="472"/>
      <c r="U706" s="448"/>
      <c r="W706" s="448"/>
    </row>
    <row r="707" spans="1:253" s="458" customFormat="1" ht="12" x14ac:dyDescent="0.2">
      <c r="A707" s="444"/>
      <c r="B707" s="445"/>
      <c r="C707" s="479"/>
      <c r="D707" s="479"/>
      <c r="E707" s="479"/>
      <c r="F707" s="479"/>
      <c r="G707" s="446"/>
      <c r="H707" s="445"/>
      <c r="I707" s="445"/>
      <c r="J707" s="445"/>
      <c r="K707" s="447"/>
      <c r="L707" s="448"/>
      <c r="M707" s="448"/>
      <c r="N707" s="445"/>
      <c r="O707" s="449"/>
      <c r="P707" s="450"/>
      <c r="Q707" s="451"/>
      <c r="R707" s="507"/>
      <c r="S707" s="508"/>
      <c r="T707" s="472"/>
      <c r="U707" s="448"/>
      <c r="W707" s="448"/>
    </row>
    <row r="708" spans="1:253" s="455" customFormat="1" ht="12" x14ac:dyDescent="0.2">
      <c r="A708" s="444"/>
      <c r="B708" s="445"/>
      <c r="C708" s="479"/>
      <c r="D708" s="479"/>
      <c r="E708" s="479"/>
      <c r="F708" s="479"/>
      <c r="G708" s="446"/>
      <c r="H708" s="445"/>
      <c r="I708" s="445"/>
      <c r="J708" s="445"/>
      <c r="K708" s="447"/>
      <c r="L708" s="448"/>
      <c r="M708" s="448"/>
      <c r="N708" s="445"/>
      <c r="O708" s="449"/>
      <c r="P708" s="450"/>
      <c r="Q708" s="451"/>
      <c r="R708" s="507"/>
      <c r="S708" s="508"/>
      <c r="T708" s="472"/>
      <c r="U708" s="448"/>
      <c r="V708" s="458"/>
      <c r="W708" s="448"/>
      <c r="X708" s="458"/>
      <c r="Y708" s="458"/>
      <c r="Z708" s="458"/>
      <c r="AA708" s="458"/>
      <c r="AB708" s="458"/>
      <c r="AC708" s="458"/>
      <c r="AD708" s="458"/>
      <c r="AE708" s="458"/>
      <c r="AF708" s="458"/>
      <c r="AG708" s="458"/>
      <c r="AH708" s="458"/>
      <c r="AI708" s="458"/>
      <c r="AJ708" s="458"/>
      <c r="AK708" s="458"/>
      <c r="AL708" s="458"/>
      <c r="AM708" s="458"/>
      <c r="AN708" s="458"/>
      <c r="AO708" s="458"/>
      <c r="AP708" s="458"/>
      <c r="AQ708" s="458"/>
      <c r="AR708" s="458"/>
      <c r="AS708" s="458"/>
      <c r="AT708" s="458"/>
      <c r="AU708" s="458"/>
      <c r="AV708" s="458"/>
      <c r="AW708" s="458"/>
      <c r="AX708" s="458"/>
      <c r="AY708" s="458"/>
      <c r="AZ708" s="458"/>
      <c r="BA708" s="458"/>
      <c r="BB708" s="458"/>
      <c r="BC708" s="458"/>
      <c r="BD708" s="458"/>
      <c r="BE708" s="458"/>
      <c r="BF708" s="458"/>
      <c r="BG708" s="458"/>
      <c r="BH708" s="458"/>
      <c r="BI708" s="458"/>
      <c r="BJ708" s="458"/>
      <c r="BK708" s="458"/>
      <c r="BL708" s="458"/>
      <c r="BM708" s="458"/>
      <c r="BN708" s="458"/>
      <c r="BO708" s="458"/>
      <c r="BP708" s="458"/>
      <c r="BQ708" s="458"/>
      <c r="BR708" s="458"/>
      <c r="BS708" s="458"/>
      <c r="BT708" s="458"/>
      <c r="BU708" s="458"/>
      <c r="BV708" s="458"/>
      <c r="BW708" s="458"/>
      <c r="BX708" s="458"/>
      <c r="BY708" s="458"/>
      <c r="BZ708" s="458"/>
      <c r="CA708" s="458"/>
      <c r="CB708" s="458"/>
      <c r="CC708" s="458"/>
      <c r="CD708" s="458"/>
      <c r="CE708" s="458"/>
      <c r="CF708" s="458"/>
      <c r="CG708" s="458"/>
      <c r="CH708" s="458"/>
      <c r="CI708" s="458"/>
      <c r="CJ708" s="458"/>
      <c r="CK708" s="458"/>
      <c r="CL708" s="458"/>
      <c r="CM708" s="458"/>
      <c r="CN708" s="458"/>
      <c r="CO708" s="458"/>
      <c r="CP708" s="458"/>
      <c r="CQ708" s="458"/>
      <c r="CR708" s="458"/>
      <c r="CS708" s="458"/>
      <c r="CT708" s="458"/>
      <c r="CU708" s="458"/>
      <c r="CV708" s="458"/>
      <c r="CW708" s="458"/>
      <c r="CX708" s="458"/>
      <c r="CY708" s="458"/>
      <c r="CZ708" s="458"/>
      <c r="DA708" s="458"/>
      <c r="DB708" s="458"/>
      <c r="DC708" s="458"/>
      <c r="DD708" s="458"/>
      <c r="DE708" s="458"/>
      <c r="DF708" s="458"/>
      <c r="DG708" s="458"/>
      <c r="DH708" s="458"/>
      <c r="DI708" s="458"/>
      <c r="DJ708" s="458"/>
      <c r="DK708" s="458"/>
      <c r="DL708" s="458"/>
      <c r="DM708" s="458"/>
      <c r="DN708" s="458"/>
      <c r="DO708" s="458"/>
      <c r="DP708" s="458"/>
      <c r="DQ708" s="458"/>
      <c r="DR708" s="458"/>
      <c r="DS708" s="458"/>
      <c r="DT708" s="458"/>
      <c r="DU708" s="458"/>
      <c r="DV708" s="458"/>
      <c r="DW708" s="458"/>
      <c r="DX708" s="458"/>
      <c r="DY708" s="458"/>
      <c r="DZ708" s="458"/>
      <c r="EA708" s="458"/>
      <c r="EB708" s="458"/>
      <c r="EC708" s="458"/>
      <c r="ED708" s="458"/>
      <c r="EE708" s="458"/>
      <c r="EF708" s="458"/>
      <c r="EG708" s="458"/>
      <c r="EH708" s="458"/>
      <c r="EI708" s="458"/>
      <c r="EJ708" s="458"/>
      <c r="EK708" s="458"/>
      <c r="EL708" s="458"/>
      <c r="EM708" s="458"/>
      <c r="EN708" s="458"/>
      <c r="EO708" s="458"/>
      <c r="EP708" s="458"/>
      <c r="EQ708" s="458"/>
      <c r="ER708" s="458"/>
      <c r="ES708" s="458"/>
      <c r="ET708" s="458"/>
      <c r="EU708" s="458"/>
      <c r="EV708" s="458"/>
      <c r="EW708" s="458"/>
      <c r="EX708" s="458"/>
      <c r="EY708" s="458"/>
      <c r="EZ708" s="458"/>
      <c r="FA708" s="458"/>
      <c r="FB708" s="458"/>
      <c r="FC708" s="458"/>
      <c r="FD708" s="458"/>
      <c r="FE708" s="458"/>
      <c r="FF708" s="458"/>
      <c r="FG708" s="458"/>
      <c r="FH708" s="458"/>
      <c r="FI708" s="458"/>
      <c r="FJ708" s="458"/>
      <c r="FK708" s="458"/>
      <c r="FL708" s="458"/>
      <c r="FM708" s="458"/>
      <c r="FN708" s="458"/>
      <c r="FO708" s="458"/>
      <c r="FP708" s="458"/>
      <c r="FQ708" s="458"/>
      <c r="FR708" s="458"/>
      <c r="FS708" s="458"/>
      <c r="FT708" s="458"/>
      <c r="FU708" s="458"/>
      <c r="FV708" s="458"/>
      <c r="FW708" s="458"/>
      <c r="FX708" s="458"/>
      <c r="FY708" s="458"/>
      <c r="FZ708" s="458"/>
      <c r="GA708" s="458"/>
      <c r="GB708" s="458"/>
      <c r="GC708" s="458"/>
      <c r="GD708" s="458"/>
      <c r="GE708" s="458"/>
      <c r="GF708" s="458"/>
      <c r="GG708" s="458"/>
      <c r="GH708" s="458"/>
      <c r="GI708" s="458"/>
      <c r="GJ708" s="458"/>
      <c r="GK708" s="458"/>
      <c r="GL708" s="458"/>
      <c r="GM708" s="458"/>
      <c r="GN708" s="458"/>
      <c r="GO708" s="458"/>
      <c r="GP708" s="458"/>
      <c r="GQ708" s="458"/>
      <c r="GR708" s="458"/>
      <c r="GS708" s="458"/>
      <c r="GT708" s="458"/>
      <c r="GU708" s="458"/>
      <c r="GV708" s="458"/>
      <c r="GW708" s="458"/>
      <c r="GX708" s="458"/>
      <c r="GY708" s="458"/>
      <c r="GZ708" s="458"/>
      <c r="HA708" s="458"/>
      <c r="HB708" s="458"/>
      <c r="HC708" s="458"/>
      <c r="HD708" s="458"/>
      <c r="HE708" s="458"/>
      <c r="HF708" s="458"/>
      <c r="HG708" s="458"/>
      <c r="HH708" s="458"/>
      <c r="HI708" s="458"/>
      <c r="HJ708" s="458"/>
      <c r="HK708" s="458"/>
      <c r="HL708" s="458"/>
      <c r="HM708" s="458"/>
      <c r="HN708" s="458"/>
      <c r="HO708" s="458"/>
      <c r="HP708" s="458"/>
      <c r="HQ708" s="458"/>
      <c r="HR708" s="458"/>
      <c r="HS708" s="458"/>
      <c r="HT708" s="458"/>
      <c r="HU708" s="458"/>
      <c r="HV708" s="458"/>
      <c r="HW708" s="458"/>
      <c r="HX708" s="458"/>
      <c r="HY708" s="458"/>
      <c r="HZ708" s="458"/>
      <c r="IA708" s="458"/>
      <c r="IB708" s="458"/>
      <c r="IC708" s="458"/>
      <c r="ID708" s="458"/>
      <c r="IE708" s="458"/>
      <c r="IF708" s="458"/>
      <c r="IG708" s="458"/>
      <c r="IH708" s="458"/>
      <c r="II708" s="458"/>
      <c r="IJ708" s="458"/>
      <c r="IK708" s="458"/>
      <c r="IL708" s="458"/>
      <c r="IM708" s="458"/>
      <c r="IN708" s="458"/>
      <c r="IO708" s="458"/>
      <c r="IP708" s="458"/>
      <c r="IQ708" s="458"/>
      <c r="IR708" s="458"/>
      <c r="IS708" s="458"/>
    </row>
    <row r="709" spans="1:253" s="458" customFormat="1" ht="12" x14ac:dyDescent="0.2">
      <c r="A709" s="444"/>
      <c r="B709" s="445"/>
      <c r="C709" s="479"/>
      <c r="D709" s="479"/>
      <c r="E709" s="479"/>
      <c r="F709" s="479"/>
      <c r="G709" s="446"/>
      <c r="H709" s="445"/>
      <c r="I709" s="445"/>
      <c r="J709" s="445"/>
      <c r="K709" s="447"/>
      <c r="L709" s="448"/>
      <c r="M709" s="448"/>
      <c r="N709" s="445"/>
      <c r="O709" s="449"/>
      <c r="P709" s="450"/>
      <c r="Q709" s="451"/>
      <c r="R709" s="507"/>
      <c r="S709" s="508"/>
      <c r="T709" s="472"/>
      <c r="U709" s="448"/>
      <c r="W709" s="448"/>
    </row>
    <row r="710" spans="1:253" s="455" customFormat="1" ht="12" x14ac:dyDescent="0.2">
      <c r="A710" s="444"/>
      <c r="B710" s="445"/>
      <c r="C710" s="479"/>
      <c r="D710" s="479"/>
      <c r="E710" s="479"/>
      <c r="F710" s="479"/>
      <c r="G710" s="446"/>
      <c r="H710" s="445"/>
      <c r="I710" s="445"/>
      <c r="J710" s="445"/>
      <c r="K710" s="447"/>
      <c r="L710" s="448"/>
      <c r="M710" s="448"/>
      <c r="N710" s="445"/>
      <c r="O710" s="449"/>
      <c r="P710" s="450"/>
      <c r="Q710" s="451"/>
      <c r="R710" s="507"/>
      <c r="S710" s="508"/>
      <c r="T710" s="472"/>
      <c r="U710" s="448"/>
      <c r="V710" s="458"/>
      <c r="W710" s="448"/>
      <c r="X710" s="458"/>
      <c r="Y710" s="458"/>
      <c r="Z710" s="458"/>
      <c r="AA710" s="458"/>
      <c r="AB710" s="458"/>
      <c r="AC710" s="458"/>
      <c r="AD710" s="458"/>
      <c r="AE710" s="458"/>
      <c r="AF710" s="458"/>
      <c r="AG710" s="458"/>
      <c r="AH710" s="458"/>
      <c r="AI710" s="458"/>
      <c r="AJ710" s="458"/>
      <c r="AK710" s="458"/>
      <c r="AL710" s="458"/>
      <c r="AM710" s="458"/>
      <c r="AN710" s="458"/>
      <c r="AO710" s="458"/>
      <c r="AP710" s="458"/>
      <c r="AQ710" s="458"/>
      <c r="AR710" s="458"/>
      <c r="AS710" s="458"/>
      <c r="AT710" s="458"/>
      <c r="AU710" s="458"/>
      <c r="AV710" s="458"/>
      <c r="AW710" s="458"/>
      <c r="AX710" s="458"/>
      <c r="AY710" s="458"/>
      <c r="AZ710" s="458"/>
      <c r="BA710" s="458"/>
      <c r="BB710" s="458"/>
      <c r="BC710" s="458"/>
      <c r="BD710" s="458"/>
      <c r="BE710" s="458"/>
      <c r="BF710" s="458"/>
      <c r="BG710" s="458"/>
      <c r="BH710" s="458"/>
      <c r="BI710" s="458"/>
      <c r="BJ710" s="458"/>
      <c r="BK710" s="458"/>
      <c r="BL710" s="458"/>
      <c r="BM710" s="458"/>
      <c r="BN710" s="458"/>
      <c r="BO710" s="458"/>
      <c r="BP710" s="458"/>
      <c r="BQ710" s="458"/>
      <c r="BR710" s="458"/>
      <c r="BS710" s="458"/>
      <c r="BT710" s="458"/>
      <c r="BU710" s="458"/>
      <c r="BV710" s="458"/>
      <c r="BW710" s="458"/>
      <c r="BX710" s="458"/>
      <c r="BY710" s="458"/>
      <c r="BZ710" s="458"/>
      <c r="CA710" s="458"/>
      <c r="CB710" s="458"/>
      <c r="CC710" s="458"/>
      <c r="CD710" s="458"/>
      <c r="CE710" s="458"/>
      <c r="CF710" s="458"/>
      <c r="CG710" s="458"/>
      <c r="CH710" s="458"/>
      <c r="CI710" s="458"/>
      <c r="CJ710" s="458"/>
      <c r="CK710" s="458"/>
      <c r="CL710" s="458"/>
      <c r="CM710" s="458"/>
      <c r="CN710" s="458"/>
      <c r="CO710" s="458"/>
      <c r="CP710" s="458"/>
      <c r="CQ710" s="458"/>
      <c r="CR710" s="458"/>
      <c r="CS710" s="458"/>
      <c r="CT710" s="458"/>
      <c r="CU710" s="458"/>
      <c r="CV710" s="458"/>
      <c r="CW710" s="458"/>
      <c r="CX710" s="458"/>
      <c r="CY710" s="458"/>
      <c r="CZ710" s="458"/>
      <c r="DA710" s="458"/>
      <c r="DB710" s="458"/>
      <c r="DC710" s="458"/>
      <c r="DD710" s="458"/>
      <c r="DE710" s="458"/>
      <c r="DF710" s="458"/>
      <c r="DG710" s="458"/>
      <c r="DH710" s="458"/>
      <c r="DI710" s="458"/>
      <c r="DJ710" s="458"/>
      <c r="DK710" s="458"/>
      <c r="DL710" s="458"/>
      <c r="DM710" s="458"/>
      <c r="DN710" s="458"/>
      <c r="DO710" s="458"/>
      <c r="DP710" s="458"/>
      <c r="DQ710" s="458"/>
      <c r="DR710" s="458"/>
      <c r="DS710" s="458"/>
      <c r="DT710" s="458"/>
      <c r="DU710" s="458"/>
      <c r="DV710" s="458"/>
      <c r="DW710" s="458"/>
      <c r="DX710" s="458"/>
      <c r="DY710" s="458"/>
      <c r="DZ710" s="458"/>
      <c r="EA710" s="458"/>
      <c r="EB710" s="458"/>
      <c r="EC710" s="458"/>
      <c r="ED710" s="458"/>
      <c r="EE710" s="458"/>
      <c r="EF710" s="458"/>
      <c r="EG710" s="458"/>
      <c r="EH710" s="458"/>
      <c r="EI710" s="458"/>
      <c r="EJ710" s="458"/>
      <c r="EK710" s="458"/>
      <c r="EL710" s="458"/>
      <c r="EM710" s="458"/>
      <c r="EN710" s="458"/>
      <c r="EO710" s="458"/>
      <c r="EP710" s="458"/>
      <c r="EQ710" s="458"/>
      <c r="ER710" s="458"/>
      <c r="ES710" s="458"/>
      <c r="ET710" s="458"/>
      <c r="EU710" s="458"/>
      <c r="EV710" s="458"/>
      <c r="EW710" s="458"/>
      <c r="EX710" s="458"/>
      <c r="EY710" s="458"/>
      <c r="EZ710" s="458"/>
      <c r="FA710" s="458"/>
      <c r="FB710" s="458"/>
      <c r="FC710" s="458"/>
      <c r="FD710" s="458"/>
      <c r="FE710" s="458"/>
      <c r="FF710" s="458"/>
      <c r="FG710" s="458"/>
      <c r="FH710" s="458"/>
      <c r="FI710" s="458"/>
      <c r="FJ710" s="458"/>
      <c r="FK710" s="458"/>
      <c r="FL710" s="458"/>
      <c r="FM710" s="458"/>
      <c r="FN710" s="458"/>
      <c r="FO710" s="458"/>
      <c r="FP710" s="458"/>
      <c r="FQ710" s="458"/>
      <c r="FR710" s="458"/>
      <c r="FS710" s="458"/>
      <c r="FT710" s="458"/>
      <c r="FU710" s="458"/>
      <c r="FV710" s="458"/>
      <c r="FW710" s="458"/>
      <c r="FX710" s="458"/>
      <c r="FY710" s="458"/>
      <c r="FZ710" s="458"/>
      <c r="GA710" s="458"/>
      <c r="GB710" s="458"/>
      <c r="GC710" s="458"/>
      <c r="GD710" s="458"/>
      <c r="GE710" s="458"/>
      <c r="GF710" s="458"/>
      <c r="GG710" s="458"/>
      <c r="GH710" s="458"/>
      <c r="GI710" s="458"/>
      <c r="GJ710" s="458"/>
      <c r="GK710" s="458"/>
      <c r="GL710" s="458"/>
      <c r="GM710" s="458"/>
      <c r="GN710" s="458"/>
      <c r="GO710" s="458"/>
      <c r="GP710" s="458"/>
      <c r="GQ710" s="458"/>
      <c r="GR710" s="458"/>
      <c r="GS710" s="458"/>
      <c r="GT710" s="458"/>
      <c r="GU710" s="458"/>
      <c r="GV710" s="458"/>
      <c r="GW710" s="458"/>
      <c r="GX710" s="458"/>
      <c r="GY710" s="458"/>
      <c r="GZ710" s="458"/>
      <c r="HA710" s="458"/>
      <c r="HB710" s="458"/>
      <c r="HC710" s="458"/>
      <c r="HD710" s="458"/>
      <c r="HE710" s="458"/>
      <c r="HF710" s="458"/>
      <c r="HG710" s="458"/>
      <c r="HH710" s="458"/>
      <c r="HI710" s="458"/>
      <c r="HJ710" s="458"/>
      <c r="HK710" s="458"/>
      <c r="HL710" s="458"/>
      <c r="HM710" s="458"/>
      <c r="HN710" s="458"/>
      <c r="HO710" s="458"/>
      <c r="HP710" s="458"/>
      <c r="HQ710" s="458"/>
      <c r="HR710" s="458"/>
      <c r="HS710" s="458"/>
      <c r="HT710" s="458"/>
      <c r="HU710" s="458"/>
      <c r="HV710" s="458"/>
      <c r="HW710" s="458"/>
      <c r="HX710" s="458"/>
      <c r="HY710" s="458"/>
      <c r="HZ710" s="458"/>
      <c r="IA710" s="458"/>
      <c r="IB710" s="458"/>
      <c r="IC710" s="458"/>
      <c r="ID710" s="458"/>
      <c r="IE710" s="458"/>
      <c r="IF710" s="458"/>
      <c r="IG710" s="458"/>
      <c r="IH710" s="458"/>
      <c r="II710" s="458"/>
      <c r="IJ710" s="458"/>
      <c r="IK710" s="458"/>
      <c r="IL710" s="458"/>
      <c r="IM710" s="458"/>
      <c r="IN710" s="458"/>
      <c r="IO710" s="458"/>
      <c r="IP710" s="458"/>
      <c r="IQ710" s="458"/>
      <c r="IR710" s="458"/>
      <c r="IS710" s="458"/>
    </row>
    <row r="711" spans="1:253" s="455" customFormat="1" ht="12" x14ac:dyDescent="0.2">
      <c r="A711" s="444"/>
      <c r="B711" s="445"/>
      <c r="C711" s="479"/>
      <c r="D711" s="479"/>
      <c r="E711" s="479"/>
      <c r="F711" s="479"/>
      <c r="G711" s="446"/>
      <c r="H711" s="445"/>
      <c r="I711" s="445"/>
      <c r="J711" s="445"/>
      <c r="K711" s="447"/>
      <c r="L711" s="448"/>
      <c r="M711" s="448"/>
      <c r="N711" s="445"/>
      <c r="O711" s="449"/>
      <c r="P711" s="450"/>
      <c r="Q711" s="451"/>
      <c r="R711" s="507"/>
      <c r="S711" s="508"/>
      <c r="T711" s="472"/>
      <c r="U711" s="448"/>
      <c r="V711" s="458"/>
      <c r="W711" s="448"/>
      <c r="X711" s="458"/>
      <c r="Y711" s="458"/>
      <c r="Z711" s="458"/>
      <c r="AA711" s="458"/>
      <c r="AB711" s="458"/>
      <c r="AC711" s="458"/>
      <c r="AD711" s="458"/>
      <c r="AE711" s="458"/>
      <c r="AF711" s="458"/>
      <c r="AG711" s="458"/>
      <c r="AH711" s="458"/>
      <c r="AI711" s="458"/>
      <c r="AJ711" s="458"/>
      <c r="AK711" s="458"/>
      <c r="AL711" s="458"/>
      <c r="AM711" s="458"/>
      <c r="AN711" s="458"/>
      <c r="AO711" s="458"/>
      <c r="AP711" s="458"/>
      <c r="AQ711" s="458"/>
      <c r="AR711" s="458"/>
      <c r="AS711" s="458"/>
      <c r="AT711" s="458"/>
      <c r="AU711" s="458"/>
      <c r="AV711" s="458"/>
      <c r="AW711" s="458"/>
      <c r="AX711" s="458"/>
      <c r="AY711" s="458"/>
      <c r="AZ711" s="458"/>
      <c r="BA711" s="458"/>
      <c r="BB711" s="458"/>
      <c r="BC711" s="458"/>
      <c r="BD711" s="458"/>
      <c r="BE711" s="458"/>
      <c r="BF711" s="458"/>
      <c r="BG711" s="458"/>
      <c r="BH711" s="458"/>
      <c r="BI711" s="458"/>
      <c r="BJ711" s="458"/>
      <c r="BK711" s="458"/>
      <c r="BL711" s="458"/>
      <c r="BM711" s="458"/>
      <c r="BN711" s="458"/>
      <c r="BO711" s="458"/>
      <c r="BP711" s="458"/>
      <c r="BQ711" s="458"/>
      <c r="BR711" s="458"/>
      <c r="BS711" s="458"/>
      <c r="BT711" s="458"/>
      <c r="BU711" s="458"/>
      <c r="BV711" s="458"/>
      <c r="BW711" s="458"/>
      <c r="BX711" s="458"/>
      <c r="BY711" s="458"/>
      <c r="BZ711" s="458"/>
      <c r="CA711" s="458"/>
      <c r="CB711" s="458"/>
      <c r="CC711" s="458"/>
      <c r="CD711" s="458"/>
      <c r="CE711" s="458"/>
      <c r="CF711" s="458"/>
      <c r="CG711" s="458"/>
      <c r="CH711" s="458"/>
      <c r="CI711" s="458"/>
      <c r="CJ711" s="458"/>
      <c r="CK711" s="458"/>
      <c r="CL711" s="458"/>
      <c r="CM711" s="458"/>
      <c r="CN711" s="458"/>
      <c r="CO711" s="458"/>
      <c r="CP711" s="458"/>
      <c r="CQ711" s="458"/>
      <c r="CR711" s="458"/>
      <c r="CS711" s="458"/>
      <c r="CT711" s="458"/>
      <c r="CU711" s="458"/>
      <c r="CV711" s="458"/>
      <c r="CW711" s="458"/>
      <c r="CX711" s="458"/>
      <c r="CY711" s="458"/>
      <c r="CZ711" s="458"/>
      <c r="DA711" s="458"/>
      <c r="DB711" s="458"/>
      <c r="DC711" s="458"/>
      <c r="DD711" s="458"/>
      <c r="DE711" s="458"/>
      <c r="DF711" s="458"/>
      <c r="DG711" s="458"/>
      <c r="DH711" s="458"/>
      <c r="DI711" s="458"/>
      <c r="DJ711" s="458"/>
      <c r="DK711" s="458"/>
      <c r="DL711" s="458"/>
      <c r="DM711" s="458"/>
      <c r="DN711" s="458"/>
      <c r="DO711" s="458"/>
      <c r="DP711" s="458"/>
      <c r="DQ711" s="458"/>
      <c r="DR711" s="458"/>
      <c r="DS711" s="458"/>
      <c r="DT711" s="458"/>
      <c r="DU711" s="458"/>
      <c r="DV711" s="458"/>
      <c r="DW711" s="458"/>
      <c r="DX711" s="458"/>
      <c r="DY711" s="458"/>
      <c r="DZ711" s="458"/>
      <c r="EA711" s="458"/>
      <c r="EB711" s="458"/>
      <c r="EC711" s="458"/>
      <c r="ED711" s="458"/>
      <c r="EE711" s="458"/>
      <c r="EF711" s="458"/>
      <c r="EG711" s="458"/>
      <c r="EH711" s="458"/>
      <c r="EI711" s="458"/>
      <c r="EJ711" s="458"/>
      <c r="EK711" s="458"/>
      <c r="EL711" s="458"/>
      <c r="EM711" s="458"/>
      <c r="EN711" s="458"/>
      <c r="EO711" s="458"/>
      <c r="EP711" s="458"/>
      <c r="EQ711" s="458"/>
      <c r="ER711" s="458"/>
      <c r="ES711" s="458"/>
      <c r="ET711" s="458"/>
      <c r="EU711" s="458"/>
      <c r="EV711" s="458"/>
      <c r="EW711" s="458"/>
      <c r="EX711" s="458"/>
      <c r="EY711" s="458"/>
      <c r="EZ711" s="458"/>
      <c r="FA711" s="458"/>
      <c r="FB711" s="458"/>
      <c r="FC711" s="458"/>
      <c r="FD711" s="458"/>
      <c r="FE711" s="458"/>
      <c r="FF711" s="458"/>
      <c r="FG711" s="458"/>
      <c r="FH711" s="458"/>
      <c r="FI711" s="458"/>
      <c r="FJ711" s="458"/>
      <c r="FK711" s="458"/>
      <c r="FL711" s="458"/>
      <c r="FM711" s="458"/>
      <c r="FN711" s="458"/>
      <c r="FO711" s="458"/>
      <c r="FP711" s="458"/>
      <c r="FQ711" s="458"/>
      <c r="FR711" s="458"/>
      <c r="FS711" s="458"/>
      <c r="FT711" s="458"/>
      <c r="FU711" s="458"/>
      <c r="FV711" s="458"/>
      <c r="FW711" s="458"/>
      <c r="FX711" s="458"/>
      <c r="FY711" s="458"/>
      <c r="FZ711" s="458"/>
      <c r="GA711" s="458"/>
      <c r="GB711" s="458"/>
      <c r="GC711" s="458"/>
      <c r="GD711" s="458"/>
      <c r="GE711" s="458"/>
      <c r="GF711" s="458"/>
      <c r="GG711" s="458"/>
      <c r="GH711" s="458"/>
      <c r="GI711" s="458"/>
      <c r="GJ711" s="458"/>
      <c r="GK711" s="458"/>
      <c r="GL711" s="458"/>
      <c r="GM711" s="458"/>
      <c r="GN711" s="458"/>
      <c r="GO711" s="458"/>
      <c r="GP711" s="458"/>
      <c r="GQ711" s="458"/>
      <c r="GR711" s="458"/>
      <c r="GS711" s="458"/>
      <c r="GT711" s="458"/>
      <c r="GU711" s="458"/>
      <c r="GV711" s="458"/>
      <c r="GW711" s="458"/>
      <c r="GX711" s="458"/>
      <c r="GY711" s="458"/>
      <c r="GZ711" s="458"/>
      <c r="HA711" s="458"/>
      <c r="HB711" s="458"/>
      <c r="HC711" s="458"/>
      <c r="HD711" s="458"/>
      <c r="HE711" s="458"/>
      <c r="HF711" s="458"/>
      <c r="HG711" s="458"/>
      <c r="HH711" s="458"/>
      <c r="HI711" s="458"/>
      <c r="HJ711" s="458"/>
      <c r="HK711" s="458"/>
      <c r="HL711" s="458"/>
      <c r="HM711" s="458"/>
      <c r="HN711" s="458"/>
      <c r="HO711" s="458"/>
      <c r="HP711" s="458"/>
      <c r="HQ711" s="458"/>
      <c r="HR711" s="458"/>
      <c r="HS711" s="458"/>
      <c r="HT711" s="458"/>
      <c r="HU711" s="458"/>
      <c r="HV711" s="458"/>
      <c r="HW711" s="458"/>
      <c r="HX711" s="458"/>
      <c r="HY711" s="458"/>
      <c r="HZ711" s="458"/>
      <c r="IA711" s="458"/>
      <c r="IB711" s="458"/>
      <c r="IC711" s="458"/>
      <c r="ID711" s="458"/>
      <c r="IE711" s="458"/>
      <c r="IF711" s="458"/>
      <c r="IG711" s="458"/>
      <c r="IH711" s="458"/>
      <c r="II711" s="458"/>
      <c r="IJ711" s="458"/>
      <c r="IK711" s="458"/>
      <c r="IL711" s="458"/>
      <c r="IM711" s="458"/>
      <c r="IN711" s="458"/>
      <c r="IO711" s="458"/>
      <c r="IP711" s="458"/>
      <c r="IQ711" s="458"/>
      <c r="IR711" s="458"/>
      <c r="IS711" s="458"/>
    </row>
    <row r="712" spans="1:253" s="455" customFormat="1" ht="12" x14ac:dyDescent="0.2">
      <c r="A712" s="444"/>
      <c r="B712" s="445"/>
      <c r="C712" s="479"/>
      <c r="D712" s="479"/>
      <c r="E712" s="479"/>
      <c r="F712" s="479"/>
      <c r="G712" s="446"/>
      <c r="H712" s="445"/>
      <c r="I712" s="445"/>
      <c r="J712" s="445"/>
      <c r="K712" s="447"/>
      <c r="L712" s="448"/>
      <c r="M712" s="448"/>
      <c r="N712" s="445"/>
      <c r="O712" s="449"/>
      <c r="P712" s="450"/>
      <c r="Q712" s="451"/>
      <c r="R712" s="507"/>
      <c r="S712" s="508"/>
      <c r="T712" s="472"/>
      <c r="U712" s="448"/>
      <c r="V712" s="458"/>
      <c r="W712" s="448"/>
      <c r="X712" s="458"/>
      <c r="Y712" s="458"/>
      <c r="Z712" s="458"/>
      <c r="AA712" s="458"/>
      <c r="AB712" s="458"/>
      <c r="AC712" s="458"/>
      <c r="AD712" s="458"/>
      <c r="AE712" s="458"/>
      <c r="AF712" s="458"/>
      <c r="AG712" s="458"/>
      <c r="AH712" s="458"/>
      <c r="AI712" s="458"/>
      <c r="AJ712" s="458"/>
      <c r="AK712" s="458"/>
      <c r="AL712" s="458"/>
      <c r="AM712" s="458"/>
      <c r="AN712" s="458"/>
      <c r="AO712" s="458"/>
      <c r="AP712" s="458"/>
      <c r="AQ712" s="458"/>
      <c r="AR712" s="458"/>
      <c r="AS712" s="458"/>
      <c r="AT712" s="458"/>
      <c r="AU712" s="458"/>
      <c r="AV712" s="458"/>
      <c r="AW712" s="458"/>
      <c r="AX712" s="458"/>
      <c r="AY712" s="458"/>
      <c r="AZ712" s="458"/>
      <c r="BA712" s="458"/>
      <c r="BB712" s="458"/>
      <c r="BC712" s="458"/>
      <c r="BD712" s="458"/>
      <c r="BE712" s="458"/>
      <c r="BF712" s="458"/>
      <c r="BG712" s="458"/>
      <c r="BH712" s="458"/>
      <c r="BI712" s="458"/>
      <c r="BJ712" s="458"/>
      <c r="BK712" s="458"/>
      <c r="BL712" s="458"/>
      <c r="BM712" s="458"/>
      <c r="BN712" s="458"/>
      <c r="BO712" s="458"/>
      <c r="BP712" s="458"/>
      <c r="BQ712" s="458"/>
      <c r="BR712" s="458"/>
      <c r="BS712" s="458"/>
      <c r="BT712" s="458"/>
      <c r="BU712" s="458"/>
      <c r="BV712" s="458"/>
      <c r="BW712" s="458"/>
      <c r="BX712" s="458"/>
      <c r="BY712" s="458"/>
      <c r="BZ712" s="458"/>
      <c r="CA712" s="458"/>
      <c r="CB712" s="458"/>
      <c r="CC712" s="458"/>
      <c r="CD712" s="458"/>
      <c r="CE712" s="458"/>
      <c r="CF712" s="458"/>
      <c r="CG712" s="458"/>
      <c r="CH712" s="458"/>
      <c r="CI712" s="458"/>
      <c r="CJ712" s="458"/>
      <c r="CK712" s="458"/>
      <c r="CL712" s="458"/>
      <c r="CM712" s="458"/>
      <c r="CN712" s="458"/>
      <c r="CO712" s="458"/>
      <c r="CP712" s="458"/>
      <c r="CQ712" s="458"/>
      <c r="CR712" s="458"/>
      <c r="CS712" s="458"/>
      <c r="CT712" s="458"/>
      <c r="CU712" s="458"/>
      <c r="CV712" s="458"/>
      <c r="CW712" s="458"/>
      <c r="CX712" s="458"/>
      <c r="CY712" s="458"/>
      <c r="CZ712" s="458"/>
      <c r="DA712" s="458"/>
      <c r="DB712" s="458"/>
      <c r="DC712" s="458"/>
      <c r="DD712" s="458"/>
      <c r="DE712" s="458"/>
      <c r="DF712" s="458"/>
      <c r="DG712" s="458"/>
      <c r="DH712" s="458"/>
      <c r="DI712" s="458"/>
      <c r="DJ712" s="458"/>
      <c r="DK712" s="458"/>
      <c r="DL712" s="458"/>
      <c r="DM712" s="458"/>
      <c r="DN712" s="458"/>
      <c r="DO712" s="458"/>
      <c r="DP712" s="458"/>
      <c r="DQ712" s="458"/>
      <c r="DR712" s="458"/>
      <c r="DS712" s="458"/>
      <c r="DT712" s="458"/>
      <c r="DU712" s="458"/>
      <c r="DV712" s="458"/>
      <c r="DW712" s="458"/>
      <c r="DX712" s="458"/>
      <c r="DY712" s="458"/>
      <c r="DZ712" s="458"/>
      <c r="EA712" s="458"/>
      <c r="EB712" s="458"/>
      <c r="EC712" s="458"/>
      <c r="ED712" s="458"/>
      <c r="EE712" s="458"/>
      <c r="EF712" s="458"/>
      <c r="EG712" s="458"/>
      <c r="EH712" s="458"/>
      <c r="EI712" s="458"/>
      <c r="EJ712" s="458"/>
      <c r="EK712" s="458"/>
      <c r="EL712" s="458"/>
      <c r="EM712" s="458"/>
      <c r="EN712" s="458"/>
      <c r="EO712" s="458"/>
      <c r="EP712" s="458"/>
      <c r="EQ712" s="458"/>
      <c r="ER712" s="458"/>
      <c r="ES712" s="458"/>
      <c r="ET712" s="458"/>
      <c r="EU712" s="458"/>
      <c r="EV712" s="458"/>
      <c r="EW712" s="458"/>
      <c r="EX712" s="458"/>
      <c r="EY712" s="458"/>
      <c r="EZ712" s="458"/>
      <c r="FA712" s="458"/>
      <c r="FB712" s="458"/>
      <c r="FC712" s="458"/>
      <c r="FD712" s="458"/>
      <c r="FE712" s="458"/>
      <c r="FF712" s="458"/>
      <c r="FG712" s="458"/>
      <c r="FH712" s="458"/>
      <c r="FI712" s="458"/>
      <c r="FJ712" s="458"/>
      <c r="FK712" s="458"/>
      <c r="FL712" s="458"/>
      <c r="FM712" s="458"/>
      <c r="FN712" s="458"/>
      <c r="FO712" s="458"/>
      <c r="FP712" s="458"/>
      <c r="FQ712" s="458"/>
      <c r="FR712" s="458"/>
      <c r="FS712" s="458"/>
      <c r="FT712" s="458"/>
      <c r="FU712" s="458"/>
      <c r="FV712" s="458"/>
      <c r="FW712" s="458"/>
      <c r="FX712" s="458"/>
      <c r="FY712" s="458"/>
      <c r="FZ712" s="458"/>
      <c r="GA712" s="458"/>
      <c r="GB712" s="458"/>
      <c r="GC712" s="458"/>
      <c r="GD712" s="458"/>
      <c r="GE712" s="458"/>
      <c r="GF712" s="458"/>
      <c r="GG712" s="458"/>
      <c r="GH712" s="458"/>
      <c r="GI712" s="458"/>
      <c r="GJ712" s="458"/>
      <c r="GK712" s="458"/>
      <c r="GL712" s="458"/>
      <c r="GM712" s="458"/>
      <c r="GN712" s="458"/>
      <c r="GO712" s="458"/>
      <c r="GP712" s="458"/>
      <c r="GQ712" s="458"/>
      <c r="GR712" s="458"/>
      <c r="GS712" s="458"/>
      <c r="GT712" s="458"/>
      <c r="GU712" s="458"/>
      <c r="GV712" s="458"/>
      <c r="GW712" s="458"/>
      <c r="GX712" s="458"/>
      <c r="GY712" s="458"/>
      <c r="GZ712" s="458"/>
      <c r="HA712" s="458"/>
      <c r="HB712" s="458"/>
      <c r="HC712" s="458"/>
      <c r="HD712" s="458"/>
      <c r="HE712" s="458"/>
      <c r="HF712" s="458"/>
      <c r="HG712" s="458"/>
      <c r="HH712" s="458"/>
      <c r="HI712" s="458"/>
      <c r="HJ712" s="458"/>
      <c r="HK712" s="458"/>
      <c r="HL712" s="458"/>
      <c r="HM712" s="458"/>
      <c r="HN712" s="458"/>
      <c r="HO712" s="458"/>
      <c r="HP712" s="458"/>
      <c r="HQ712" s="458"/>
      <c r="HR712" s="458"/>
      <c r="HS712" s="458"/>
      <c r="HT712" s="458"/>
      <c r="HU712" s="458"/>
      <c r="HV712" s="458"/>
      <c r="HW712" s="458"/>
      <c r="HX712" s="458"/>
      <c r="HY712" s="458"/>
      <c r="HZ712" s="458"/>
      <c r="IA712" s="458"/>
      <c r="IB712" s="458"/>
      <c r="IC712" s="458"/>
      <c r="ID712" s="458"/>
      <c r="IE712" s="458"/>
      <c r="IF712" s="458"/>
      <c r="IG712" s="458"/>
      <c r="IH712" s="458"/>
      <c r="II712" s="458"/>
      <c r="IJ712" s="458"/>
      <c r="IK712" s="458"/>
      <c r="IL712" s="458"/>
      <c r="IM712" s="458"/>
      <c r="IN712" s="458"/>
      <c r="IO712" s="458"/>
      <c r="IP712" s="458"/>
      <c r="IQ712" s="458"/>
      <c r="IR712" s="458"/>
      <c r="IS712" s="458"/>
    </row>
    <row r="713" spans="1:253" s="455" customFormat="1" ht="12" x14ac:dyDescent="0.2">
      <c r="A713" s="710"/>
      <c r="B713" s="733"/>
      <c r="C713" s="479"/>
      <c r="D713" s="479"/>
      <c r="E713" s="479"/>
      <c r="F713" s="479"/>
      <c r="G713" s="446"/>
      <c r="H713" s="445"/>
      <c r="I713" s="445"/>
      <c r="J713" s="445"/>
      <c r="K713" s="447"/>
      <c r="L713" s="448"/>
      <c r="M713" s="448"/>
      <c r="N713" s="445"/>
      <c r="O713" s="449"/>
      <c r="P713" s="450"/>
      <c r="Q713" s="451"/>
      <c r="R713" s="507"/>
      <c r="S713" s="508"/>
      <c r="T713" s="472"/>
      <c r="U713" s="448"/>
      <c r="V713" s="458"/>
      <c r="W713" s="448"/>
      <c r="X713" s="458"/>
      <c r="Y713" s="458"/>
      <c r="Z713" s="458"/>
      <c r="AA713" s="458"/>
      <c r="AB713" s="458"/>
      <c r="AC713" s="458"/>
      <c r="AD713" s="458"/>
      <c r="AE713" s="458"/>
      <c r="AF713" s="458"/>
      <c r="AG713" s="458"/>
      <c r="AH713" s="458"/>
      <c r="AI713" s="458"/>
      <c r="AJ713" s="458"/>
      <c r="AK713" s="458"/>
      <c r="AL713" s="458"/>
      <c r="AM713" s="458"/>
      <c r="AN713" s="458"/>
      <c r="AO713" s="458"/>
      <c r="AP713" s="458"/>
      <c r="AQ713" s="458"/>
      <c r="AR713" s="458"/>
      <c r="AS713" s="458"/>
      <c r="AT713" s="458"/>
      <c r="AU713" s="458"/>
      <c r="AV713" s="458"/>
      <c r="AW713" s="458"/>
      <c r="AX713" s="458"/>
      <c r="AY713" s="458"/>
      <c r="AZ713" s="458"/>
      <c r="BA713" s="458"/>
      <c r="BB713" s="458"/>
      <c r="BC713" s="458"/>
      <c r="BD713" s="458"/>
      <c r="BE713" s="458"/>
      <c r="BF713" s="458"/>
      <c r="BG713" s="458"/>
      <c r="BH713" s="458"/>
      <c r="BI713" s="458"/>
      <c r="BJ713" s="458"/>
      <c r="BK713" s="458"/>
      <c r="BL713" s="458"/>
      <c r="BM713" s="458"/>
      <c r="BN713" s="458"/>
      <c r="BO713" s="458"/>
      <c r="BP713" s="458"/>
      <c r="BQ713" s="458"/>
      <c r="BR713" s="458"/>
      <c r="BS713" s="458"/>
      <c r="BT713" s="458"/>
      <c r="BU713" s="458"/>
      <c r="BV713" s="458"/>
      <c r="BW713" s="458"/>
      <c r="BX713" s="458"/>
      <c r="BY713" s="458"/>
      <c r="BZ713" s="458"/>
      <c r="CA713" s="458"/>
      <c r="CB713" s="458"/>
      <c r="CC713" s="458"/>
      <c r="CD713" s="458"/>
      <c r="CE713" s="458"/>
      <c r="CF713" s="458"/>
      <c r="CG713" s="458"/>
      <c r="CH713" s="458"/>
      <c r="CI713" s="458"/>
      <c r="CJ713" s="458"/>
      <c r="CK713" s="458"/>
      <c r="CL713" s="458"/>
      <c r="CM713" s="458"/>
      <c r="CN713" s="458"/>
      <c r="CO713" s="458"/>
      <c r="CP713" s="458"/>
      <c r="CQ713" s="458"/>
      <c r="CR713" s="458"/>
      <c r="CS713" s="458"/>
      <c r="CT713" s="458"/>
      <c r="CU713" s="458"/>
      <c r="CV713" s="458"/>
      <c r="CW713" s="458"/>
      <c r="CX713" s="458"/>
      <c r="CY713" s="458"/>
      <c r="CZ713" s="458"/>
      <c r="DA713" s="458"/>
      <c r="DB713" s="458"/>
      <c r="DC713" s="458"/>
      <c r="DD713" s="458"/>
      <c r="DE713" s="458"/>
      <c r="DF713" s="458"/>
      <c r="DG713" s="458"/>
      <c r="DH713" s="458"/>
      <c r="DI713" s="458"/>
      <c r="DJ713" s="458"/>
      <c r="DK713" s="458"/>
      <c r="DL713" s="458"/>
      <c r="DM713" s="458"/>
      <c r="DN713" s="458"/>
      <c r="DO713" s="458"/>
      <c r="DP713" s="458"/>
      <c r="DQ713" s="458"/>
      <c r="DR713" s="458"/>
      <c r="DS713" s="458"/>
      <c r="DT713" s="458"/>
      <c r="DU713" s="458"/>
      <c r="DV713" s="458"/>
      <c r="DW713" s="458"/>
      <c r="DX713" s="458"/>
      <c r="DY713" s="458"/>
      <c r="DZ713" s="458"/>
      <c r="EA713" s="458"/>
      <c r="EB713" s="458"/>
      <c r="EC713" s="458"/>
      <c r="ED713" s="458"/>
      <c r="EE713" s="458"/>
      <c r="EF713" s="458"/>
      <c r="EG713" s="458"/>
      <c r="EH713" s="458"/>
      <c r="EI713" s="458"/>
      <c r="EJ713" s="458"/>
      <c r="EK713" s="458"/>
      <c r="EL713" s="458"/>
      <c r="EM713" s="458"/>
      <c r="EN713" s="458"/>
      <c r="EO713" s="458"/>
      <c r="EP713" s="458"/>
      <c r="EQ713" s="458"/>
      <c r="ER713" s="458"/>
      <c r="ES713" s="458"/>
      <c r="ET713" s="458"/>
      <c r="EU713" s="458"/>
      <c r="EV713" s="458"/>
      <c r="EW713" s="458"/>
      <c r="EX713" s="458"/>
      <c r="EY713" s="458"/>
      <c r="EZ713" s="458"/>
      <c r="FA713" s="458"/>
      <c r="FB713" s="458"/>
      <c r="FC713" s="458"/>
      <c r="FD713" s="458"/>
      <c r="FE713" s="458"/>
      <c r="FF713" s="458"/>
      <c r="FG713" s="458"/>
      <c r="FH713" s="458"/>
      <c r="FI713" s="458"/>
      <c r="FJ713" s="458"/>
      <c r="FK713" s="458"/>
      <c r="FL713" s="458"/>
      <c r="FM713" s="458"/>
      <c r="FN713" s="458"/>
      <c r="FO713" s="458"/>
      <c r="FP713" s="458"/>
      <c r="FQ713" s="458"/>
      <c r="FR713" s="458"/>
      <c r="FS713" s="458"/>
      <c r="FT713" s="458"/>
      <c r="FU713" s="458"/>
      <c r="FV713" s="458"/>
      <c r="FW713" s="458"/>
      <c r="FX713" s="458"/>
      <c r="FY713" s="458"/>
      <c r="FZ713" s="458"/>
      <c r="GA713" s="458"/>
      <c r="GB713" s="458"/>
      <c r="GC713" s="458"/>
      <c r="GD713" s="458"/>
      <c r="GE713" s="458"/>
      <c r="GF713" s="458"/>
      <c r="GG713" s="458"/>
      <c r="GH713" s="458"/>
      <c r="GI713" s="458"/>
      <c r="GJ713" s="458"/>
      <c r="GK713" s="458"/>
      <c r="GL713" s="458"/>
      <c r="GM713" s="458"/>
      <c r="GN713" s="458"/>
      <c r="GO713" s="458"/>
      <c r="GP713" s="458"/>
      <c r="GQ713" s="458"/>
      <c r="GR713" s="458"/>
      <c r="GS713" s="458"/>
      <c r="GT713" s="458"/>
      <c r="GU713" s="458"/>
      <c r="GV713" s="458"/>
      <c r="GW713" s="458"/>
      <c r="GX713" s="458"/>
      <c r="GY713" s="458"/>
      <c r="GZ713" s="458"/>
      <c r="HA713" s="458"/>
      <c r="HB713" s="458"/>
      <c r="HC713" s="458"/>
      <c r="HD713" s="458"/>
      <c r="HE713" s="458"/>
      <c r="HF713" s="458"/>
      <c r="HG713" s="458"/>
      <c r="HH713" s="458"/>
      <c r="HI713" s="458"/>
      <c r="HJ713" s="458"/>
      <c r="HK713" s="458"/>
      <c r="HL713" s="458"/>
      <c r="HM713" s="458"/>
      <c r="HN713" s="458"/>
      <c r="HO713" s="458"/>
      <c r="HP713" s="458"/>
      <c r="HQ713" s="458"/>
      <c r="HR713" s="458"/>
      <c r="HS713" s="458"/>
      <c r="HT713" s="458"/>
      <c r="HU713" s="458"/>
      <c r="HV713" s="458"/>
      <c r="HW713" s="458"/>
      <c r="HX713" s="458"/>
      <c r="HY713" s="458"/>
      <c r="HZ713" s="458"/>
      <c r="IA713" s="458"/>
      <c r="IB713" s="458"/>
      <c r="IC713" s="458"/>
      <c r="ID713" s="458"/>
      <c r="IE713" s="458"/>
      <c r="IF713" s="458"/>
      <c r="IG713" s="458"/>
      <c r="IH713" s="458"/>
      <c r="II713" s="458"/>
      <c r="IJ713" s="458"/>
      <c r="IK713" s="458"/>
      <c r="IL713" s="458"/>
      <c r="IM713" s="458"/>
      <c r="IN713" s="458"/>
      <c r="IO713" s="458"/>
      <c r="IP713" s="458"/>
      <c r="IQ713" s="458"/>
      <c r="IR713" s="458"/>
      <c r="IS713" s="458"/>
    </row>
    <row r="714" spans="1:253" s="458" customFormat="1" ht="12" x14ac:dyDescent="0.2">
      <c r="A714" s="710"/>
      <c r="B714" s="733"/>
      <c r="C714" s="479"/>
      <c r="D714" s="479"/>
      <c r="E714" s="479"/>
      <c r="F714" s="479"/>
      <c r="G714" s="446"/>
      <c r="H714" s="445"/>
      <c r="I714" s="445"/>
      <c r="J714" s="445"/>
      <c r="K714" s="447"/>
      <c r="L714" s="448"/>
      <c r="M714" s="448"/>
      <c r="N714" s="445"/>
      <c r="O714" s="449"/>
      <c r="P714" s="450"/>
      <c r="Q714" s="451"/>
      <c r="R714" s="507"/>
      <c r="S714" s="508"/>
      <c r="T714" s="472"/>
      <c r="U714" s="448"/>
      <c r="W714" s="448"/>
    </row>
    <row r="715" spans="1:253" s="458" customFormat="1" ht="12" x14ac:dyDescent="0.2">
      <c r="A715" s="710"/>
      <c r="B715" s="733"/>
      <c r="C715" s="479"/>
      <c r="D715" s="479"/>
      <c r="E715" s="479"/>
      <c r="F715" s="479"/>
      <c r="G715" s="446"/>
      <c r="H715" s="445"/>
      <c r="I715" s="445"/>
      <c r="J715" s="445"/>
      <c r="K715" s="447"/>
      <c r="L715" s="448"/>
      <c r="M715" s="448"/>
      <c r="N715" s="445"/>
      <c r="O715" s="449"/>
      <c r="P715" s="450"/>
      <c r="Q715" s="451"/>
      <c r="R715" s="507"/>
      <c r="S715" s="508"/>
      <c r="T715" s="472"/>
      <c r="U715" s="448"/>
      <c r="W715" s="448"/>
    </row>
    <row r="716" spans="1:253" s="458" customFormat="1" ht="12" x14ac:dyDescent="0.2">
      <c r="A716" s="710"/>
      <c r="B716" s="733"/>
      <c r="C716" s="479"/>
      <c r="D716" s="479"/>
      <c r="E716" s="479"/>
      <c r="F716" s="479"/>
      <c r="G716" s="446"/>
      <c r="H716" s="445"/>
      <c r="I716" s="445"/>
      <c r="J716" s="445"/>
      <c r="K716" s="447"/>
      <c r="L716" s="448"/>
      <c r="M716" s="448"/>
      <c r="N716" s="445"/>
      <c r="O716" s="449"/>
      <c r="P716" s="450"/>
      <c r="Q716" s="451"/>
      <c r="R716" s="507"/>
      <c r="S716" s="508"/>
      <c r="T716" s="472"/>
      <c r="U716" s="448"/>
      <c r="W716" s="448"/>
    </row>
    <row r="717" spans="1:253" s="458" customFormat="1" ht="12" x14ac:dyDescent="0.2">
      <c r="A717" s="444"/>
      <c r="B717" s="445"/>
      <c r="C717" s="479"/>
      <c r="D717" s="479"/>
      <c r="E717" s="479"/>
      <c r="F717" s="479"/>
      <c r="G717" s="446"/>
      <c r="H717" s="445"/>
      <c r="I717" s="445"/>
      <c r="J717" s="445"/>
      <c r="K717" s="447"/>
      <c r="L717" s="448"/>
      <c r="M717" s="448"/>
      <c r="N717" s="445"/>
      <c r="O717" s="449"/>
      <c r="P717" s="450"/>
      <c r="Q717" s="451"/>
      <c r="R717" s="507"/>
      <c r="S717" s="508"/>
      <c r="T717" s="472"/>
      <c r="U717" s="448"/>
      <c r="W717" s="448"/>
    </row>
    <row r="718" spans="1:253" s="458" customFormat="1" ht="12" x14ac:dyDescent="0.2">
      <c r="A718" s="444"/>
      <c r="B718" s="445"/>
      <c r="C718" s="479"/>
      <c r="D718" s="479"/>
      <c r="E718" s="479"/>
      <c r="F718" s="479"/>
      <c r="G718" s="446"/>
      <c r="H718" s="445"/>
      <c r="I718" s="445"/>
      <c r="J718" s="445"/>
      <c r="K718" s="447"/>
      <c r="L718" s="448"/>
      <c r="M718" s="448"/>
      <c r="N718" s="445"/>
      <c r="O718" s="449"/>
      <c r="P718" s="450"/>
      <c r="Q718" s="451"/>
      <c r="R718" s="507"/>
      <c r="S718" s="508"/>
      <c r="T718" s="472"/>
      <c r="U718" s="448"/>
      <c r="W718" s="448"/>
    </row>
    <row r="719" spans="1:253" s="458" customFormat="1" ht="12" x14ac:dyDescent="0.2">
      <c r="A719" s="444"/>
      <c r="B719" s="445"/>
      <c r="C719" s="479"/>
      <c r="D719" s="479"/>
      <c r="E719" s="479"/>
      <c r="F719" s="479"/>
      <c r="G719" s="446"/>
      <c r="H719" s="445"/>
      <c r="I719" s="445"/>
      <c r="J719" s="445"/>
      <c r="K719" s="447"/>
      <c r="L719" s="448"/>
      <c r="M719" s="448"/>
      <c r="N719" s="445"/>
      <c r="O719" s="449"/>
      <c r="P719" s="450"/>
      <c r="Q719" s="451"/>
      <c r="R719" s="507"/>
      <c r="S719" s="508"/>
      <c r="T719" s="472"/>
      <c r="U719" s="448"/>
      <c r="W719" s="448"/>
    </row>
    <row r="720" spans="1:253" s="458" customFormat="1" ht="12" x14ac:dyDescent="0.2">
      <c r="A720" s="444"/>
      <c r="B720" s="445"/>
      <c r="C720" s="479"/>
      <c r="D720" s="479"/>
      <c r="E720" s="479"/>
      <c r="F720" s="479"/>
      <c r="G720" s="446"/>
      <c r="H720" s="445"/>
      <c r="I720" s="445"/>
      <c r="J720" s="445"/>
      <c r="K720" s="447"/>
      <c r="L720" s="448"/>
      <c r="M720" s="448"/>
      <c r="N720" s="445"/>
      <c r="O720" s="449"/>
      <c r="P720" s="450"/>
      <c r="Q720" s="451"/>
      <c r="R720" s="507"/>
      <c r="S720" s="508"/>
      <c r="T720" s="472"/>
      <c r="U720" s="448"/>
      <c r="W720" s="448"/>
    </row>
    <row r="721" spans="1:253" s="455" customFormat="1" ht="12" x14ac:dyDescent="0.2">
      <c r="A721" s="444"/>
      <c r="B721" s="445"/>
      <c r="C721" s="479"/>
      <c r="D721" s="479"/>
      <c r="E721" s="479"/>
      <c r="F721" s="479"/>
      <c r="G721" s="446"/>
      <c r="H721" s="445"/>
      <c r="I721" s="445"/>
      <c r="J721" s="445"/>
      <c r="K721" s="447"/>
      <c r="L721" s="448"/>
      <c r="M721" s="448"/>
      <c r="N721" s="445"/>
      <c r="O721" s="449"/>
      <c r="P721" s="450"/>
      <c r="Q721" s="451"/>
      <c r="R721" s="507"/>
      <c r="S721" s="508"/>
      <c r="T721" s="472"/>
      <c r="U721" s="448"/>
      <c r="V721" s="458"/>
      <c r="W721" s="448"/>
      <c r="X721" s="458"/>
      <c r="Y721" s="458"/>
      <c r="Z721" s="458"/>
      <c r="AA721" s="458"/>
      <c r="AB721" s="458"/>
      <c r="AC721" s="458"/>
      <c r="AD721" s="458"/>
      <c r="AE721" s="458"/>
      <c r="AF721" s="458"/>
      <c r="AG721" s="458"/>
      <c r="AH721" s="458"/>
      <c r="AI721" s="458"/>
      <c r="AJ721" s="458"/>
      <c r="AK721" s="458"/>
      <c r="AL721" s="458"/>
      <c r="AM721" s="458"/>
      <c r="AN721" s="458"/>
      <c r="AO721" s="458"/>
      <c r="AP721" s="458"/>
      <c r="AQ721" s="458"/>
      <c r="AR721" s="458"/>
      <c r="AS721" s="458"/>
      <c r="AT721" s="458"/>
      <c r="AU721" s="458"/>
      <c r="AV721" s="458"/>
      <c r="AW721" s="458"/>
      <c r="AX721" s="458"/>
      <c r="AY721" s="458"/>
      <c r="AZ721" s="458"/>
      <c r="BA721" s="458"/>
      <c r="BB721" s="458"/>
      <c r="BC721" s="458"/>
      <c r="BD721" s="458"/>
      <c r="BE721" s="458"/>
      <c r="BF721" s="458"/>
      <c r="BG721" s="458"/>
      <c r="BH721" s="458"/>
      <c r="BI721" s="458"/>
      <c r="BJ721" s="458"/>
      <c r="BK721" s="458"/>
      <c r="BL721" s="458"/>
      <c r="BM721" s="458"/>
      <c r="BN721" s="458"/>
      <c r="BO721" s="458"/>
      <c r="BP721" s="458"/>
      <c r="BQ721" s="458"/>
      <c r="BR721" s="458"/>
      <c r="BS721" s="458"/>
      <c r="BT721" s="458"/>
      <c r="BU721" s="458"/>
      <c r="BV721" s="458"/>
      <c r="BW721" s="458"/>
      <c r="BX721" s="458"/>
      <c r="BY721" s="458"/>
      <c r="BZ721" s="458"/>
      <c r="CA721" s="458"/>
      <c r="CB721" s="458"/>
      <c r="CC721" s="458"/>
      <c r="CD721" s="458"/>
      <c r="CE721" s="458"/>
      <c r="CF721" s="458"/>
      <c r="CG721" s="458"/>
      <c r="CH721" s="458"/>
      <c r="CI721" s="458"/>
      <c r="CJ721" s="458"/>
      <c r="CK721" s="458"/>
      <c r="CL721" s="458"/>
      <c r="CM721" s="458"/>
      <c r="CN721" s="458"/>
      <c r="CO721" s="458"/>
      <c r="CP721" s="458"/>
      <c r="CQ721" s="458"/>
      <c r="CR721" s="458"/>
      <c r="CS721" s="458"/>
      <c r="CT721" s="458"/>
      <c r="CU721" s="458"/>
      <c r="CV721" s="458"/>
      <c r="CW721" s="458"/>
      <c r="CX721" s="458"/>
      <c r="CY721" s="458"/>
      <c r="CZ721" s="458"/>
      <c r="DA721" s="458"/>
      <c r="DB721" s="458"/>
      <c r="DC721" s="458"/>
      <c r="DD721" s="458"/>
      <c r="DE721" s="458"/>
      <c r="DF721" s="458"/>
      <c r="DG721" s="458"/>
      <c r="DH721" s="458"/>
      <c r="DI721" s="458"/>
      <c r="DJ721" s="458"/>
      <c r="DK721" s="458"/>
      <c r="DL721" s="458"/>
      <c r="DM721" s="458"/>
      <c r="DN721" s="458"/>
      <c r="DO721" s="458"/>
      <c r="DP721" s="458"/>
      <c r="DQ721" s="458"/>
      <c r="DR721" s="458"/>
      <c r="DS721" s="458"/>
      <c r="DT721" s="458"/>
      <c r="DU721" s="458"/>
      <c r="DV721" s="458"/>
      <c r="DW721" s="458"/>
      <c r="DX721" s="458"/>
      <c r="DY721" s="458"/>
      <c r="DZ721" s="458"/>
      <c r="EA721" s="458"/>
      <c r="EB721" s="458"/>
      <c r="EC721" s="458"/>
      <c r="ED721" s="458"/>
      <c r="EE721" s="458"/>
      <c r="EF721" s="458"/>
      <c r="EG721" s="458"/>
      <c r="EH721" s="458"/>
      <c r="EI721" s="458"/>
      <c r="EJ721" s="458"/>
      <c r="EK721" s="458"/>
      <c r="EL721" s="458"/>
      <c r="EM721" s="458"/>
      <c r="EN721" s="458"/>
      <c r="EO721" s="458"/>
      <c r="EP721" s="458"/>
      <c r="EQ721" s="458"/>
      <c r="ER721" s="458"/>
      <c r="ES721" s="458"/>
      <c r="ET721" s="458"/>
      <c r="EU721" s="458"/>
      <c r="EV721" s="458"/>
      <c r="EW721" s="458"/>
      <c r="EX721" s="458"/>
      <c r="EY721" s="458"/>
      <c r="EZ721" s="458"/>
      <c r="FA721" s="458"/>
      <c r="FB721" s="458"/>
      <c r="FC721" s="458"/>
      <c r="FD721" s="458"/>
      <c r="FE721" s="458"/>
      <c r="FF721" s="458"/>
      <c r="FG721" s="458"/>
      <c r="FH721" s="458"/>
      <c r="FI721" s="458"/>
      <c r="FJ721" s="458"/>
      <c r="FK721" s="458"/>
      <c r="FL721" s="458"/>
      <c r="FM721" s="458"/>
      <c r="FN721" s="458"/>
      <c r="FO721" s="458"/>
      <c r="FP721" s="458"/>
      <c r="FQ721" s="458"/>
      <c r="FR721" s="458"/>
      <c r="FS721" s="458"/>
      <c r="FT721" s="458"/>
      <c r="FU721" s="458"/>
      <c r="FV721" s="458"/>
      <c r="FW721" s="458"/>
      <c r="FX721" s="458"/>
      <c r="FY721" s="458"/>
      <c r="FZ721" s="458"/>
      <c r="GA721" s="458"/>
      <c r="GB721" s="458"/>
      <c r="GC721" s="458"/>
      <c r="GD721" s="458"/>
      <c r="GE721" s="458"/>
      <c r="GF721" s="458"/>
      <c r="GG721" s="458"/>
      <c r="GH721" s="458"/>
      <c r="GI721" s="458"/>
      <c r="GJ721" s="458"/>
      <c r="GK721" s="458"/>
      <c r="GL721" s="458"/>
      <c r="GM721" s="458"/>
      <c r="GN721" s="458"/>
      <c r="GO721" s="458"/>
      <c r="GP721" s="458"/>
      <c r="GQ721" s="458"/>
      <c r="GR721" s="458"/>
      <c r="GS721" s="458"/>
      <c r="GT721" s="458"/>
      <c r="GU721" s="458"/>
      <c r="GV721" s="458"/>
      <c r="GW721" s="458"/>
      <c r="GX721" s="458"/>
      <c r="GY721" s="458"/>
      <c r="GZ721" s="458"/>
      <c r="HA721" s="458"/>
      <c r="HB721" s="458"/>
      <c r="HC721" s="458"/>
      <c r="HD721" s="458"/>
      <c r="HE721" s="458"/>
      <c r="HF721" s="458"/>
      <c r="HG721" s="458"/>
      <c r="HH721" s="458"/>
      <c r="HI721" s="458"/>
      <c r="HJ721" s="458"/>
      <c r="HK721" s="458"/>
      <c r="HL721" s="458"/>
      <c r="HM721" s="458"/>
      <c r="HN721" s="458"/>
      <c r="HO721" s="458"/>
      <c r="HP721" s="458"/>
      <c r="HQ721" s="458"/>
      <c r="HR721" s="458"/>
      <c r="HS721" s="458"/>
      <c r="HT721" s="458"/>
      <c r="HU721" s="458"/>
      <c r="HV721" s="458"/>
      <c r="HW721" s="458"/>
      <c r="HX721" s="458"/>
      <c r="HY721" s="458"/>
      <c r="HZ721" s="458"/>
      <c r="IA721" s="458"/>
      <c r="IB721" s="458"/>
      <c r="IC721" s="458"/>
      <c r="ID721" s="458"/>
      <c r="IE721" s="458"/>
      <c r="IF721" s="458"/>
      <c r="IG721" s="458"/>
      <c r="IH721" s="458"/>
      <c r="II721" s="458"/>
      <c r="IJ721" s="458"/>
      <c r="IK721" s="458"/>
      <c r="IL721" s="458"/>
      <c r="IM721" s="458"/>
      <c r="IN721" s="458"/>
      <c r="IO721" s="458"/>
      <c r="IP721" s="458"/>
      <c r="IQ721" s="458"/>
      <c r="IR721" s="458"/>
      <c r="IS721" s="458"/>
    </row>
    <row r="722" spans="1:253" s="458" customFormat="1" ht="12" x14ac:dyDescent="0.2">
      <c r="A722" s="444"/>
      <c r="B722" s="445"/>
      <c r="C722" s="479"/>
      <c r="D722" s="479"/>
      <c r="E722" s="479"/>
      <c r="F722" s="479"/>
      <c r="G722" s="446"/>
      <c r="H722" s="445"/>
      <c r="I722" s="445"/>
      <c r="J722" s="445"/>
      <c r="K722" s="447"/>
      <c r="L722" s="448"/>
      <c r="M722" s="448"/>
      <c r="N722" s="445"/>
      <c r="O722" s="449"/>
      <c r="P722" s="450"/>
      <c r="Q722" s="451"/>
      <c r="R722" s="507"/>
      <c r="S722" s="508"/>
      <c r="T722" s="472"/>
      <c r="U722" s="448"/>
      <c r="W722" s="448"/>
    </row>
    <row r="723" spans="1:253" s="458" customFormat="1" ht="12" x14ac:dyDescent="0.2">
      <c r="A723" s="444"/>
      <c r="B723" s="445"/>
      <c r="C723" s="479"/>
      <c r="D723" s="479"/>
      <c r="E723" s="479"/>
      <c r="F723" s="479"/>
      <c r="G723" s="446"/>
      <c r="H723" s="445"/>
      <c r="I723" s="445"/>
      <c r="J723" s="445"/>
      <c r="K723" s="447"/>
      <c r="L723" s="448"/>
      <c r="M723" s="448"/>
      <c r="N723" s="445"/>
      <c r="O723" s="449"/>
      <c r="P723" s="450"/>
      <c r="Q723" s="451"/>
      <c r="R723" s="507"/>
      <c r="S723" s="508"/>
      <c r="T723" s="472"/>
      <c r="U723" s="448"/>
      <c r="W723" s="448"/>
    </row>
    <row r="724" spans="1:253" s="455" customFormat="1" ht="12" x14ac:dyDescent="0.2">
      <c r="A724" s="444"/>
      <c r="B724" s="445"/>
      <c r="C724" s="479"/>
      <c r="D724" s="479"/>
      <c r="E724" s="479"/>
      <c r="F724" s="479"/>
      <c r="G724" s="446"/>
      <c r="H724" s="445"/>
      <c r="I724" s="445"/>
      <c r="J724" s="445"/>
      <c r="K724" s="447"/>
      <c r="L724" s="448"/>
      <c r="M724" s="448"/>
      <c r="N724" s="445"/>
      <c r="O724" s="449"/>
      <c r="P724" s="450"/>
      <c r="Q724" s="451"/>
      <c r="R724" s="507"/>
      <c r="S724" s="508"/>
      <c r="T724" s="472"/>
      <c r="U724" s="448"/>
      <c r="V724" s="458"/>
      <c r="W724" s="448"/>
      <c r="X724" s="458"/>
      <c r="Y724" s="458"/>
      <c r="Z724" s="458"/>
      <c r="AA724" s="458"/>
      <c r="AB724" s="458"/>
      <c r="AC724" s="458"/>
      <c r="AD724" s="458"/>
      <c r="AE724" s="458"/>
      <c r="AF724" s="458"/>
      <c r="AG724" s="458"/>
      <c r="AH724" s="458"/>
      <c r="AI724" s="458"/>
      <c r="AJ724" s="458"/>
      <c r="AK724" s="458"/>
      <c r="AL724" s="458"/>
      <c r="AM724" s="458"/>
      <c r="AN724" s="458"/>
      <c r="AO724" s="458"/>
      <c r="AP724" s="458"/>
      <c r="AQ724" s="458"/>
      <c r="AR724" s="458"/>
      <c r="AS724" s="458"/>
      <c r="AT724" s="458"/>
      <c r="AU724" s="458"/>
      <c r="AV724" s="458"/>
      <c r="AW724" s="458"/>
      <c r="AX724" s="458"/>
      <c r="AY724" s="458"/>
      <c r="AZ724" s="458"/>
      <c r="BA724" s="458"/>
      <c r="BB724" s="458"/>
      <c r="BC724" s="458"/>
      <c r="BD724" s="458"/>
      <c r="BE724" s="458"/>
      <c r="BF724" s="458"/>
      <c r="BG724" s="458"/>
      <c r="BH724" s="458"/>
      <c r="BI724" s="458"/>
      <c r="BJ724" s="458"/>
      <c r="BK724" s="458"/>
      <c r="BL724" s="458"/>
      <c r="BM724" s="458"/>
      <c r="BN724" s="458"/>
      <c r="BO724" s="458"/>
      <c r="BP724" s="458"/>
      <c r="BQ724" s="458"/>
      <c r="BR724" s="458"/>
      <c r="BS724" s="458"/>
      <c r="BT724" s="458"/>
      <c r="BU724" s="458"/>
      <c r="BV724" s="458"/>
      <c r="BW724" s="458"/>
      <c r="BX724" s="458"/>
      <c r="BY724" s="458"/>
      <c r="BZ724" s="458"/>
      <c r="CA724" s="458"/>
      <c r="CB724" s="458"/>
      <c r="CC724" s="458"/>
      <c r="CD724" s="458"/>
      <c r="CE724" s="458"/>
      <c r="CF724" s="458"/>
      <c r="CG724" s="458"/>
      <c r="CH724" s="458"/>
      <c r="CI724" s="458"/>
      <c r="CJ724" s="458"/>
      <c r="CK724" s="458"/>
      <c r="CL724" s="458"/>
      <c r="CM724" s="458"/>
      <c r="CN724" s="458"/>
      <c r="CO724" s="458"/>
      <c r="CP724" s="458"/>
      <c r="CQ724" s="458"/>
      <c r="CR724" s="458"/>
      <c r="CS724" s="458"/>
      <c r="CT724" s="458"/>
      <c r="CU724" s="458"/>
      <c r="CV724" s="458"/>
      <c r="CW724" s="458"/>
      <c r="CX724" s="458"/>
      <c r="CY724" s="458"/>
      <c r="CZ724" s="458"/>
      <c r="DA724" s="458"/>
      <c r="DB724" s="458"/>
      <c r="DC724" s="458"/>
      <c r="DD724" s="458"/>
      <c r="DE724" s="458"/>
      <c r="DF724" s="458"/>
      <c r="DG724" s="458"/>
      <c r="DH724" s="458"/>
      <c r="DI724" s="458"/>
      <c r="DJ724" s="458"/>
      <c r="DK724" s="458"/>
      <c r="DL724" s="458"/>
      <c r="DM724" s="458"/>
      <c r="DN724" s="458"/>
      <c r="DO724" s="458"/>
      <c r="DP724" s="458"/>
      <c r="DQ724" s="458"/>
      <c r="DR724" s="458"/>
      <c r="DS724" s="458"/>
      <c r="DT724" s="458"/>
      <c r="DU724" s="458"/>
      <c r="DV724" s="458"/>
      <c r="DW724" s="458"/>
      <c r="DX724" s="458"/>
      <c r="DY724" s="458"/>
      <c r="DZ724" s="458"/>
      <c r="EA724" s="458"/>
      <c r="EB724" s="458"/>
      <c r="EC724" s="458"/>
      <c r="ED724" s="458"/>
      <c r="EE724" s="458"/>
      <c r="EF724" s="458"/>
      <c r="EG724" s="458"/>
      <c r="EH724" s="458"/>
      <c r="EI724" s="458"/>
      <c r="EJ724" s="458"/>
      <c r="EK724" s="458"/>
      <c r="EL724" s="458"/>
      <c r="EM724" s="458"/>
      <c r="EN724" s="458"/>
      <c r="EO724" s="458"/>
      <c r="EP724" s="458"/>
      <c r="EQ724" s="458"/>
      <c r="ER724" s="458"/>
      <c r="ES724" s="458"/>
      <c r="ET724" s="458"/>
      <c r="EU724" s="458"/>
      <c r="EV724" s="458"/>
      <c r="EW724" s="458"/>
      <c r="EX724" s="458"/>
      <c r="EY724" s="458"/>
      <c r="EZ724" s="458"/>
      <c r="FA724" s="458"/>
      <c r="FB724" s="458"/>
      <c r="FC724" s="458"/>
      <c r="FD724" s="458"/>
      <c r="FE724" s="458"/>
      <c r="FF724" s="458"/>
      <c r="FG724" s="458"/>
      <c r="FH724" s="458"/>
      <c r="FI724" s="458"/>
      <c r="FJ724" s="458"/>
      <c r="FK724" s="458"/>
      <c r="FL724" s="458"/>
      <c r="FM724" s="458"/>
      <c r="FN724" s="458"/>
      <c r="FO724" s="458"/>
      <c r="FP724" s="458"/>
      <c r="FQ724" s="458"/>
      <c r="FR724" s="458"/>
      <c r="FS724" s="458"/>
      <c r="FT724" s="458"/>
      <c r="FU724" s="458"/>
      <c r="FV724" s="458"/>
      <c r="FW724" s="458"/>
      <c r="FX724" s="458"/>
      <c r="FY724" s="458"/>
      <c r="FZ724" s="458"/>
      <c r="GA724" s="458"/>
      <c r="GB724" s="458"/>
      <c r="GC724" s="458"/>
      <c r="GD724" s="458"/>
      <c r="GE724" s="458"/>
      <c r="GF724" s="458"/>
      <c r="GG724" s="458"/>
      <c r="GH724" s="458"/>
      <c r="GI724" s="458"/>
      <c r="GJ724" s="458"/>
      <c r="GK724" s="458"/>
      <c r="GL724" s="458"/>
      <c r="GM724" s="458"/>
      <c r="GN724" s="458"/>
      <c r="GO724" s="458"/>
      <c r="GP724" s="458"/>
      <c r="GQ724" s="458"/>
      <c r="GR724" s="458"/>
      <c r="GS724" s="458"/>
      <c r="GT724" s="458"/>
      <c r="GU724" s="458"/>
      <c r="GV724" s="458"/>
      <c r="GW724" s="458"/>
      <c r="GX724" s="458"/>
      <c r="GY724" s="458"/>
      <c r="GZ724" s="458"/>
      <c r="HA724" s="458"/>
      <c r="HB724" s="458"/>
      <c r="HC724" s="458"/>
      <c r="HD724" s="458"/>
      <c r="HE724" s="458"/>
      <c r="HF724" s="458"/>
      <c r="HG724" s="458"/>
      <c r="HH724" s="458"/>
      <c r="HI724" s="458"/>
      <c r="HJ724" s="458"/>
      <c r="HK724" s="458"/>
      <c r="HL724" s="458"/>
      <c r="HM724" s="458"/>
      <c r="HN724" s="458"/>
      <c r="HO724" s="458"/>
      <c r="HP724" s="458"/>
      <c r="HQ724" s="458"/>
      <c r="HR724" s="458"/>
      <c r="HS724" s="458"/>
      <c r="HT724" s="458"/>
      <c r="HU724" s="458"/>
      <c r="HV724" s="458"/>
      <c r="HW724" s="458"/>
      <c r="HX724" s="458"/>
      <c r="HY724" s="458"/>
      <c r="HZ724" s="458"/>
      <c r="IA724" s="458"/>
      <c r="IB724" s="458"/>
      <c r="IC724" s="458"/>
      <c r="ID724" s="458"/>
      <c r="IE724" s="458"/>
      <c r="IF724" s="458"/>
      <c r="IG724" s="458"/>
      <c r="IH724" s="458"/>
      <c r="II724" s="458"/>
      <c r="IJ724" s="458"/>
      <c r="IK724" s="458"/>
      <c r="IL724" s="458"/>
      <c r="IM724" s="458"/>
      <c r="IN724" s="458"/>
      <c r="IO724" s="458"/>
      <c r="IP724" s="458"/>
      <c r="IQ724" s="458"/>
      <c r="IR724" s="458"/>
      <c r="IS724" s="458"/>
    </row>
    <row r="725" spans="1:253" s="458" customFormat="1" ht="12" x14ac:dyDescent="0.2">
      <c r="A725" s="444"/>
      <c r="B725" s="445"/>
      <c r="C725" s="479"/>
      <c r="D725" s="479"/>
      <c r="E725" s="479"/>
      <c r="F725" s="479"/>
      <c r="G725" s="446"/>
      <c r="H725" s="445"/>
      <c r="I725" s="445"/>
      <c r="J725" s="445"/>
      <c r="K725" s="447"/>
      <c r="L725" s="448"/>
      <c r="M725" s="448"/>
      <c r="N725" s="445"/>
      <c r="O725" s="449"/>
      <c r="P725" s="450"/>
      <c r="Q725" s="451"/>
      <c r="R725" s="507"/>
      <c r="S725" s="508"/>
      <c r="T725" s="472"/>
      <c r="U725" s="448"/>
      <c r="W725" s="448"/>
    </row>
    <row r="726" spans="1:253" s="458" customFormat="1" ht="12" x14ac:dyDescent="0.2">
      <c r="A726" s="444"/>
      <c r="B726" s="445"/>
      <c r="C726" s="479"/>
      <c r="D726" s="479"/>
      <c r="E726" s="479"/>
      <c r="F726" s="479"/>
      <c r="G726" s="446"/>
      <c r="H726" s="445"/>
      <c r="I726" s="445"/>
      <c r="J726" s="445"/>
      <c r="K726" s="447"/>
      <c r="L726" s="448"/>
      <c r="M726" s="448"/>
      <c r="N726" s="445"/>
      <c r="O726" s="449"/>
      <c r="P726" s="450"/>
      <c r="Q726" s="451"/>
      <c r="R726" s="507"/>
      <c r="S726" s="508"/>
      <c r="T726" s="472"/>
      <c r="U726" s="448"/>
      <c r="W726" s="448"/>
    </row>
    <row r="727" spans="1:253" s="458" customFormat="1" ht="12" x14ac:dyDescent="0.2">
      <c r="A727" s="444"/>
      <c r="B727" s="445"/>
      <c r="C727" s="479"/>
      <c r="D727" s="479"/>
      <c r="E727" s="479"/>
      <c r="F727" s="479"/>
      <c r="G727" s="446"/>
      <c r="H727" s="445"/>
      <c r="I727" s="445"/>
      <c r="J727" s="445"/>
      <c r="K727" s="447"/>
      <c r="L727" s="448"/>
      <c r="M727" s="448"/>
      <c r="N727" s="445"/>
      <c r="O727" s="449"/>
      <c r="P727" s="450"/>
      <c r="Q727" s="451"/>
      <c r="R727" s="507"/>
      <c r="S727" s="508"/>
      <c r="T727" s="472"/>
      <c r="U727" s="448"/>
      <c r="W727" s="448"/>
    </row>
    <row r="728" spans="1:253" s="458" customFormat="1" ht="12" x14ac:dyDescent="0.2">
      <c r="A728" s="444"/>
      <c r="B728" s="445"/>
      <c r="C728" s="479"/>
      <c r="D728" s="479"/>
      <c r="E728" s="479"/>
      <c r="F728" s="479"/>
      <c r="G728" s="446"/>
      <c r="H728" s="445"/>
      <c r="I728" s="445"/>
      <c r="J728" s="445"/>
      <c r="K728" s="447"/>
      <c r="L728" s="448"/>
      <c r="M728" s="448"/>
      <c r="N728" s="445"/>
      <c r="O728" s="449"/>
      <c r="P728" s="450"/>
      <c r="Q728" s="451"/>
      <c r="R728" s="507"/>
      <c r="S728" s="508"/>
      <c r="T728" s="472"/>
      <c r="U728" s="448"/>
      <c r="W728" s="448"/>
    </row>
    <row r="729" spans="1:253" s="458" customFormat="1" ht="12" x14ac:dyDescent="0.2">
      <c r="A729" s="444"/>
      <c r="B729" s="445"/>
      <c r="C729" s="479"/>
      <c r="D729" s="479"/>
      <c r="E729" s="479"/>
      <c r="F729" s="479"/>
      <c r="G729" s="446"/>
      <c r="H729" s="445"/>
      <c r="I729" s="445"/>
      <c r="J729" s="445"/>
      <c r="K729" s="447"/>
      <c r="L729" s="448"/>
      <c r="M729" s="448"/>
      <c r="N729" s="445"/>
      <c r="O729" s="449"/>
      <c r="P729" s="450"/>
      <c r="Q729" s="451"/>
      <c r="R729" s="507"/>
      <c r="S729" s="508"/>
      <c r="T729" s="472"/>
      <c r="U729" s="448"/>
      <c r="W729" s="448"/>
    </row>
    <row r="730" spans="1:253" s="458" customFormat="1" ht="12" x14ac:dyDescent="0.2">
      <c r="A730" s="444"/>
      <c r="B730" s="445"/>
      <c r="C730" s="479"/>
      <c r="D730" s="479"/>
      <c r="E730" s="479"/>
      <c r="F730" s="479"/>
      <c r="G730" s="446"/>
      <c r="H730" s="445"/>
      <c r="I730" s="445"/>
      <c r="J730" s="445"/>
      <c r="K730" s="447"/>
      <c r="L730" s="448"/>
      <c r="M730" s="448"/>
      <c r="N730" s="445"/>
      <c r="O730" s="449"/>
      <c r="P730" s="450"/>
      <c r="Q730" s="451"/>
      <c r="R730" s="507"/>
      <c r="S730" s="508"/>
      <c r="T730" s="472"/>
      <c r="U730" s="448"/>
      <c r="W730" s="448"/>
    </row>
    <row r="731" spans="1:253" s="458" customFormat="1" ht="12" x14ac:dyDescent="0.2">
      <c r="A731" s="444"/>
      <c r="B731" s="445"/>
      <c r="C731" s="479"/>
      <c r="D731" s="479"/>
      <c r="E731" s="479"/>
      <c r="F731" s="479"/>
      <c r="G731" s="446"/>
      <c r="H731" s="445"/>
      <c r="I731" s="445"/>
      <c r="J731" s="445"/>
      <c r="K731" s="447"/>
      <c r="L731" s="448"/>
      <c r="M731" s="448"/>
      <c r="N731" s="445"/>
      <c r="O731" s="449"/>
      <c r="P731" s="450"/>
      <c r="Q731" s="451"/>
      <c r="R731" s="507"/>
      <c r="S731" s="508"/>
      <c r="T731" s="472"/>
      <c r="U731" s="448"/>
      <c r="W731" s="448"/>
    </row>
    <row r="732" spans="1:253" s="458" customFormat="1" ht="12" x14ac:dyDescent="0.2">
      <c r="A732" s="444"/>
      <c r="B732" s="445"/>
      <c r="C732" s="479"/>
      <c r="D732" s="479"/>
      <c r="E732" s="479"/>
      <c r="F732" s="479"/>
      <c r="G732" s="446"/>
      <c r="H732" s="445"/>
      <c r="I732" s="445"/>
      <c r="J732" s="445"/>
      <c r="K732" s="447"/>
      <c r="L732" s="448"/>
      <c r="M732" s="448"/>
      <c r="N732" s="445"/>
      <c r="O732" s="449"/>
      <c r="P732" s="450"/>
      <c r="Q732" s="451"/>
      <c r="R732" s="507"/>
      <c r="S732" s="508"/>
      <c r="T732" s="472"/>
      <c r="U732" s="448"/>
      <c r="W732" s="448"/>
    </row>
    <row r="733" spans="1:253" s="458" customFormat="1" ht="12" x14ac:dyDescent="0.2">
      <c r="A733" s="444"/>
      <c r="B733" s="445"/>
      <c r="C733" s="479"/>
      <c r="D733" s="479"/>
      <c r="E733" s="479"/>
      <c r="F733" s="479"/>
      <c r="G733" s="446"/>
      <c r="H733" s="445"/>
      <c r="I733" s="445"/>
      <c r="J733" s="445"/>
      <c r="K733" s="447"/>
      <c r="L733" s="448"/>
      <c r="M733" s="448"/>
      <c r="N733" s="445"/>
      <c r="O733" s="449"/>
      <c r="P733" s="450"/>
      <c r="Q733" s="451"/>
      <c r="R733" s="507"/>
      <c r="S733" s="508"/>
      <c r="T733" s="472"/>
      <c r="U733" s="448"/>
      <c r="W733" s="448"/>
    </row>
    <row r="734" spans="1:253" s="458" customFormat="1" ht="12" x14ac:dyDescent="0.2">
      <c r="A734" s="444"/>
      <c r="B734" s="445"/>
      <c r="C734" s="479"/>
      <c r="D734" s="479"/>
      <c r="E734" s="479"/>
      <c r="F734" s="479"/>
      <c r="G734" s="446"/>
      <c r="H734" s="445"/>
      <c r="I734" s="445"/>
      <c r="J734" s="445"/>
      <c r="K734" s="447"/>
      <c r="L734" s="448"/>
      <c r="M734" s="448"/>
      <c r="N734" s="445"/>
      <c r="O734" s="449"/>
      <c r="P734" s="450"/>
      <c r="Q734" s="451"/>
      <c r="R734" s="507"/>
      <c r="S734" s="508"/>
      <c r="T734" s="472"/>
      <c r="U734" s="448"/>
      <c r="W734" s="448"/>
    </row>
    <row r="735" spans="1:253" s="458" customFormat="1" ht="12" x14ac:dyDescent="0.2">
      <c r="A735" s="444"/>
      <c r="B735" s="445"/>
      <c r="C735" s="479"/>
      <c r="D735" s="479"/>
      <c r="E735" s="479"/>
      <c r="F735" s="479"/>
      <c r="G735" s="446"/>
      <c r="H735" s="445"/>
      <c r="I735" s="445"/>
      <c r="J735" s="445"/>
      <c r="K735" s="447"/>
      <c r="L735" s="448"/>
      <c r="M735" s="448"/>
      <c r="N735" s="445"/>
      <c r="O735" s="449"/>
      <c r="P735" s="450"/>
      <c r="Q735" s="451"/>
      <c r="R735" s="507"/>
      <c r="S735" s="508"/>
      <c r="T735" s="472"/>
      <c r="U735" s="448"/>
      <c r="W735" s="448"/>
    </row>
    <row r="736" spans="1:253" s="458" customFormat="1" ht="12" x14ac:dyDescent="0.2">
      <c r="A736" s="444"/>
      <c r="B736" s="445"/>
      <c r="C736" s="479"/>
      <c r="D736" s="479"/>
      <c r="E736" s="479"/>
      <c r="F736" s="479"/>
      <c r="G736" s="446"/>
      <c r="H736" s="445"/>
      <c r="I736" s="445"/>
      <c r="J736" s="445"/>
      <c r="K736" s="447"/>
      <c r="L736" s="448"/>
      <c r="M736" s="448"/>
      <c r="N736" s="445"/>
      <c r="O736" s="449"/>
      <c r="P736" s="450"/>
      <c r="Q736" s="451"/>
      <c r="R736" s="507"/>
      <c r="S736" s="508"/>
      <c r="T736" s="472"/>
      <c r="U736" s="448"/>
      <c r="W736" s="448"/>
    </row>
    <row r="737" spans="1:23" s="458" customFormat="1" ht="12" x14ac:dyDescent="0.2">
      <c r="A737" s="444"/>
      <c r="B737" s="445"/>
      <c r="C737" s="479"/>
      <c r="D737" s="479"/>
      <c r="E737" s="479"/>
      <c r="F737" s="479"/>
      <c r="G737" s="446"/>
      <c r="H737" s="445"/>
      <c r="I737" s="445"/>
      <c r="J737" s="445"/>
      <c r="K737" s="447"/>
      <c r="L737" s="448"/>
      <c r="M737" s="448"/>
      <c r="N737" s="445"/>
      <c r="O737" s="449"/>
      <c r="P737" s="450"/>
      <c r="Q737" s="451"/>
      <c r="R737" s="507"/>
      <c r="S737" s="508"/>
      <c r="T737" s="472"/>
      <c r="U737" s="448"/>
      <c r="W737" s="448"/>
    </row>
    <row r="738" spans="1:23" s="458" customFormat="1" ht="12" x14ac:dyDescent="0.2">
      <c r="A738" s="444"/>
      <c r="B738" s="445"/>
      <c r="C738" s="479"/>
      <c r="D738" s="479"/>
      <c r="E738" s="479"/>
      <c r="F738" s="479"/>
      <c r="G738" s="446"/>
      <c r="H738" s="445"/>
      <c r="I738" s="445"/>
      <c r="J738" s="445"/>
      <c r="K738" s="447"/>
      <c r="L738" s="448"/>
      <c r="M738" s="448"/>
      <c r="N738" s="445"/>
      <c r="O738" s="449"/>
      <c r="P738" s="450"/>
      <c r="Q738" s="451"/>
      <c r="R738" s="507"/>
      <c r="S738" s="508"/>
      <c r="T738" s="472"/>
      <c r="U738" s="448"/>
      <c r="W738" s="448"/>
    </row>
    <row r="739" spans="1:23" s="458" customFormat="1" ht="12" x14ac:dyDescent="0.2">
      <c r="A739" s="444"/>
      <c r="B739" s="445"/>
      <c r="C739" s="479"/>
      <c r="D739" s="479"/>
      <c r="E739" s="479"/>
      <c r="F739" s="479"/>
      <c r="G739" s="446"/>
      <c r="H739" s="445"/>
      <c r="I739" s="445"/>
      <c r="J739" s="445"/>
      <c r="K739" s="447"/>
      <c r="L739" s="448"/>
      <c r="M739" s="448"/>
      <c r="N739" s="445"/>
      <c r="O739" s="449"/>
      <c r="P739" s="450"/>
      <c r="Q739" s="451"/>
      <c r="R739" s="507"/>
      <c r="S739" s="508"/>
      <c r="T739" s="472"/>
      <c r="U739" s="448"/>
      <c r="W739" s="448"/>
    </row>
    <row r="740" spans="1:23" s="458" customFormat="1" ht="12" x14ac:dyDescent="0.2">
      <c r="A740" s="444"/>
      <c r="B740" s="445"/>
      <c r="C740" s="479"/>
      <c r="D740" s="479"/>
      <c r="E740" s="479"/>
      <c r="F740" s="479"/>
      <c r="G740" s="446"/>
      <c r="H740" s="445"/>
      <c r="I740" s="445"/>
      <c r="J740" s="445"/>
      <c r="K740" s="447"/>
      <c r="L740" s="448"/>
      <c r="M740" s="448"/>
      <c r="N740" s="445"/>
      <c r="O740" s="449"/>
      <c r="P740" s="450"/>
      <c r="Q740" s="451"/>
      <c r="R740" s="507"/>
      <c r="S740" s="508"/>
      <c r="T740" s="472"/>
      <c r="U740" s="448"/>
      <c r="W740" s="448"/>
    </row>
    <row r="741" spans="1:23" s="458" customFormat="1" ht="12" x14ac:dyDescent="0.2">
      <c r="A741" s="444"/>
      <c r="B741" s="445"/>
      <c r="C741" s="479"/>
      <c r="D741" s="479"/>
      <c r="E741" s="479"/>
      <c r="F741" s="479"/>
      <c r="G741" s="446"/>
      <c r="H741" s="445"/>
      <c r="I741" s="445"/>
      <c r="J741" s="445"/>
      <c r="K741" s="447"/>
      <c r="L741" s="448"/>
      <c r="M741" s="448"/>
      <c r="N741" s="445"/>
      <c r="O741" s="449"/>
      <c r="P741" s="450"/>
      <c r="Q741" s="451"/>
      <c r="R741" s="507"/>
      <c r="S741" s="508"/>
      <c r="T741" s="472"/>
      <c r="U741" s="448"/>
      <c r="W741" s="448"/>
    </row>
    <row r="742" spans="1:23" s="458" customFormat="1" ht="12" x14ac:dyDescent="0.2">
      <c r="A742" s="444"/>
      <c r="B742" s="445"/>
      <c r="C742" s="479"/>
      <c r="D742" s="479"/>
      <c r="E742" s="479"/>
      <c r="F742" s="479"/>
      <c r="G742" s="446"/>
      <c r="H742" s="445"/>
      <c r="I742" s="445"/>
      <c r="J742" s="445"/>
      <c r="K742" s="447"/>
      <c r="L742" s="448"/>
      <c r="M742" s="448"/>
      <c r="N742" s="445"/>
      <c r="O742" s="449"/>
      <c r="P742" s="450"/>
      <c r="Q742" s="451"/>
      <c r="R742" s="507"/>
      <c r="S742" s="508"/>
      <c r="T742" s="472"/>
      <c r="U742" s="448"/>
      <c r="W742" s="448"/>
    </row>
    <row r="743" spans="1:23" s="458" customFormat="1" ht="12" x14ac:dyDescent="0.2">
      <c r="A743" s="444"/>
      <c r="B743" s="445"/>
      <c r="C743" s="479"/>
      <c r="D743" s="479"/>
      <c r="E743" s="479"/>
      <c r="F743" s="479"/>
      <c r="G743" s="446"/>
      <c r="H743" s="445"/>
      <c r="I743" s="445"/>
      <c r="J743" s="445"/>
      <c r="K743" s="447"/>
      <c r="L743" s="448"/>
      <c r="M743" s="448"/>
      <c r="N743" s="445"/>
      <c r="O743" s="449"/>
      <c r="P743" s="450"/>
      <c r="Q743" s="451"/>
      <c r="R743" s="507"/>
      <c r="S743" s="508"/>
      <c r="T743" s="472"/>
      <c r="U743" s="448"/>
      <c r="W743" s="448"/>
    </row>
    <row r="744" spans="1:23" s="458" customFormat="1" ht="12" x14ac:dyDescent="0.2">
      <c r="A744" s="444"/>
      <c r="B744" s="445"/>
      <c r="C744" s="479"/>
      <c r="D744" s="479"/>
      <c r="E744" s="479"/>
      <c r="F744" s="479"/>
      <c r="G744" s="446"/>
      <c r="H744" s="445"/>
      <c r="I744" s="445"/>
      <c r="J744" s="445"/>
      <c r="K744" s="447"/>
      <c r="L744" s="448"/>
      <c r="M744" s="448"/>
      <c r="N744" s="445"/>
      <c r="O744" s="449"/>
      <c r="P744" s="450"/>
      <c r="Q744" s="451"/>
      <c r="R744" s="507"/>
      <c r="S744" s="508"/>
      <c r="T744" s="472"/>
      <c r="U744" s="448"/>
      <c r="W744" s="448"/>
    </row>
    <row r="745" spans="1:23" s="458" customFormat="1" ht="12" x14ac:dyDescent="0.2">
      <c r="A745" s="444"/>
      <c r="B745" s="445"/>
      <c r="C745" s="479"/>
      <c r="D745" s="479"/>
      <c r="E745" s="479"/>
      <c r="F745" s="479"/>
      <c r="G745" s="446"/>
      <c r="H745" s="445"/>
      <c r="I745" s="445"/>
      <c r="J745" s="445"/>
      <c r="K745" s="447"/>
      <c r="L745" s="448"/>
      <c r="M745" s="448"/>
      <c r="N745" s="445"/>
      <c r="O745" s="449"/>
      <c r="P745" s="450"/>
      <c r="Q745" s="451"/>
      <c r="R745" s="507"/>
      <c r="S745" s="508"/>
      <c r="T745" s="472"/>
      <c r="U745" s="448"/>
      <c r="W745" s="448"/>
    </row>
    <row r="746" spans="1:23" s="458" customFormat="1" ht="12" x14ac:dyDescent="0.2">
      <c r="A746" s="444"/>
      <c r="B746" s="445"/>
      <c r="C746" s="479"/>
      <c r="D746" s="479"/>
      <c r="E746" s="479"/>
      <c r="F746" s="479"/>
      <c r="G746" s="446"/>
      <c r="H746" s="445"/>
      <c r="I746" s="445"/>
      <c r="J746" s="445"/>
      <c r="K746" s="447"/>
      <c r="L746" s="448"/>
      <c r="M746" s="448"/>
      <c r="N746" s="445"/>
      <c r="O746" s="449"/>
      <c r="P746" s="450"/>
      <c r="Q746" s="451"/>
      <c r="R746" s="507"/>
      <c r="S746" s="508"/>
      <c r="T746" s="472"/>
      <c r="U746" s="448"/>
      <c r="W746" s="448"/>
    </row>
    <row r="747" spans="1:23" s="458" customFormat="1" ht="12" x14ac:dyDescent="0.2">
      <c r="A747" s="444"/>
      <c r="B747" s="445"/>
      <c r="C747" s="479"/>
      <c r="D747" s="479"/>
      <c r="E747" s="479"/>
      <c r="F747" s="479"/>
      <c r="G747" s="446"/>
      <c r="H747" s="445"/>
      <c r="I747" s="445"/>
      <c r="J747" s="445"/>
      <c r="K747" s="447"/>
      <c r="L747" s="448"/>
      <c r="M747" s="448"/>
      <c r="N747" s="445"/>
      <c r="O747" s="449"/>
      <c r="P747" s="450"/>
      <c r="Q747" s="451"/>
      <c r="R747" s="507"/>
      <c r="S747" s="508"/>
      <c r="T747" s="472"/>
      <c r="U747" s="448"/>
      <c r="W747" s="448"/>
    </row>
    <row r="748" spans="1:23" s="458" customFormat="1" ht="5.65" customHeight="1" x14ac:dyDescent="0.2">
      <c r="A748" s="444"/>
      <c r="B748" s="445"/>
      <c r="C748" s="479"/>
      <c r="D748" s="479"/>
      <c r="E748" s="479"/>
      <c r="F748" s="479"/>
      <c r="G748" s="446"/>
      <c r="H748" s="445"/>
      <c r="I748" s="445"/>
      <c r="J748" s="445"/>
      <c r="K748" s="447"/>
      <c r="L748" s="448"/>
      <c r="M748" s="448"/>
      <c r="N748" s="445"/>
      <c r="O748" s="449"/>
      <c r="P748" s="450"/>
      <c r="Q748" s="451"/>
      <c r="R748" s="507"/>
      <c r="S748" s="508"/>
      <c r="T748" s="472"/>
      <c r="U748" s="448"/>
      <c r="W748" s="448"/>
    </row>
    <row r="749" spans="1:23" s="458" customFormat="1" ht="5.65" customHeight="1" x14ac:dyDescent="0.2">
      <c r="A749" s="444"/>
      <c r="B749" s="445"/>
      <c r="C749" s="479"/>
      <c r="D749" s="479"/>
      <c r="E749" s="479"/>
      <c r="F749" s="479"/>
      <c r="G749" s="446"/>
      <c r="H749" s="445"/>
      <c r="I749" s="445"/>
      <c r="J749" s="445"/>
      <c r="K749" s="447"/>
      <c r="L749" s="448"/>
      <c r="M749" s="448"/>
      <c r="N749" s="445"/>
      <c r="O749" s="449"/>
      <c r="P749" s="450"/>
      <c r="Q749" s="451"/>
      <c r="R749" s="507"/>
      <c r="S749" s="508"/>
      <c r="T749" s="472"/>
      <c r="U749" s="448"/>
      <c r="W749" s="448"/>
    </row>
    <row r="750" spans="1:23" s="458" customFormat="1" ht="5.65" customHeight="1" x14ac:dyDescent="0.2">
      <c r="A750" s="444"/>
      <c r="B750" s="445"/>
      <c r="C750" s="479"/>
      <c r="D750" s="479"/>
      <c r="E750" s="479"/>
      <c r="F750" s="479"/>
      <c r="G750" s="446"/>
      <c r="H750" s="445"/>
      <c r="I750" s="445"/>
      <c r="J750" s="445"/>
      <c r="K750" s="447"/>
      <c r="L750" s="448"/>
      <c r="M750" s="448"/>
      <c r="N750" s="445"/>
      <c r="O750" s="449"/>
      <c r="P750" s="450"/>
      <c r="Q750" s="451"/>
      <c r="R750" s="507"/>
      <c r="S750" s="508"/>
      <c r="T750" s="472"/>
      <c r="U750" s="448"/>
      <c r="W750" s="448"/>
    </row>
    <row r="751" spans="1:23" s="458" customFormat="1" ht="5.65" customHeight="1" x14ac:dyDescent="0.2">
      <c r="A751" s="444"/>
      <c r="B751" s="445"/>
      <c r="C751" s="479"/>
      <c r="D751" s="479"/>
      <c r="E751" s="479"/>
      <c r="F751" s="479"/>
      <c r="G751" s="446"/>
      <c r="H751" s="445"/>
      <c r="I751" s="445"/>
      <c r="J751" s="445"/>
      <c r="K751" s="447"/>
      <c r="L751" s="448"/>
      <c r="M751" s="448"/>
      <c r="N751" s="445"/>
      <c r="O751" s="449"/>
      <c r="P751" s="450"/>
      <c r="Q751" s="451"/>
      <c r="R751" s="507"/>
      <c r="S751" s="508"/>
      <c r="T751" s="472"/>
      <c r="U751" s="448"/>
      <c r="W751" s="448"/>
    </row>
    <row r="752" spans="1:23" s="458" customFormat="1" ht="5.65" customHeight="1" x14ac:dyDescent="0.2">
      <c r="A752" s="444"/>
      <c r="B752" s="445"/>
      <c r="C752" s="479"/>
      <c r="D752" s="479"/>
      <c r="E752" s="479"/>
      <c r="F752" s="479"/>
      <c r="G752" s="446"/>
      <c r="H752" s="445"/>
      <c r="I752" s="445"/>
      <c r="J752" s="445"/>
      <c r="K752" s="447"/>
      <c r="L752" s="448"/>
      <c r="M752" s="448"/>
      <c r="N752" s="445"/>
      <c r="O752" s="449"/>
      <c r="P752" s="450"/>
      <c r="Q752" s="451"/>
      <c r="R752" s="507"/>
      <c r="S752" s="508"/>
      <c r="T752" s="472"/>
      <c r="U752" s="448"/>
      <c r="W752" s="448"/>
    </row>
    <row r="753" spans="1:23" s="458" customFormat="1" ht="5.65" customHeight="1" x14ac:dyDescent="0.2">
      <c r="A753" s="444"/>
      <c r="B753" s="445"/>
      <c r="C753" s="479"/>
      <c r="D753" s="479"/>
      <c r="E753" s="479"/>
      <c r="F753" s="479"/>
      <c r="G753" s="446"/>
      <c r="H753" s="445"/>
      <c r="I753" s="445"/>
      <c r="J753" s="445"/>
      <c r="K753" s="447"/>
      <c r="L753" s="448"/>
      <c r="M753" s="448"/>
      <c r="N753" s="445"/>
      <c r="O753" s="449"/>
      <c r="P753" s="450"/>
      <c r="Q753" s="451"/>
      <c r="R753" s="507"/>
      <c r="S753" s="508"/>
      <c r="T753" s="472"/>
      <c r="U753" s="448"/>
      <c r="W753" s="448"/>
    </row>
    <row r="754" spans="1:23" s="458" customFormat="1" ht="5.65" customHeight="1" x14ac:dyDescent="0.2">
      <c r="A754" s="444"/>
      <c r="B754" s="445"/>
      <c r="C754" s="479"/>
      <c r="D754" s="479"/>
      <c r="E754" s="479"/>
      <c r="F754" s="479"/>
      <c r="G754" s="446"/>
      <c r="H754" s="445"/>
      <c r="I754" s="445"/>
      <c r="J754" s="445"/>
      <c r="K754" s="447"/>
      <c r="L754" s="448"/>
      <c r="M754" s="448"/>
      <c r="N754" s="445"/>
      <c r="O754" s="449"/>
      <c r="P754" s="450"/>
      <c r="Q754" s="451"/>
      <c r="R754" s="507"/>
      <c r="S754" s="508"/>
      <c r="T754" s="472"/>
      <c r="U754" s="448"/>
      <c r="W754" s="448"/>
    </row>
    <row r="755" spans="1:23" s="458" customFormat="1" ht="5.65" customHeight="1" x14ac:dyDescent="0.2">
      <c r="A755" s="444"/>
      <c r="B755" s="445"/>
      <c r="C755" s="479"/>
      <c r="D755" s="479"/>
      <c r="E755" s="479"/>
      <c r="F755" s="479"/>
      <c r="G755" s="446"/>
      <c r="H755" s="445"/>
      <c r="I755" s="445"/>
      <c r="J755" s="445"/>
      <c r="K755" s="447"/>
      <c r="L755" s="448"/>
      <c r="M755" s="448"/>
      <c r="N755" s="445"/>
      <c r="O755" s="449"/>
      <c r="P755" s="450"/>
      <c r="Q755" s="451"/>
      <c r="R755" s="507"/>
      <c r="S755" s="508"/>
      <c r="T755" s="472"/>
      <c r="U755" s="448"/>
      <c r="W755" s="448"/>
    </row>
    <row r="756" spans="1:23" s="458" customFormat="1" ht="5.65" customHeight="1" x14ac:dyDescent="0.2">
      <c r="A756" s="444"/>
      <c r="B756" s="445"/>
      <c r="C756" s="479"/>
      <c r="D756" s="479"/>
      <c r="E756" s="479"/>
      <c r="F756" s="479"/>
      <c r="G756" s="446"/>
      <c r="H756" s="445"/>
      <c r="I756" s="445"/>
      <c r="J756" s="445"/>
      <c r="K756" s="447"/>
      <c r="L756" s="448"/>
      <c r="M756" s="448"/>
      <c r="N756" s="445"/>
      <c r="O756" s="449"/>
      <c r="P756" s="450"/>
      <c r="Q756" s="451"/>
      <c r="R756" s="507"/>
      <c r="S756" s="508"/>
      <c r="T756" s="472"/>
      <c r="U756" s="448"/>
      <c r="W756" s="448"/>
    </row>
    <row r="757" spans="1:23" s="458" customFormat="1" ht="5.65" customHeight="1" x14ac:dyDescent="0.2">
      <c r="A757" s="444"/>
      <c r="B757" s="445"/>
      <c r="C757" s="479"/>
      <c r="D757" s="479"/>
      <c r="E757" s="479"/>
      <c r="F757" s="479"/>
      <c r="G757" s="446"/>
      <c r="H757" s="445"/>
      <c r="I757" s="445"/>
      <c r="J757" s="445"/>
      <c r="K757" s="447"/>
      <c r="L757" s="448"/>
      <c r="M757" s="448"/>
      <c r="N757" s="445"/>
      <c r="O757" s="449"/>
      <c r="P757" s="450"/>
      <c r="Q757" s="451"/>
      <c r="R757" s="507"/>
      <c r="S757" s="508"/>
      <c r="T757" s="472"/>
      <c r="U757" s="448"/>
      <c r="W757" s="448"/>
    </row>
    <row r="758" spans="1:23" s="458" customFormat="1" ht="5.65" customHeight="1" x14ac:dyDescent="0.2">
      <c r="A758" s="444"/>
      <c r="B758" s="445"/>
      <c r="C758" s="479"/>
      <c r="D758" s="479"/>
      <c r="E758" s="479"/>
      <c r="F758" s="479"/>
      <c r="G758" s="446"/>
      <c r="H758" s="445"/>
      <c r="I758" s="445"/>
      <c r="J758" s="445"/>
      <c r="K758" s="447"/>
      <c r="L758" s="448"/>
      <c r="M758" s="448"/>
      <c r="N758" s="445"/>
      <c r="O758" s="449"/>
      <c r="P758" s="450"/>
      <c r="Q758" s="451"/>
      <c r="R758" s="507"/>
      <c r="S758" s="508"/>
      <c r="T758" s="472"/>
      <c r="U758" s="448"/>
      <c r="W758" s="448"/>
    </row>
    <row r="759" spans="1:23" s="458" customFormat="1" ht="5.65" customHeight="1" x14ac:dyDescent="0.2">
      <c r="A759" s="444"/>
      <c r="B759" s="445"/>
      <c r="C759" s="479"/>
      <c r="D759" s="479"/>
      <c r="E759" s="479"/>
      <c r="F759" s="479"/>
      <c r="G759" s="446"/>
      <c r="H759" s="445"/>
      <c r="I759" s="445"/>
      <c r="J759" s="445"/>
      <c r="K759" s="447"/>
      <c r="L759" s="448"/>
      <c r="M759" s="448"/>
      <c r="N759" s="445"/>
      <c r="O759" s="449"/>
      <c r="P759" s="450"/>
      <c r="Q759" s="451"/>
      <c r="R759" s="507"/>
      <c r="S759" s="508"/>
      <c r="T759" s="472"/>
      <c r="U759" s="448"/>
      <c r="W759" s="448"/>
    </row>
    <row r="760" spans="1:23" s="458" customFormat="1" ht="5.65" customHeight="1" x14ac:dyDescent="0.2">
      <c r="A760" s="444"/>
      <c r="B760" s="445"/>
      <c r="C760" s="479"/>
      <c r="D760" s="479"/>
      <c r="E760" s="479"/>
      <c r="F760" s="479"/>
      <c r="G760" s="446"/>
      <c r="H760" s="445"/>
      <c r="I760" s="445"/>
      <c r="J760" s="445"/>
      <c r="K760" s="447"/>
      <c r="L760" s="448"/>
      <c r="M760" s="448"/>
      <c r="N760" s="445"/>
      <c r="O760" s="449"/>
      <c r="P760" s="450"/>
      <c r="Q760" s="451"/>
      <c r="R760" s="507"/>
      <c r="S760" s="508"/>
      <c r="T760" s="472"/>
      <c r="U760" s="448"/>
      <c r="W760" s="448"/>
    </row>
    <row r="761" spans="1:23" s="458" customFormat="1" ht="5.65" customHeight="1" x14ac:dyDescent="0.2">
      <c r="A761" s="444"/>
      <c r="B761" s="445"/>
      <c r="C761" s="479"/>
      <c r="D761" s="479"/>
      <c r="E761" s="479"/>
      <c r="F761" s="479"/>
      <c r="G761" s="446"/>
      <c r="H761" s="445"/>
      <c r="I761" s="445"/>
      <c r="J761" s="445"/>
      <c r="K761" s="447"/>
      <c r="L761" s="448"/>
      <c r="M761" s="448"/>
      <c r="N761" s="445"/>
      <c r="O761" s="449"/>
      <c r="P761" s="450"/>
      <c r="Q761" s="451"/>
      <c r="R761" s="507"/>
      <c r="S761" s="508"/>
      <c r="T761" s="472"/>
      <c r="U761" s="448"/>
      <c r="W761" s="448"/>
    </row>
    <row r="762" spans="1:23" s="458" customFormat="1" ht="5.65" customHeight="1" x14ac:dyDescent="0.2">
      <c r="A762" s="444"/>
      <c r="B762" s="445"/>
      <c r="C762" s="479"/>
      <c r="D762" s="479"/>
      <c r="E762" s="479"/>
      <c r="F762" s="479"/>
      <c r="G762" s="446"/>
      <c r="H762" s="445"/>
      <c r="I762" s="445"/>
      <c r="J762" s="445"/>
      <c r="K762" s="447"/>
      <c r="L762" s="448"/>
      <c r="M762" s="448"/>
      <c r="N762" s="445"/>
      <c r="O762" s="449"/>
      <c r="P762" s="450"/>
      <c r="Q762" s="451"/>
      <c r="R762" s="507"/>
      <c r="S762" s="508"/>
      <c r="T762" s="472"/>
      <c r="U762" s="448"/>
      <c r="W762" s="448"/>
    </row>
    <row r="763" spans="1:23" s="458" customFormat="1" ht="5.65" customHeight="1" x14ac:dyDescent="0.2">
      <c r="A763" s="444"/>
      <c r="B763" s="445"/>
      <c r="C763" s="479"/>
      <c r="D763" s="479"/>
      <c r="E763" s="479"/>
      <c r="F763" s="479"/>
      <c r="G763" s="446"/>
      <c r="H763" s="445"/>
      <c r="I763" s="445"/>
      <c r="J763" s="445"/>
      <c r="K763" s="447"/>
      <c r="L763" s="448"/>
      <c r="M763" s="448"/>
      <c r="N763" s="445"/>
      <c r="O763" s="449"/>
      <c r="P763" s="450"/>
      <c r="Q763" s="451"/>
      <c r="R763" s="507"/>
      <c r="S763" s="508"/>
      <c r="T763" s="472"/>
      <c r="U763" s="448"/>
      <c r="W763" s="448"/>
    </row>
    <row r="764" spans="1:23" s="458" customFormat="1" ht="5.65" customHeight="1" x14ac:dyDescent="0.2">
      <c r="A764" s="444"/>
      <c r="B764" s="445"/>
      <c r="C764" s="479"/>
      <c r="D764" s="479"/>
      <c r="E764" s="479"/>
      <c r="F764" s="479"/>
      <c r="G764" s="446"/>
      <c r="H764" s="445"/>
      <c r="I764" s="445"/>
      <c r="J764" s="445"/>
      <c r="K764" s="447"/>
      <c r="L764" s="448"/>
      <c r="M764" s="448"/>
      <c r="N764" s="445"/>
      <c r="O764" s="449"/>
      <c r="P764" s="450"/>
      <c r="Q764" s="451"/>
      <c r="R764" s="507"/>
      <c r="S764" s="508"/>
      <c r="T764" s="472"/>
      <c r="U764" s="448"/>
      <c r="W764" s="448"/>
    </row>
    <row r="765" spans="1:23" s="458" customFormat="1" ht="5.65" customHeight="1" x14ac:dyDescent="0.2">
      <c r="A765" s="444"/>
      <c r="B765" s="445"/>
      <c r="C765" s="479"/>
      <c r="D765" s="479"/>
      <c r="E765" s="479"/>
      <c r="F765" s="479"/>
      <c r="G765" s="446"/>
      <c r="H765" s="445"/>
      <c r="I765" s="445"/>
      <c r="J765" s="445"/>
      <c r="K765" s="447"/>
      <c r="L765" s="448"/>
      <c r="M765" s="448"/>
      <c r="N765" s="445"/>
      <c r="O765" s="449"/>
      <c r="P765" s="450"/>
      <c r="Q765" s="451"/>
      <c r="R765" s="507"/>
      <c r="S765" s="508"/>
      <c r="T765" s="472"/>
      <c r="U765" s="448"/>
      <c r="W765" s="448"/>
    </row>
    <row r="766" spans="1:23" s="458" customFormat="1" ht="5.65" customHeight="1" x14ac:dyDescent="0.2">
      <c r="A766" s="444"/>
      <c r="B766" s="445"/>
      <c r="C766" s="479"/>
      <c r="D766" s="479"/>
      <c r="E766" s="479"/>
      <c r="F766" s="479"/>
      <c r="G766" s="446"/>
      <c r="H766" s="445"/>
      <c r="I766" s="445"/>
      <c r="J766" s="445"/>
      <c r="K766" s="447"/>
      <c r="L766" s="448"/>
      <c r="M766" s="448"/>
      <c r="N766" s="445"/>
      <c r="O766" s="449"/>
      <c r="P766" s="450"/>
      <c r="Q766" s="451"/>
      <c r="R766" s="507"/>
      <c r="S766" s="508"/>
      <c r="T766" s="472"/>
      <c r="U766" s="448"/>
      <c r="W766" s="448"/>
    </row>
    <row r="767" spans="1:23" s="458" customFormat="1" ht="5.65" customHeight="1" x14ac:dyDescent="0.2">
      <c r="A767" s="444"/>
      <c r="B767" s="445"/>
      <c r="C767" s="479"/>
      <c r="D767" s="479"/>
      <c r="E767" s="479"/>
      <c r="F767" s="479"/>
      <c r="G767" s="446"/>
      <c r="H767" s="445"/>
      <c r="I767" s="445"/>
      <c r="J767" s="445"/>
      <c r="K767" s="447"/>
      <c r="L767" s="448"/>
      <c r="M767" s="448"/>
      <c r="N767" s="445"/>
      <c r="O767" s="449"/>
      <c r="P767" s="450"/>
      <c r="Q767" s="451"/>
      <c r="R767" s="507"/>
      <c r="S767" s="508"/>
      <c r="T767" s="472"/>
      <c r="U767" s="448"/>
      <c r="W767" s="448"/>
    </row>
    <row r="768" spans="1:23" s="458" customFormat="1" ht="5.65" customHeight="1" x14ac:dyDescent="0.2">
      <c r="A768" s="444"/>
      <c r="B768" s="445"/>
      <c r="C768" s="479"/>
      <c r="D768" s="479"/>
      <c r="E768" s="479"/>
      <c r="F768" s="479"/>
      <c r="G768" s="446"/>
      <c r="H768" s="445"/>
      <c r="I768" s="445"/>
      <c r="J768" s="445"/>
      <c r="K768" s="447"/>
      <c r="L768" s="448"/>
      <c r="M768" s="448"/>
      <c r="N768" s="445"/>
      <c r="O768" s="449"/>
      <c r="P768" s="450"/>
      <c r="Q768" s="451"/>
      <c r="R768" s="507"/>
      <c r="S768" s="508"/>
      <c r="T768" s="472"/>
      <c r="U768" s="448"/>
      <c r="W768" s="448"/>
    </row>
    <row r="769" spans="1:23" s="458" customFormat="1" ht="5.65" customHeight="1" x14ac:dyDescent="0.2">
      <c r="A769" s="444"/>
      <c r="B769" s="445"/>
      <c r="C769" s="479"/>
      <c r="D769" s="479"/>
      <c r="E769" s="479"/>
      <c r="F769" s="479"/>
      <c r="G769" s="446"/>
      <c r="H769" s="445"/>
      <c r="I769" s="445"/>
      <c r="J769" s="445"/>
      <c r="K769" s="447"/>
      <c r="L769" s="448"/>
      <c r="M769" s="448"/>
      <c r="N769" s="445"/>
      <c r="O769" s="449"/>
      <c r="P769" s="450"/>
      <c r="Q769" s="451"/>
      <c r="R769" s="507"/>
      <c r="S769" s="508"/>
      <c r="T769" s="472"/>
      <c r="U769" s="448"/>
      <c r="W769" s="448"/>
    </row>
    <row r="770" spans="1:23" s="458" customFormat="1" ht="5.65" customHeight="1" x14ac:dyDescent="0.2">
      <c r="A770" s="444"/>
      <c r="B770" s="445"/>
      <c r="C770" s="479"/>
      <c r="D770" s="479"/>
      <c r="E770" s="479"/>
      <c r="F770" s="479"/>
      <c r="G770" s="446"/>
      <c r="H770" s="445"/>
      <c r="I770" s="445"/>
      <c r="J770" s="445"/>
      <c r="K770" s="447"/>
      <c r="L770" s="448"/>
      <c r="M770" s="448"/>
      <c r="N770" s="445"/>
      <c r="O770" s="449"/>
      <c r="P770" s="450"/>
      <c r="Q770" s="451"/>
      <c r="R770" s="507"/>
      <c r="S770" s="508"/>
      <c r="T770" s="472"/>
      <c r="U770" s="448"/>
      <c r="W770" s="448"/>
    </row>
    <row r="771" spans="1:23" s="458" customFormat="1" ht="5.65" customHeight="1" x14ac:dyDescent="0.2">
      <c r="A771" s="444"/>
      <c r="B771" s="445"/>
      <c r="C771" s="479"/>
      <c r="D771" s="479"/>
      <c r="E771" s="479"/>
      <c r="F771" s="479"/>
      <c r="G771" s="446"/>
      <c r="H771" s="445"/>
      <c r="I771" s="445"/>
      <c r="J771" s="445"/>
      <c r="K771" s="447"/>
      <c r="L771" s="448"/>
      <c r="M771" s="448"/>
      <c r="N771" s="445"/>
      <c r="O771" s="449"/>
      <c r="P771" s="450"/>
      <c r="Q771" s="451"/>
      <c r="R771" s="507"/>
      <c r="S771" s="508"/>
      <c r="T771" s="472"/>
      <c r="U771" s="448"/>
      <c r="W771" s="448"/>
    </row>
    <row r="772" spans="1:23" s="458" customFormat="1" ht="5.65" customHeight="1" x14ac:dyDescent="0.2">
      <c r="A772" s="444"/>
      <c r="B772" s="445"/>
      <c r="C772" s="479"/>
      <c r="D772" s="479"/>
      <c r="E772" s="479"/>
      <c r="F772" s="479"/>
      <c r="G772" s="446"/>
      <c r="H772" s="445"/>
      <c r="I772" s="445"/>
      <c r="J772" s="445"/>
      <c r="K772" s="447"/>
      <c r="L772" s="448"/>
      <c r="M772" s="448"/>
      <c r="N772" s="445"/>
      <c r="O772" s="449"/>
      <c r="P772" s="450"/>
      <c r="Q772" s="451"/>
      <c r="R772" s="507"/>
      <c r="S772" s="508"/>
      <c r="T772" s="472"/>
      <c r="U772" s="448"/>
      <c r="W772" s="448"/>
    </row>
    <row r="773" spans="1:23" s="458" customFormat="1" ht="5.65" customHeight="1" x14ac:dyDescent="0.2">
      <c r="A773" s="444"/>
      <c r="B773" s="445"/>
      <c r="C773" s="479"/>
      <c r="D773" s="479"/>
      <c r="E773" s="479"/>
      <c r="F773" s="479"/>
      <c r="G773" s="446"/>
      <c r="H773" s="445"/>
      <c r="I773" s="445"/>
      <c r="J773" s="445"/>
      <c r="K773" s="447"/>
      <c r="L773" s="448"/>
      <c r="M773" s="448"/>
      <c r="N773" s="445"/>
      <c r="O773" s="449"/>
      <c r="P773" s="450"/>
      <c r="Q773" s="451"/>
      <c r="R773" s="507"/>
      <c r="S773" s="508"/>
      <c r="T773" s="472"/>
      <c r="U773" s="448"/>
      <c r="W773" s="448"/>
    </row>
    <row r="774" spans="1:23" s="458" customFormat="1" ht="5.65" customHeight="1" x14ac:dyDescent="0.2">
      <c r="A774" s="444"/>
      <c r="B774" s="445"/>
      <c r="C774" s="479"/>
      <c r="D774" s="479"/>
      <c r="E774" s="479"/>
      <c r="F774" s="479"/>
      <c r="G774" s="446"/>
      <c r="H774" s="445"/>
      <c r="I774" s="445"/>
      <c r="J774" s="445"/>
      <c r="K774" s="447"/>
      <c r="L774" s="448"/>
      <c r="M774" s="448"/>
      <c r="N774" s="445"/>
      <c r="O774" s="449"/>
      <c r="P774" s="450"/>
      <c r="Q774" s="451"/>
      <c r="R774" s="507"/>
      <c r="S774" s="508"/>
      <c r="T774" s="472"/>
      <c r="U774" s="448"/>
      <c r="W774" s="448"/>
    </row>
    <row r="775" spans="1:23" s="458" customFormat="1" ht="5.65" customHeight="1" x14ac:dyDescent="0.2">
      <c r="A775" s="444"/>
      <c r="B775" s="445"/>
      <c r="C775" s="479"/>
      <c r="D775" s="479"/>
      <c r="E775" s="479"/>
      <c r="F775" s="479"/>
      <c r="G775" s="446"/>
      <c r="H775" s="445"/>
      <c r="I775" s="445"/>
      <c r="J775" s="445"/>
      <c r="K775" s="447"/>
      <c r="L775" s="448"/>
      <c r="M775" s="448"/>
      <c r="N775" s="445"/>
      <c r="O775" s="449"/>
      <c r="P775" s="450"/>
      <c r="Q775" s="451"/>
      <c r="R775" s="507"/>
      <c r="S775" s="508"/>
      <c r="T775" s="472"/>
      <c r="U775" s="448"/>
      <c r="W775" s="448"/>
    </row>
    <row r="776" spans="1:23" s="458" customFormat="1" ht="5.65" customHeight="1" x14ac:dyDescent="0.2">
      <c r="A776" s="444"/>
      <c r="B776" s="445"/>
      <c r="C776" s="479"/>
      <c r="D776" s="479"/>
      <c r="E776" s="479"/>
      <c r="F776" s="479"/>
      <c r="G776" s="446"/>
      <c r="H776" s="445"/>
      <c r="I776" s="445"/>
      <c r="J776" s="445"/>
      <c r="K776" s="447"/>
      <c r="L776" s="448"/>
      <c r="M776" s="448"/>
      <c r="N776" s="445"/>
      <c r="O776" s="449"/>
      <c r="P776" s="450"/>
      <c r="Q776" s="451"/>
      <c r="R776" s="507"/>
      <c r="S776" s="508"/>
      <c r="T776" s="472"/>
      <c r="U776" s="448"/>
      <c r="W776" s="448"/>
    </row>
    <row r="777" spans="1:23" s="458" customFormat="1" ht="5.65" customHeight="1" x14ac:dyDescent="0.2">
      <c r="A777" s="444"/>
      <c r="B777" s="445"/>
      <c r="C777" s="479"/>
      <c r="D777" s="479"/>
      <c r="E777" s="479"/>
      <c r="F777" s="479"/>
      <c r="G777" s="446"/>
      <c r="H777" s="445"/>
      <c r="I777" s="445"/>
      <c r="J777" s="445"/>
      <c r="K777" s="447"/>
      <c r="L777" s="448"/>
      <c r="M777" s="448"/>
      <c r="N777" s="445"/>
      <c r="O777" s="449"/>
      <c r="P777" s="450"/>
      <c r="Q777" s="451"/>
      <c r="R777" s="507"/>
      <c r="S777" s="508"/>
      <c r="T777" s="472"/>
      <c r="U777" s="448"/>
      <c r="W777" s="448"/>
    </row>
    <row r="778" spans="1:23" s="458" customFormat="1" ht="5.65" customHeight="1" x14ac:dyDescent="0.2">
      <c r="A778" s="444"/>
      <c r="B778" s="445"/>
      <c r="C778" s="479"/>
      <c r="D778" s="479"/>
      <c r="E778" s="479"/>
      <c r="F778" s="479"/>
      <c r="G778" s="446"/>
      <c r="H778" s="445"/>
      <c r="I778" s="445"/>
      <c r="J778" s="445"/>
      <c r="K778" s="447"/>
      <c r="L778" s="448"/>
      <c r="M778" s="448"/>
      <c r="N778" s="445"/>
      <c r="O778" s="449"/>
      <c r="P778" s="450"/>
      <c r="Q778" s="451"/>
      <c r="R778" s="507"/>
      <c r="S778" s="508"/>
      <c r="T778" s="472"/>
      <c r="U778" s="448"/>
      <c r="W778" s="448"/>
    </row>
    <row r="779" spans="1:23" s="458" customFormat="1" ht="5.65" customHeight="1" x14ac:dyDescent="0.2">
      <c r="A779" s="444"/>
      <c r="B779" s="445"/>
      <c r="C779" s="479"/>
      <c r="D779" s="479"/>
      <c r="E779" s="479"/>
      <c r="F779" s="479"/>
      <c r="G779" s="446"/>
      <c r="H779" s="445"/>
      <c r="I779" s="445"/>
      <c r="J779" s="445"/>
      <c r="K779" s="447"/>
      <c r="L779" s="448"/>
      <c r="M779" s="448"/>
      <c r="N779" s="445"/>
      <c r="O779" s="449"/>
      <c r="P779" s="450"/>
      <c r="Q779" s="451"/>
      <c r="R779" s="507"/>
      <c r="S779" s="508"/>
      <c r="T779" s="472"/>
      <c r="U779" s="448"/>
      <c r="W779" s="448"/>
    </row>
    <row r="780" spans="1:23" s="458" customFormat="1" ht="5.65" customHeight="1" x14ac:dyDescent="0.2">
      <c r="A780" s="444"/>
      <c r="B780" s="445"/>
      <c r="C780" s="479"/>
      <c r="D780" s="479"/>
      <c r="E780" s="479"/>
      <c r="F780" s="479"/>
      <c r="G780" s="446"/>
      <c r="H780" s="445"/>
      <c r="I780" s="445"/>
      <c r="J780" s="445"/>
      <c r="K780" s="447"/>
      <c r="L780" s="448"/>
      <c r="M780" s="448"/>
      <c r="N780" s="445"/>
      <c r="O780" s="449"/>
      <c r="P780" s="450"/>
      <c r="Q780" s="451"/>
      <c r="R780" s="507"/>
      <c r="S780" s="508"/>
      <c r="T780" s="472"/>
      <c r="U780" s="448"/>
      <c r="W780" s="448"/>
    </row>
    <row r="781" spans="1:23" s="458" customFormat="1" ht="5.65" customHeight="1" x14ac:dyDescent="0.2">
      <c r="A781" s="444"/>
      <c r="B781" s="445"/>
      <c r="C781" s="479"/>
      <c r="D781" s="479"/>
      <c r="E781" s="479"/>
      <c r="F781" s="479"/>
      <c r="G781" s="446"/>
      <c r="H781" s="445"/>
      <c r="I781" s="445"/>
      <c r="J781" s="445"/>
      <c r="K781" s="447"/>
      <c r="L781" s="448"/>
      <c r="M781" s="448"/>
      <c r="N781" s="445"/>
      <c r="O781" s="449"/>
      <c r="P781" s="450"/>
      <c r="Q781" s="451"/>
      <c r="R781" s="507"/>
      <c r="S781" s="508"/>
      <c r="T781" s="472"/>
      <c r="U781" s="448"/>
      <c r="W781" s="448"/>
    </row>
    <row r="782" spans="1:23" s="458" customFormat="1" ht="5.65" customHeight="1" x14ac:dyDescent="0.2">
      <c r="A782" s="444"/>
      <c r="B782" s="445"/>
      <c r="C782" s="479"/>
      <c r="D782" s="479"/>
      <c r="E782" s="479"/>
      <c r="F782" s="479"/>
      <c r="G782" s="446"/>
      <c r="H782" s="445"/>
      <c r="I782" s="445"/>
      <c r="J782" s="445"/>
      <c r="K782" s="447"/>
      <c r="L782" s="448"/>
      <c r="M782" s="448"/>
      <c r="N782" s="445"/>
      <c r="O782" s="449"/>
      <c r="P782" s="450"/>
      <c r="Q782" s="451"/>
      <c r="R782" s="507"/>
      <c r="S782" s="508"/>
      <c r="T782" s="472"/>
      <c r="U782" s="448"/>
      <c r="W782" s="448"/>
    </row>
    <row r="783" spans="1:23" s="458" customFormat="1" ht="5.65" customHeight="1" x14ac:dyDescent="0.2">
      <c r="A783" s="444"/>
      <c r="B783" s="445"/>
      <c r="C783" s="479"/>
      <c r="D783" s="479"/>
      <c r="E783" s="479"/>
      <c r="F783" s="479"/>
      <c r="G783" s="446"/>
      <c r="H783" s="445"/>
      <c r="I783" s="445"/>
      <c r="J783" s="445"/>
      <c r="K783" s="447"/>
      <c r="L783" s="448"/>
      <c r="M783" s="448"/>
      <c r="N783" s="445"/>
      <c r="O783" s="449"/>
      <c r="P783" s="450"/>
      <c r="Q783" s="451"/>
      <c r="R783" s="507"/>
      <c r="S783" s="508"/>
      <c r="T783" s="472"/>
      <c r="U783" s="448"/>
      <c r="W783" s="448"/>
    </row>
    <row r="784" spans="1:23" s="458" customFormat="1" ht="5.65" customHeight="1" x14ac:dyDescent="0.2">
      <c r="A784" s="444"/>
      <c r="B784" s="445"/>
      <c r="C784" s="479"/>
      <c r="D784" s="479"/>
      <c r="E784" s="479"/>
      <c r="F784" s="479"/>
      <c r="G784" s="446"/>
      <c r="H784" s="445"/>
      <c r="I784" s="445"/>
      <c r="J784" s="445"/>
      <c r="K784" s="447"/>
      <c r="L784" s="448"/>
      <c r="M784" s="448"/>
      <c r="N784" s="445"/>
      <c r="O784" s="449"/>
      <c r="P784" s="450"/>
      <c r="Q784" s="451"/>
      <c r="R784" s="507"/>
      <c r="S784" s="508"/>
      <c r="T784" s="472"/>
      <c r="U784" s="448"/>
      <c r="W784" s="448"/>
    </row>
    <row r="785" spans="1:23" s="458" customFormat="1" ht="5.65" customHeight="1" x14ac:dyDescent="0.2">
      <c r="A785" s="444"/>
      <c r="B785" s="445"/>
      <c r="C785" s="479"/>
      <c r="D785" s="479"/>
      <c r="E785" s="479"/>
      <c r="F785" s="479"/>
      <c r="G785" s="446"/>
      <c r="H785" s="445"/>
      <c r="I785" s="445"/>
      <c r="J785" s="445"/>
      <c r="K785" s="447"/>
      <c r="L785" s="448"/>
      <c r="M785" s="448"/>
      <c r="N785" s="445"/>
      <c r="O785" s="449"/>
      <c r="P785" s="450"/>
      <c r="Q785" s="451"/>
      <c r="R785" s="507"/>
      <c r="S785" s="508"/>
      <c r="T785" s="472"/>
      <c r="U785" s="448"/>
      <c r="W785" s="448"/>
    </row>
    <row r="786" spans="1:23" s="458" customFormat="1" ht="5.65" customHeight="1" x14ac:dyDescent="0.2">
      <c r="A786" s="444"/>
      <c r="B786" s="445"/>
      <c r="C786" s="479"/>
      <c r="D786" s="479"/>
      <c r="E786" s="479"/>
      <c r="F786" s="479"/>
      <c r="G786" s="446"/>
      <c r="H786" s="445"/>
      <c r="I786" s="445"/>
      <c r="J786" s="445"/>
      <c r="K786" s="447"/>
      <c r="L786" s="448"/>
      <c r="M786" s="448"/>
      <c r="N786" s="445"/>
      <c r="O786" s="449"/>
      <c r="P786" s="450"/>
      <c r="Q786" s="451"/>
      <c r="R786" s="507"/>
      <c r="S786" s="508"/>
      <c r="T786" s="472"/>
      <c r="U786" s="448"/>
      <c r="W786" s="448"/>
    </row>
    <row r="787" spans="1:23" s="458" customFormat="1" ht="5.65" customHeight="1" x14ac:dyDescent="0.2">
      <c r="A787" s="444"/>
      <c r="B787" s="445"/>
      <c r="C787" s="479"/>
      <c r="D787" s="479"/>
      <c r="E787" s="479"/>
      <c r="F787" s="479"/>
      <c r="G787" s="446"/>
      <c r="H787" s="445"/>
      <c r="I787" s="445"/>
      <c r="J787" s="445"/>
      <c r="K787" s="447"/>
      <c r="L787" s="448"/>
      <c r="M787" s="448"/>
      <c r="N787" s="445"/>
      <c r="O787" s="449"/>
      <c r="P787" s="450"/>
      <c r="Q787" s="451"/>
      <c r="R787" s="507"/>
      <c r="S787" s="508"/>
      <c r="T787" s="472"/>
      <c r="U787" s="448"/>
      <c r="W787" s="448"/>
    </row>
    <row r="788" spans="1:23" s="458" customFormat="1" ht="5.65" customHeight="1" x14ac:dyDescent="0.2">
      <c r="A788" s="444"/>
      <c r="B788" s="445"/>
      <c r="C788" s="479"/>
      <c r="D788" s="479"/>
      <c r="E788" s="479"/>
      <c r="F788" s="479"/>
      <c r="G788" s="446"/>
      <c r="H788" s="445"/>
      <c r="I788" s="445"/>
      <c r="J788" s="445"/>
      <c r="K788" s="447"/>
      <c r="L788" s="448"/>
      <c r="M788" s="448"/>
      <c r="N788" s="445"/>
      <c r="O788" s="449"/>
      <c r="P788" s="450"/>
      <c r="Q788" s="451"/>
      <c r="R788" s="507"/>
      <c r="S788" s="508"/>
      <c r="T788" s="472"/>
      <c r="U788" s="448"/>
      <c r="W788" s="448"/>
    </row>
    <row r="789" spans="1:23" s="458" customFormat="1" ht="5.65" customHeight="1" x14ac:dyDescent="0.2">
      <c r="A789" s="444"/>
      <c r="B789" s="445"/>
      <c r="C789" s="479"/>
      <c r="D789" s="479"/>
      <c r="E789" s="479"/>
      <c r="F789" s="479"/>
      <c r="G789" s="446"/>
      <c r="H789" s="445"/>
      <c r="I789" s="445"/>
      <c r="J789" s="445"/>
      <c r="K789" s="447"/>
      <c r="L789" s="448"/>
      <c r="M789" s="448"/>
      <c r="N789" s="445"/>
      <c r="O789" s="449"/>
      <c r="P789" s="450"/>
      <c r="Q789" s="451"/>
      <c r="R789" s="507"/>
      <c r="S789" s="508"/>
      <c r="T789" s="472"/>
      <c r="U789" s="448"/>
      <c r="W789" s="448"/>
    </row>
    <row r="790" spans="1:23" s="458" customFormat="1" ht="5.65" customHeight="1" x14ac:dyDescent="0.2">
      <c r="A790" s="444"/>
      <c r="B790" s="445"/>
      <c r="C790" s="479"/>
      <c r="D790" s="479"/>
      <c r="E790" s="479"/>
      <c r="F790" s="479"/>
      <c r="G790" s="446"/>
      <c r="H790" s="445"/>
      <c r="I790" s="445"/>
      <c r="J790" s="445"/>
      <c r="K790" s="447"/>
      <c r="L790" s="448"/>
      <c r="M790" s="448"/>
      <c r="N790" s="445"/>
      <c r="O790" s="449"/>
      <c r="P790" s="450"/>
      <c r="Q790" s="451"/>
      <c r="R790" s="507"/>
      <c r="S790" s="508"/>
      <c r="T790" s="472"/>
      <c r="U790" s="448"/>
      <c r="W790" s="448"/>
    </row>
    <row r="791" spans="1:23" s="458" customFormat="1" ht="5.65" customHeight="1" x14ac:dyDescent="0.2">
      <c r="A791" s="444"/>
      <c r="B791" s="445"/>
      <c r="C791" s="479"/>
      <c r="D791" s="479"/>
      <c r="E791" s="479"/>
      <c r="F791" s="479"/>
      <c r="G791" s="446"/>
      <c r="H791" s="445"/>
      <c r="I791" s="445"/>
      <c r="J791" s="445"/>
      <c r="K791" s="447"/>
      <c r="L791" s="448"/>
      <c r="M791" s="448"/>
      <c r="N791" s="445"/>
      <c r="O791" s="449"/>
      <c r="P791" s="450"/>
      <c r="Q791" s="451"/>
      <c r="R791" s="507"/>
      <c r="S791" s="508"/>
      <c r="T791" s="472"/>
      <c r="U791" s="448"/>
      <c r="W791" s="448"/>
    </row>
    <row r="792" spans="1:23" s="458" customFormat="1" ht="5.65" customHeight="1" x14ac:dyDescent="0.2">
      <c r="A792" s="444"/>
      <c r="B792" s="445"/>
      <c r="C792" s="479"/>
      <c r="D792" s="479"/>
      <c r="E792" s="479"/>
      <c r="F792" s="479"/>
      <c r="G792" s="446"/>
      <c r="H792" s="445"/>
      <c r="I792" s="445"/>
      <c r="J792" s="445"/>
      <c r="K792" s="447"/>
      <c r="L792" s="448"/>
      <c r="M792" s="448"/>
      <c r="N792" s="445"/>
      <c r="O792" s="449"/>
      <c r="P792" s="450"/>
      <c r="Q792" s="451"/>
      <c r="R792" s="507"/>
      <c r="S792" s="508"/>
      <c r="T792" s="472"/>
      <c r="U792" s="448"/>
      <c r="W792" s="448"/>
    </row>
    <row r="793" spans="1:23" s="458" customFormat="1" ht="5.65" customHeight="1" x14ac:dyDescent="0.2">
      <c r="A793" s="444"/>
      <c r="B793" s="445"/>
      <c r="C793" s="479"/>
      <c r="D793" s="479"/>
      <c r="E793" s="479"/>
      <c r="F793" s="479"/>
      <c r="G793" s="446"/>
      <c r="H793" s="445"/>
      <c r="I793" s="445"/>
      <c r="J793" s="445"/>
      <c r="K793" s="447"/>
      <c r="L793" s="448"/>
      <c r="M793" s="448"/>
      <c r="N793" s="445"/>
      <c r="O793" s="449"/>
      <c r="P793" s="450"/>
      <c r="Q793" s="451"/>
      <c r="R793" s="507"/>
      <c r="S793" s="508"/>
      <c r="T793" s="472"/>
      <c r="U793" s="448"/>
      <c r="W793" s="448"/>
    </row>
    <row r="794" spans="1:23" s="458" customFormat="1" ht="5.65" customHeight="1" x14ac:dyDescent="0.2">
      <c r="A794" s="444"/>
      <c r="B794" s="445"/>
      <c r="C794" s="479"/>
      <c r="D794" s="479"/>
      <c r="E794" s="479"/>
      <c r="F794" s="479"/>
      <c r="G794" s="446"/>
      <c r="H794" s="445"/>
      <c r="I794" s="445"/>
      <c r="J794" s="445"/>
      <c r="K794" s="447"/>
      <c r="L794" s="448"/>
      <c r="M794" s="448"/>
      <c r="N794" s="445"/>
      <c r="O794" s="449"/>
      <c r="P794" s="450"/>
      <c r="Q794" s="451"/>
      <c r="R794" s="507"/>
      <c r="S794" s="508"/>
      <c r="T794" s="472"/>
      <c r="U794" s="448"/>
      <c r="W794" s="448"/>
    </row>
    <row r="795" spans="1:23" s="458" customFormat="1" ht="5.65" customHeight="1" x14ac:dyDescent="0.2">
      <c r="A795" s="444"/>
      <c r="B795" s="445"/>
      <c r="C795" s="479"/>
      <c r="D795" s="479"/>
      <c r="E795" s="479"/>
      <c r="F795" s="479"/>
      <c r="G795" s="446"/>
      <c r="H795" s="445"/>
      <c r="I795" s="445"/>
      <c r="J795" s="445"/>
      <c r="K795" s="447"/>
      <c r="L795" s="448"/>
      <c r="M795" s="448"/>
      <c r="N795" s="445"/>
      <c r="O795" s="449"/>
      <c r="P795" s="450"/>
      <c r="Q795" s="451"/>
      <c r="R795" s="507"/>
      <c r="S795" s="508"/>
      <c r="T795" s="472"/>
      <c r="U795" s="448"/>
      <c r="W795" s="448"/>
    </row>
    <row r="796" spans="1:23" s="458" customFormat="1" ht="5.65" customHeight="1" x14ac:dyDescent="0.2">
      <c r="A796" s="444"/>
      <c r="B796" s="445"/>
      <c r="C796" s="479"/>
      <c r="D796" s="479"/>
      <c r="E796" s="479"/>
      <c r="F796" s="479"/>
      <c r="G796" s="446"/>
      <c r="H796" s="445"/>
      <c r="I796" s="445"/>
      <c r="J796" s="445"/>
      <c r="K796" s="447"/>
      <c r="L796" s="448"/>
      <c r="M796" s="448"/>
      <c r="N796" s="445"/>
      <c r="O796" s="449"/>
      <c r="P796" s="450"/>
      <c r="Q796" s="451"/>
      <c r="R796" s="507"/>
      <c r="S796" s="508"/>
      <c r="T796" s="472"/>
      <c r="U796" s="448"/>
      <c r="W796" s="448"/>
    </row>
    <row r="797" spans="1:23" s="458" customFormat="1" ht="5.65" customHeight="1" x14ac:dyDescent="0.2">
      <c r="A797" s="444"/>
      <c r="B797" s="445"/>
      <c r="C797" s="479"/>
      <c r="D797" s="479"/>
      <c r="E797" s="479"/>
      <c r="F797" s="479"/>
      <c r="G797" s="446"/>
      <c r="H797" s="445"/>
      <c r="I797" s="445"/>
      <c r="J797" s="445"/>
      <c r="K797" s="447"/>
      <c r="L797" s="448"/>
      <c r="M797" s="448"/>
      <c r="N797" s="445"/>
      <c r="O797" s="449"/>
      <c r="P797" s="450"/>
      <c r="Q797" s="451"/>
      <c r="R797" s="507"/>
      <c r="S797" s="508"/>
      <c r="T797" s="472"/>
      <c r="U797" s="448"/>
      <c r="W797" s="448"/>
    </row>
    <row r="798" spans="1:23" s="458" customFormat="1" ht="5.65" customHeight="1" x14ac:dyDescent="0.2">
      <c r="A798" s="444"/>
      <c r="B798" s="445"/>
      <c r="C798" s="479"/>
      <c r="D798" s="479"/>
      <c r="E798" s="479"/>
      <c r="F798" s="479"/>
      <c r="G798" s="446"/>
      <c r="H798" s="445"/>
      <c r="I798" s="445"/>
      <c r="J798" s="445"/>
      <c r="K798" s="447"/>
      <c r="L798" s="448"/>
      <c r="M798" s="448"/>
      <c r="N798" s="445"/>
      <c r="O798" s="449"/>
      <c r="P798" s="450"/>
      <c r="Q798" s="451"/>
      <c r="R798" s="507"/>
      <c r="S798" s="508"/>
      <c r="T798" s="472"/>
      <c r="U798" s="448"/>
      <c r="W798" s="448"/>
    </row>
    <row r="799" spans="1:23" s="458" customFormat="1" ht="5.65" customHeight="1" x14ac:dyDescent="0.2">
      <c r="A799" s="444"/>
      <c r="B799" s="445"/>
      <c r="C799" s="479"/>
      <c r="D799" s="479"/>
      <c r="E799" s="479"/>
      <c r="F799" s="479"/>
      <c r="G799" s="446"/>
      <c r="H799" s="445"/>
      <c r="I799" s="445"/>
      <c r="J799" s="445"/>
      <c r="K799" s="447"/>
      <c r="L799" s="448"/>
      <c r="M799" s="448"/>
      <c r="N799" s="445"/>
      <c r="O799" s="449"/>
      <c r="P799" s="450"/>
      <c r="Q799" s="451"/>
      <c r="R799" s="507"/>
      <c r="S799" s="508"/>
      <c r="T799" s="472"/>
      <c r="U799" s="448"/>
      <c r="W799" s="448"/>
    </row>
    <row r="800" spans="1:23" s="458" customFormat="1" ht="5.65" customHeight="1" x14ac:dyDescent="0.2">
      <c r="A800" s="444"/>
      <c r="B800" s="445"/>
      <c r="C800" s="479"/>
      <c r="D800" s="479"/>
      <c r="E800" s="479"/>
      <c r="F800" s="479"/>
      <c r="G800" s="446"/>
      <c r="H800" s="445"/>
      <c r="I800" s="445"/>
      <c r="J800" s="445"/>
      <c r="K800" s="447"/>
      <c r="L800" s="448"/>
      <c r="M800" s="448"/>
      <c r="N800" s="445"/>
      <c r="O800" s="449"/>
      <c r="P800" s="450"/>
      <c r="Q800" s="451"/>
      <c r="R800" s="507"/>
      <c r="S800" s="508"/>
      <c r="T800" s="472"/>
      <c r="U800" s="448"/>
      <c r="W800" s="448"/>
    </row>
    <row r="801" spans="1:23" s="458" customFormat="1" ht="5.65" customHeight="1" x14ac:dyDescent="0.2">
      <c r="A801" s="444"/>
      <c r="B801" s="445"/>
      <c r="C801" s="479"/>
      <c r="D801" s="479"/>
      <c r="E801" s="479"/>
      <c r="F801" s="479"/>
      <c r="G801" s="446"/>
      <c r="H801" s="445"/>
      <c r="I801" s="445"/>
      <c r="J801" s="445"/>
      <c r="K801" s="447"/>
      <c r="L801" s="448"/>
      <c r="M801" s="448"/>
      <c r="N801" s="445"/>
      <c r="O801" s="449"/>
      <c r="P801" s="450"/>
      <c r="Q801" s="451"/>
      <c r="R801" s="507"/>
      <c r="S801" s="508"/>
      <c r="T801" s="472"/>
      <c r="U801" s="448"/>
      <c r="W801" s="448"/>
    </row>
    <row r="802" spans="1:23" s="458" customFormat="1" ht="5.65" customHeight="1" x14ac:dyDescent="0.2">
      <c r="A802" s="444"/>
      <c r="B802" s="445"/>
      <c r="C802" s="479"/>
      <c r="D802" s="479"/>
      <c r="E802" s="479"/>
      <c r="F802" s="479"/>
      <c r="G802" s="446"/>
      <c r="H802" s="445"/>
      <c r="I802" s="445"/>
      <c r="J802" s="445"/>
      <c r="K802" s="447"/>
      <c r="L802" s="448"/>
      <c r="M802" s="448"/>
      <c r="N802" s="445"/>
      <c r="O802" s="449"/>
      <c r="P802" s="450"/>
      <c r="Q802" s="451"/>
      <c r="R802" s="507"/>
      <c r="S802" s="508"/>
      <c r="T802" s="472"/>
      <c r="U802" s="448"/>
      <c r="W802" s="448"/>
    </row>
    <row r="803" spans="1:23" s="458" customFormat="1" ht="5.65" customHeight="1" x14ac:dyDescent="0.2">
      <c r="A803" s="444"/>
      <c r="B803" s="445"/>
      <c r="C803" s="479"/>
      <c r="D803" s="479"/>
      <c r="E803" s="479"/>
      <c r="F803" s="479"/>
      <c r="G803" s="446"/>
      <c r="H803" s="445"/>
      <c r="I803" s="445"/>
      <c r="J803" s="445"/>
      <c r="K803" s="447"/>
      <c r="L803" s="448"/>
      <c r="M803" s="448"/>
      <c r="N803" s="445"/>
      <c r="O803" s="449"/>
      <c r="P803" s="450"/>
      <c r="Q803" s="451"/>
      <c r="R803" s="507"/>
      <c r="S803" s="508"/>
      <c r="T803" s="472"/>
      <c r="U803" s="448"/>
      <c r="W803" s="448"/>
    </row>
    <row r="804" spans="1:23" s="458" customFormat="1" ht="5.65" customHeight="1" x14ac:dyDescent="0.2">
      <c r="A804" s="444"/>
      <c r="B804" s="445"/>
      <c r="C804" s="479"/>
      <c r="D804" s="479"/>
      <c r="E804" s="479"/>
      <c r="F804" s="479"/>
      <c r="G804" s="446"/>
      <c r="H804" s="445"/>
      <c r="I804" s="445"/>
      <c r="J804" s="445"/>
      <c r="K804" s="447"/>
      <c r="L804" s="448"/>
      <c r="M804" s="448"/>
      <c r="N804" s="445"/>
      <c r="O804" s="449"/>
      <c r="P804" s="450"/>
      <c r="Q804" s="451"/>
      <c r="R804" s="507"/>
      <c r="S804" s="508"/>
      <c r="T804" s="472"/>
      <c r="U804" s="448"/>
      <c r="W804" s="448"/>
    </row>
    <row r="805" spans="1:23" s="458" customFormat="1" ht="5.65" customHeight="1" x14ac:dyDescent="0.2">
      <c r="A805" s="444"/>
      <c r="B805" s="445"/>
      <c r="C805" s="479"/>
      <c r="D805" s="479"/>
      <c r="E805" s="479"/>
      <c r="F805" s="479"/>
      <c r="G805" s="446"/>
      <c r="H805" s="445"/>
      <c r="I805" s="445"/>
      <c r="J805" s="445"/>
      <c r="K805" s="447"/>
      <c r="L805" s="448"/>
      <c r="M805" s="448"/>
      <c r="N805" s="445"/>
      <c r="O805" s="449"/>
      <c r="P805" s="450"/>
      <c r="Q805" s="451"/>
      <c r="R805" s="507"/>
      <c r="S805" s="508"/>
      <c r="T805" s="472"/>
      <c r="U805" s="448"/>
      <c r="W805" s="448"/>
    </row>
    <row r="806" spans="1:23" s="458" customFormat="1" ht="5.65" customHeight="1" x14ac:dyDescent="0.2">
      <c r="A806" s="444"/>
      <c r="B806" s="445"/>
      <c r="C806" s="479"/>
      <c r="D806" s="479"/>
      <c r="E806" s="479"/>
      <c r="F806" s="479"/>
      <c r="G806" s="446"/>
      <c r="H806" s="445"/>
      <c r="I806" s="445"/>
      <c r="J806" s="445"/>
      <c r="K806" s="447"/>
      <c r="L806" s="448"/>
      <c r="M806" s="448"/>
      <c r="N806" s="445"/>
      <c r="O806" s="449"/>
      <c r="P806" s="450"/>
      <c r="Q806" s="451"/>
      <c r="R806" s="507"/>
      <c r="S806" s="508"/>
      <c r="T806" s="472"/>
      <c r="U806" s="448"/>
      <c r="W806" s="448"/>
    </row>
    <row r="807" spans="1:23" s="458" customFormat="1" ht="5.65" customHeight="1" x14ac:dyDescent="0.2">
      <c r="A807" s="444"/>
      <c r="B807" s="445"/>
      <c r="C807" s="479"/>
      <c r="D807" s="479"/>
      <c r="E807" s="479"/>
      <c r="F807" s="479"/>
      <c r="G807" s="446"/>
      <c r="H807" s="445"/>
      <c r="I807" s="445"/>
      <c r="J807" s="445"/>
      <c r="K807" s="447"/>
      <c r="L807" s="448"/>
      <c r="M807" s="448"/>
      <c r="N807" s="445"/>
      <c r="O807" s="449"/>
      <c r="P807" s="450"/>
      <c r="Q807" s="451"/>
      <c r="R807" s="507"/>
      <c r="S807" s="508"/>
      <c r="T807" s="472"/>
      <c r="U807" s="448"/>
      <c r="W807" s="448"/>
    </row>
    <row r="808" spans="1:23" s="458" customFormat="1" ht="5.65" customHeight="1" x14ac:dyDescent="0.2">
      <c r="A808" s="444"/>
      <c r="B808" s="445"/>
      <c r="C808" s="479"/>
      <c r="D808" s="479"/>
      <c r="E808" s="479"/>
      <c r="F808" s="479"/>
      <c r="G808" s="446"/>
      <c r="H808" s="445"/>
      <c r="I808" s="445"/>
      <c r="J808" s="445"/>
      <c r="K808" s="447"/>
      <c r="L808" s="448"/>
      <c r="M808" s="448"/>
      <c r="N808" s="445"/>
      <c r="O808" s="449"/>
      <c r="P808" s="450"/>
      <c r="Q808" s="451"/>
      <c r="R808" s="507"/>
      <c r="S808" s="508"/>
      <c r="T808" s="472"/>
      <c r="U808" s="448"/>
      <c r="W808" s="448"/>
    </row>
    <row r="809" spans="1:23" s="458" customFormat="1" ht="5.65" customHeight="1" x14ac:dyDescent="0.2">
      <c r="A809" s="444"/>
      <c r="B809" s="445"/>
      <c r="C809" s="479"/>
      <c r="D809" s="479"/>
      <c r="E809" s="479"/>
      <c r="F809" s="479"/>
      <c r="G809" s="446"/>
      <c r="H809" s="445"/>
      <c r="I809" s="445"/>
      <c r="J809" s="445"/>
      <c r="K809" s="447"/>
      <c r="L809" s="448"/>
      <c r="M809" s="448"/>
      <c r="N809" s="445"/>
      <c r="O809" s="449"/>
      <c r="P809" s="450"/>
      <c r="Q809" s="451"/>
      <c r="R809" s="507"/>
      <c r="S809" s="508"/>
      <c r="T809" s="472"/>
      <c r="U809" s="448"/>
      <c r="W809" s="448"/>
    </row>
    <row r="810" spans="1:23" s="458" customFormat="1" ht="5.65" customHeight="1" x14ac:dyDescent="0.2">
      <c r="A810" s="444"/>
      <c r="B810" s="445"/>
      <c r="C810" s="479"/>
      <c r="D810" s="479"/>
      <c r="E810" s="479"/>
      <c r="F810" s="479"/>
      <c r="G810" s="446"/>
      <c r="H810" s="445"/>
      <c r="I810" s="445"/>
      <c r="J810" s="445"/>
      <c r="K810" s="447"/>
      <c r="L810" s="448"/>
      <c r="M810" s="448"/>
      <c r="N810" s="445"/>
      <c r="O810" s="449"/>
      <c r="P810" s="450"/>
      <c r="Q810" s="451"/>
      <c r="R810" s="507"/>
      <c r="S810" s="508"/>
      <c r="T810" s="472"/>
      <c r="U810" s="448"/>
      <c r="W810" s="448"/>
    </row>
    <row r="811" spans="1:23" s="458" customFormat="1" ht="5.65" customHeight="1" x14ac:dyDescent="0.2">
      <c r="A811" s="444"/>
      <c r="B811" s="445"/>
      <c r="C811" s="479"/>
      <c r="D811" s="479"/>
      <c r="E811" s="479"/>
      <c r="F811" s="479"/>
      <c r="G811" s="446"/>
      <c r="H811" s="445"/>
      <c r="I811" s="445"/>
      <c r="J811" s="445"/>
      <c r="K811" s="447"/>
      <c r="L811" s="448"/>
      <c r="M811" s="448"/>
      <c r="N811" s="445"/>
      <c r="O811" s="449"/>
      <c r="P811" s="450"/>
      <c r="Q811" s="451"/>
      <c r="R811" s="507"/>
      <c r="S811" s="508"/>
      <c r="T811" s="472"/>
      <c r="U811" s="448"/>
      <c r="W811" s="448"/>
    </row>
    <row r="812" spans="1:23" s="458" customFormat="1" ht="5.65" customHeight="1" x14ac:dyDescent="0.2">
      <c r="A812" s="444"/>
      <c r="B812" s="445"/>
      <c r="C812" s="479"/>
      <c r="D812" s="479"/>
      <c r="E812" s="479"/>
      <c r="F812" s="479"/>
      <c r="G812" s="446"/>
      <c r="H812" s="445"/>
      <c r="I812" s="445"/>
      <c r="J812" s="445"/>
      <c r="K812" s="447"/>
      <c r="L812" s="448"/>
      <c r="M812" s="448"/>
      <c r="N812" s="445"/>
      <c r="O812" s="449"/>
      <c r="P812" s="450"/>
      <c r="Q812" s="451"/>
      <c r="R812" s="507"/>
      <c r="S812" s="508"/>
      <c r="T812" s="472"/>
      <c r="U812" s="448"/>
      <c r="W812" s="448"/>
    </row>
    <row r="813" spans="1:23" s="458" customFormat="1" ht="5.65" customHeight="1" x14ac:dyDescent="0.2">
      <c r="A813" s="444"/>
      <c r="B813" s="445"/>
      <c r="C813" s="479"/>
      <c r="D813" s="479"/>
      <c r="E813" s="479"/>
      <c r="F813" s="479"/>
      <c r="G813" s="446"/>
      <c r="H813" s="445"/>
      <c r="I813" s="445"/>
      <c r="J813" s="445"/>
      <c r="K813" s="447"/>
      <c r="L813" s="448"/>
      <c r="M813" s="448"/>
      <c r="N813" s="445"/>
      <c r="O813" s="449"/>
      <c r="P813" s="450"/>
      <c r="Q813" s="451"/>
      <c r="R813" s="507"/>
      <c r="S813" s="508"/>
      <c r="T813" s="472"/>
      <c r="U813" s="448"/>
      <c r="W813" s="448"/>
    </row>
    <row r="814" spans="1:23" s="458" customFormat="1" ht="5.65" customHeight="1" x14ac:dyDescent="0.2">
      <c r="A814" s="444"/>
      <c r="B814" s="445"/>
      <c r="C814" s="479"/>
      <c r="D814" s="479"/>
      <c r="E814" s="479"/>
      <c r="F814" s="479"/>
      <c r="G814" s="446"/>
      <c r="H814" s="445"/>
      <c r="I814" s="445"/>
      <c r="J814" s="445"/>
      <c r="K814" s="447"/>
      <c r="L814" s="448"/>
      <c r="M814" s="448"/>
      <c r="N814" s="445"/>
      <c r="O814" s="449"/>
      <c r="P814" s="450"/>
      <c r="Q814" s="451"/>
      <c r="R814" s="507"/>
      <c r="S814" s="508"/>
      <c r="T814" s="472"/>
      <c r="U814" s="448"/>
      <c r="W814" s="448"/>
    </row>
    <row r="815" spans="1:23" s="458" customFormat="1" ht="5.65" customHeight="1" x14ac:dyDescent="0.2">
      <c r="A815" s="444"/>
      <c r="B815" s="445"/>
      <c r="C815" s="479"/>
      <c r="D815" s="479"/>
      <c r="E815" s="479"/>
      <c r="F815" s="479"/>
      <c r="G815" s="446"/>
      <c r="H815" s="445"/>
      <c r="I815" s="445"/>
      <c r="J815" s="445"/>
      <c r="K815" s="447"/>
      <c r="L815" s="448"/>
      <c r="M815" s="448"/>
      <c r="N815" s="445"/>
      <c r="O815" s="449"/>
      <c r="P815" s="450"/>
      <c r="Q815" s="451"/>
      <c r="R815" s="507"/>
      <c r="S815" s="508"/>
      <c r="T815" s="472"/>
      <c r="U815" s="448"/>
      <c r="W815" s="448"/>
    </row>
    <row r="816" spans="1:23" s="458" customFormat="1" ht="5.65" customHeight="1" x14ac:dyDescent="0.2">
      <c r="A816" s="444"/>
      <c r="B816" s="445"/>
      <c r="C816" s="479"/>
      <c r="D816" s="479"/>
      <c r="E816" s="479"/>
      <c r="F816" s="479"/>
      <c r="G816" s="446"/>
      <c r="H816" s="445"/>
      <c r="I816" s="445"/>
      <c r="J816" s="445"/>
      <c r="K816" s="447"/>
      <c r="L816" s="448"/>
      <c r="M816" s="448"/>
      <c r="N816" s="445"/>
      <c r="O816" s="449"/>
      <c r="P816" s="450"/>
      <c r="Q816" s="451"/>
      <c r="R816" s="507"/>
      <c r="S816" s="508"/>
      <c r="T816" s="472"/>
      <c r="U816" s="448"/>
      <c r="W816" s="448"/>
    </row>
    <row r="817" spans="1:23" s="458" customFormat="1" ht="5.65" customHeight="1" x14ac:dyDescent="0.2">
      <c r="A817" s="444"/>
      <c r="B817" s="445"/>
      <c r="C817" s="479"/>
      <c r="D817" s="479"/>
      <c r="E817" s="479"/>
      <c r="F817" s="479"/>
      <c r="G817" s="446"/>
      <c r="H817" s="445"/>
      <c r="I817" s="445"/>
      <c r="J817" s="445"/>
      <c r="K817" s="447"/>
      <c r="L817" s="448"/>
      <c r="M817" s="448"/>
      <c r="N817" s="445"/>
      <c r="O817" s="449"/>
      <c r="P817" s="450"/>
      <c r="Q817" s="451"/>
      <c r="R817" s="507"/>
      <c r="S817" s="508"/>
      <c r="T817" s="472"/>
      <c r="U817" s="448"/>
      <c r="W817" s="448"/>
    </row>
    <row r="818" spans="1:23" s="458" customFormat="1" ht="5.65" customHeight="1" x14ac:dyDescent="0.2">
      <c r="A818" s="444"/>
      <c r="B818" s="445"/>
      <c r="C818" s="479"/>
      <c r="D818" s="479"/>
      <c r="E818" s="479"/>
      <c r="F818" s="479"/>
      <c r="G818" s="446"/>
      <c r="H818" s="445"/>
      <c r="I818" s="445"/>
      <c r="J818" s="445"/>
      <c r="K818" s="447"/>
      <c r="L818" s="448"/>
      <c r="M818" s="448"/>
      <c r="N818" s="445"/>
      <c r="O818" s="449"/>
      <c r="P818" s="450"/>
      <c r="Q818" s="451"/>
      <c r="R818" s="507"/>
      <c r="S818" s="508"/>
      <c r="T818" s="472"/>
      <c r="U818" s="448"/>
      <c r="W818" s="448"/>
    </row>
    <row r="819" spans="1:23" s="458" customFormat="1" ht="5.65" customHeight="1" x14ac:dyDescent="0.2">
      <c r="A819" s="444"/>
      <c r="B819" s="445"/>
      <c r="C819" s="479"/>
      <c r="D819" s="479"/>
      <c r="E819" s="479"/>
      <c r="F819" s="479"/>
      <c r="G819" s="446"/>
      <c r="H819" s="445"/>
      <c r="I819" s="445"/>
      <c r="J819" s="445"/>
      <c r="K819" s="447"/>
      <c r="L819" s="448"/>
      <c r="M819" s="448"/>
      <c r="N819" s="445"/>
      <c r="O819" s="449"/>
      <c r="P819" s="450"/>
      <c r="Q819" s="451"/>
      <c r="R819" s="507"/>
      <c r="S819" s="508"/>
      <c r="T819" s="472"/>
      <c r="U819" s="448"/>
      <c r="W819" s="448"/>
    </row>
    <row r="820" spans="1:23" s="458" customFormat="1" ht="5.65" customHeight="1" x14ac:dyDescent="0.2">
      <c r="A820" s="444"/>
      <c r="B820" s="445"/>
      <c r="C820" s="479"/>
      <c r="D820" s="479"/>
      <c r="E820" s="479"/>
      <c r="F820" s="479"/>
      <c r="G820" s="446"/>
      <c r="H820" s="445"/>
      <c r="I820" s="445"/>
      <c r="J820" s="445"/>
      <c r="K820" s="447"/>
      <c r="L820" s="448"/>
      <c r="M820" s="448"/>
      <c r="N820" s="445"/>
      <c r="O820" s="449"/>
      <c r="P820" s="450"/>
      <c r="Q820" s="451"/>
      <c r="R820" s="507"/>
      <c r="S820" s="508"/>
      <c r="T820" s="472"/>
      <c r="U820" s="448"/>
      <c r="W820" s="448"/>
    </row>
    <row r="821" spans="1:23" s="458" customFormat="1" ht="5.65" customHeight="1" x14ac:dyDescent="0.2">
      <c r="A821" s="444"/>
      <c r="B821" s="445"/>
      <c r="C821" s="479"/>
      <c r="D821" s="479"/>
      <c r="E821" s="479"/>
      <c r="F821" s="479"/>
      <c r="G821" s="446"/>
      <c r="H821" s="445"/>
      <c r="I821" s="445"/>
      <c r="J821" s="445"/>
      <c r="K821" s="447"/>
      <c r="L821" s="448"/>
      <c r="M821" s="448"/>
      <c r="N821" s="445"/>
      <c r="O821" s="449"/>
      <c r="P821" s="450"/>
      <c r="Q821" s="451"/>
      <c r="R821" s="507"/>
      <c r="S821" s="508"/>
      <c r="T821" s="472"/>
      <c r="U821" s="448"/>
      <c r="W821" s="448"/>
    </row>
    <row r="822" spans="1:23" s="458" customFormat="1" ht="5.65" customHeight="1" x14ac:dyDescent="0.2">
      <c r="A822" s="444"/>
      <c r="B822" s="445"/>
      <c r="C822" s="479"/>
      <c r="D822" s="479"/>
      <c r="E822" s="479"/>
      <c r="F822" s="479"/>
      <c r="G822" s="446"/>
      <c r="H822" s="445"/>
      <c r="I822" s="445"/>
      <c r="J822" s="445"/>
      <c r="K822" s="447"/>
      <c r="L822" s="448"/>
      <c r="M822" s="448"/>
      <c r="N822" s="445"/>
      <c r="O822" s="449"/>
      <c r="P822" s="450"/>
      <c r="Q822" s="451"/>
      <c r="R822" s="507"/>
      <c r="S822" s="508"/>
      <c r="T822" s="472"/>
      <c r="U822" s="448"/>
      <c r="W822" s="448"/>
    </row>
    <row r="823" spans="1:23" s="458" customFormat="1" ht="5.65" customHeight="1" x14ac:dyDescent="0.2">
      <c r="A823" s="444"/>
      <c r="B823" s="445"/>
      <c r="C823" s="479"/>
      <c r="D823" s="479"/>
      <c r="E823" s="479"/>
      <c r="F823" s="479"/>
      <c r="G823" s="446"/>
      <c r="H823" s="445"/>
      <c r="I823" s="445"/>
      <c r="J823" s="445"/>
      <c r="K823" s="447"/>
      <c r="L823" s="448"/>
      <c r="M823" s="448"/>
      <c r="N823" s="445"/>
      <c r="O823" s="449"/>
      <c r="P823" s="450"/>
      <c r="Q823" s="451"/>
      <c r="R823" s="507"/>
      <c r="S823" s="508"/>
      <c r="T823" s="472"/>
      <c r="U823" s="448"/>
      <c r="W823" s="448"/>
    </row>
    <row r="824" spans="1:23" s="458" customFormat="1" ht="5.65" customHeight="1" x14ac:dyDescent="0.2">
      <c r="A824" s="444"/>
      <c r="B824" s="445"/>
      <c r="C824" s="479"/>
      <c r="D824" s="479"/>
      <c r="E824" s="479"/>
      <c r="F824" s="479"/>
      <c r="G824" s="446"/>
      <c r="H824" s="445"/>
      <c r="I824" s="445"/>
      <c r="J824" s="445"/>
      <c r="K824" s="447"/>
      <c r="L824" s="448"/>
      <c r="M824" s="448"/>
      <c r="N824" s="445"/>
      <c r="O824" s="449"/>
      <c r="P824" s="450"/>
      <c r="Q824" s="451"/>
      <c r="R824" s="507"/>
      <c r="S824" s="508"/>
      <c r="T824" s="472"/>
      <c r="U824" s="448"/>
      <c r="W824" s="448"/>
    </row>
    <row r="825" spans="1:23" s="458" customFormat="1" ht="5.65" customHeight="1" x14ac:dyDescent="0.2">
      <c r="A825" s="444"/>
      <c r="B825" s="445"/>
      <c r="C825" s="479"/>
      <c r="D825" s="479"/>
      <c r="E825" s="479"/>
      <c r="F825" s="479"/>
      <c r="G825" s="446"/>
      <c r="H825" s="445"/>
      <c r="I825" s="445"/>
      <c r="J825" s="445"/>
      <c r="K825" s="447"/>
      <c r="L825" s="448"/>
      <c r="M825" s="448"/>
      <c r="N825" s="445"/>
      <c r="O825" s="449"/>
      <c r="P825" s="450"/>
      <c r="Q825" s="451"/>
      <c r="R825" s="507"/>
      <c r="S825" s="508"/>
      <c r="T825" s="472"/>
      <c r="U825" s="448"/>
      <c r="W825" s="448"/>
    </row>
    <row r="826" spans="1:23" s="458" customFormat="1" ht="5.65" customHeight="1" x14ac:dyDescent="0.2">
      <c r="A826" s="444"/>
      <c r="B826" s="445"/>
      <c r="C826" s="479"/>
      <c r="D826" s="479"/>
      <c r="E826" s="479"/>
      <c r="F826" s="479"/>
      <c r="G826" s="446"/>
      <c r="H826" s="445"/>
      <c r="I826" s="445"/>
      <c r="J826" s="445"/>
      <c r="K826" s="447"/>
      <c r="L826" s="448"/>
      <c r="M826" s="448"/>
      <c r="N826" s="445"/>
      <c r="O826" s="449"/>
      <c r="P826" s="450"/>
      <c r="Q826" s="451"/>
      <c r="R826" s="507"/>
      <c r="S826" s="508"/>
      <c r="T826" s="472"/>
      <c r="U826" s="448"/>
      <c r="W826" s="448"/>
    </row>
    <row r="827" spans="1:23" s="458" customFormat="1" ht="5.65" customHeight="1" x14ac:dyDescent="0.2">
      <c r="A827" s="444"/>
      <c r="B827" s="445"/>
      <c r="C827" s="479"/>
      <c r="D827" s="479"/>
      <c r="E827" s="479"/>
      <c r="F827" s="479"/>
      <c r="G827" s="446"/>
      <c r="H827" s="445"/>
      <c r="I827" s="445"/>
      <c r="J827" s="445"/>
      <c r="K827" s="447"/>
      <c r="L827" s="448"/>
      <c r="M827" s="448"/>
      <c r="N827" s="445"/>
      <c r="O827" s="449"/>
      <c r="P827" s="450"/>
      <c r="Q827" s="451"/>
      <c r="R827" s="507"/>
      <c r="S827" s="508"/>
      <c r="T827" s="472"/>
      <c r="U827" s="448"/>
      <c r="W827" s="448"/>
    </row>
    <row r="828" spans="1:23" s="458" customFormat="1" ht="5.65" customHeight="1" x14ac:dyDescent="0.2">
      <c r="A828" s="444"/>
      <c r="B828" s="445"/>
      <c r="C828" s="479"/>
      <c r="D828" s="479"/>
      <c r="E828" s="479"/>
      <c r="F828" s="479"/>
      <c r="G828" s="446"/>
      <c r="H828" s="445"/>
      <c r="I828" s="445"/>
      <c r="J828" s="445"/>
      <c r="K828" s="447"/>
      <c r="L828" s="448"/>
      <c r="M828" s="448"/>
      <c r="N828" s="445"/>
      <c r="O828" s="449"/>
      <c r="P828" s="450"/>
      <c r="Q828" s="451"/>
      <c r="R828" s="507"/>
      <c r="S828" s="508"/>
      <c r="T828" s="472"/>
      <c r="U828" s="448"/>
      <c r="W828" s="448"/>
    </row>
    <row r="829" spans="1:23" s="458" customFormat="1" ht="5.65" customHeight="1" x14ac:dyDescent="0.2">
      <c r="A829" s="444"/>
      <c r="B829" s="445"/>
      <c r="C829" s="479"/>
      <c r="D829" s="479"/>
      <c r="E829" s="479"/>
      <c r="F829" s="479"/>
      <c r="G829" s="446"/>
      <c r="H829" s="445"/>
      <c r="I829" s="445"/>
      <c r="J829" s="445"/>
      <c r="K829" s="447"/>
      <c r="L829" s="448"/>
      <c r="M829" s="448"/>
      <c r="N829" s="445"/>
      <c r="O829" s="449"/>
      <c r="P829" s="450"/>
      <c r="Q829" s="451"/>
      <c r="R829" s="507"/>
      <c r="S829" s="508"/>
      <c r="T829" s="472"/>
      <c r="U829" s="448"/>
      <c r="W829" s="448"/>
    </row>
    <row r="830" spans="1:23" s="458" customFormat="1" ht="5.65" customHeight="1" x14ac:dyDescent="0.2">
      <c r="A830" s="444"/>
      <c r="B830" s="445"/>
      <c r="C830" s="479"/>
      <c r="D830" s="479"/>
      <c r="E830" s="479"/>
      <c r="F830" s="479"/>
      <c r="G830" s="446"/>
      <c r="H830" s="445"/>
      <c r="I830" s="445"/>
      <c r="J830" s="445"/>
      <c r="K830" s="447"/>
      <c r="L830" s="448"/>
      <c r="M830" s="448"/>
      <c r="N830" s="445"/>
      <c r="O830" s="449"/>
      <c r="P830" s="450"/>
      <c r="Q830" s="451"/>
      <c r="R830" s="507"/>
      <c r="S830" s="508"/>
      <c r="T830" s="472"/>
      <c r="U830" s="448"/>
      <c r="W830" s="448"/>
    </row>
    <row r="831" spans="1:23" s="458" customFormat="1" ht="5.65" customHeight="1" x14ac:dyDescent="0.2">
      <c r="A831" s="444"/>
      <c r="B831" s="445"/>
      <c r="C831" s="479"/>
      <c r="D831" s="479"/>
      <c r="E831" s="479"/>
      <c r="F831" s="479"/>
      <c r="G831" s="446"/>
      <c r="H831" s="445"/>
      <c r="I831" s="445"/>
      <c r="J831" s="445"/>
      <c r="K831" s="447"/>
      <c r="L831" s="448"/>
      <c r="M831" s="448"/>
      <c r="N831" s="445"/>
      <c r="O831" s="449"/>
      <c r="P831" s="450"/>
      <c r="Q831" s="451"/>
      <c r="R831" s="507"/>
      <c r="S831" s="508"/>
      <c r="T831" s="472"/>
      <c r="U831" s="448"/>
      <c r="W831" s="448"/>
    </row>
    <row r="832" spans="1:23" s="458" customFormat="1" ht="5.65" customHeight="1" x14ac:dyDescent="0.2">
      <c r="A832" s="444"/>
      <c r="B832" s="445"/>
      <c r="C832" s="479"/>
      <c r="D832" s="479"/>
      <c r="E832" s="479"/>
      <c r="F832" s="479"/>
      <c r="G832" s="446"/>
      <c r="H832" s="445"/>
      <c r="I832" s="445"/>
      <c r="J832" s="445"/>
      <c r="K832" s="447"/>
      <c r="L832" s="448"/>
      <c r="M832" s="448"/>
      <c r="N832" s="445"/>
      <c r="O832" s="449"/>
      <c r="P832" s="450"/>
      <c r="Q832" s="451"/>
      <c r="R832" s="507"/>
      <c r="S832" s="508"/>
      <c r="T832" s="472"/>
      <c r="U832" s="448"/>
      <c r="W832" s="448"/>
    </row>
    <row r="833" spans="1:23" s="458" customFormat="1" ht="5.65" customHeight="1" x14ac:dyDescent="0.2">
      <c r="A833" s="444"/>
      <c r="B833" s="445"/>
      <c r="C833" s="479"/>
      <c r="D833" s="479"/>
      <c r="E833" s="479"/>
      <c r="F833" s="479"/>
      <c r="G833" s="446"/>
      <c r="H833" s="445"/>
      <c r="I833" s="445"/>
      <c r="J833" s="445"/>
      <c r="K833" s="447"/>
      <c r="L833" s="448"/>
      <c r="M833" s="448"/>
      <c r="N833" s="445"/>
      <c r="O833" s="449"/>
      <c r="P833" s="450"/>
      <c r="Q833" s="451"/>
      <c r="R833" s="507"/>
      <c r="S833" s="508"/>
      <c r="T833" s="472"/>
      <c r="U833" s="448"/>
      <c r="W833" s="448"/>
    </row>
    <row r="834" spans="1:23" s="458" customFormat="1" ht="5.65" customHeight="1" x14ac:dyDescent="0.2">
      <c r="A834" s="444"/>
      <c r="B834" s="445"/>
      <c r="C834" s="479"/>
      <c r="D834" s="479"/>
      <c r="E834" s="479"/>
      <c r="F834" s="479"/>
      <c r="G834" s="446"/>
      <c r="H834" s="445"/>
      <c r="I834" s="445"/>
      <c r="J834" s="445"/>
      <c r="K834" s="447"/>
      <c r="L834" s="448"/>
      <c r="M834" s="448"/>
      <c r="N834" s="445"/>
      <c r="O834" s="449"/>
      <c r="P834" s="450"/>
      <c r="Q834" s="451"/>
      <c r="R834" s="507"/>
      <c r="S834" s="508"/>
      <c r="T834" s="472"/>
      <c r="U834" s="448"/>
      <c r="W834" s="448"/>
    </row>
    <row r="835" spans="1:23" s="458" customFormat="1" ht="5.65" customHeight="1" x14ac:dyDescent="0.2">
      <c r="A835" s="444"/>
      <c r="B835" s="445"/>
      <c r="C835" s="479"/>
      <c r="D835" s="479"/>
      <c r="E835" s="479"/>
      <c r="F835" s="479"/>
      <c r="G835" s="446"/>
      <c r="H835" s="445"/>
      <c r="I835" s="445"/>
      <c r="J835" s="445"/>
      <c r="K835" s="447"/>
      <c r="L835" s="448"/>
      <c r="M835" s="448"/>
      <c r="N835" s="445"/>
      <c r="O835" s="449"/>
      <c r="P835" s="450"/>
      <c r="Q835" s="451"/>
      <c r="R835" s="507"/>
      <c r="S835" s="508"/>
      <c r="T835" s="472"/>
      <c r="U835" s="448"/>
      <c r="W835" s="448"/>
    </row>
    <row r="836" spans="1:23" s="458" customFormat="1" ht="5.65" customHeight="1" x14ac:dyDescent="0.2">
      <c r="A836" s="444"/>
      <c r="B836" s="445"/>
      <c r="C836" s="479"/>
      <c r="D836" s="479"/>
      <c r="E836" s="479"/>
      <c r="F836" s="479"/>
      <c r="G836" s="446"/>
      <c r="H836" s="445"/>
      <c r="I836" s="445"/>
      <c r="J836" s="445"/>
      <c r="K836" s="447"/>
      <c r="L836" s="448"/>
      <c r="M836" s="448"/>
      <c r="N836" s="445"/>
      <c r="O836" s="449"/>
      <c r="P836" s="450"/>
      <c r="Q836" s="451"/>
      <c r="R836" s="507"/>
      <c r="S836" s="508"/>
      <c r="T836" s="472"/>
      <c r="U836" s="448"/>
      <c r="W836" s="448"/>
    </row>
    <row r="837" spans="1:23" s="458" customFormat="1" ht="5.65" customHeight="1" x14ac:dyDescent="0.2">
      <c r="A837" s="444"/>
      <c r="B837" s="445"/>
      <c r="C837" s="479"/>
      <c r="D837" s="479"/>
      <c r="E837" s="479"/>
      <c r="F837" s="479"/>
      <c r="G837" s="446"/>
      <c r="H837" s="445"/>
      <c r="I837" s="445"/>
      <c r="J837" s="445"/>
      <c r="K837" s="447"/>
      <c r="L837" s="448"/>
      <c r="M837" s="448"/>
      <c r="N837" s="445"/>
      <c r="O837" s="449"/>
      <c r="P837" s="450"/>
      <c r="Q837" s="451"/>
      <c r="R837" s="507"/>
      <c r="S837" s="508"/>
      <c r="T837" s="472"/>
      <c r="U837" s="448"/>
      <c r="W837" s="448"/>
    </row>
    <row r="838" spans="1:23" s="458" customFormat="1" ht="5.65" customHeight="1" x14ac:dyDescent="0.2">
      <c r="A838" s="444"/>
      <c r="B838" s="445"/>
      <c r="C838" s="479"/>
      <c r="D838" s="479"/>
      <c r="E838" s="479"/>
      <c r="F838" s="479"/>
      <c r="G838" s="446"/>
      <c r="H838" s="445"/>
      <c r="I838" s="445"/>
      <c r="J838" s="445"/>
      <c r="K838" s="447"/>
      <c r="L838" s="448"/>
      <c r="M838" s="448"/>
      <c r="N838" s="445"/>
      <c r="O838" s="449"/>
      <c r="P838" s="450"/>
      <c r="Q838" s="451"/>
      <c r="R838" s="507"/>
      <c r="S838" s="508"/>
      <c r="T838" s="472"/>
      <c r="U838" s="448"/>
      <c r="W838" s="448"/>
    </row>
    <row r="839" spans="1:23" s="458" customFormat="1" ht="5.65" customHeight="1" x14ac:dyDescent="0.2">
      <c r="A839" s="444"/>
      <c r="B839" s="445"/>
      <c r="C839" s="479"/>
      <c r="D839" s="479"/>
      <c r="E839" s="479"/>
      <c r="F839" s="479"/>
      <c r="G839" s="446"/>
      <c r="H839" s="445"/>
      <c r="I839" s="445"/>
      <c r="J839" s="445"/>
      <c r="K839" s="447"/>
      <c r="L839" s="448"/>
      <c r="M839" s="448"/>
      <c r="N839" s="445"/>
      <c r="O839" s="449"/>
      <c r="P839" s="450"/>
      <c r="Q839" s="451"/>
      <c r="R839" s="507"/>
      <c r="S839" s="508"/>
      <c r="T839" s="472"/>
      <c r="U839" s="448"/>
      <c r="W839" s="448"/>
    </row>
    <row r="840" spans="1:23" s="458" customFormat="1" ht="5.65" customHeight="1" x14ac:dyDescent="0.2">
      <c r="A840" s="444"/>
      <c r="B840" s="445"/>
      <c r="C840" s="479"/>
      <c r="D840" s="479"/>
      <c r="E840" s="479"/>
      <c r="F840" s="479"/>
      <c r="G840" s="446"/>
      <c r="H840" s="445"/>
      <c r="I840" s="445"/>
      <c r="J840" s="445"/>
      <c r="K840" s="447"/>
      <c r="L840" s="448"/>
      <c r="M840" s="448"/>
      <c r="N840" s="445"/>
      <c r="O840" s="449"/>
      <c r="P840" s="450"/>
      <c r="Q840" s="451"/>
      <c r="R840" s="507"/>
      <c r="S840" s="508"/>
      <c r="T840" s="472"/>
      <c r="U840" s="448"/>
      <c r="W840" s="448"/>
    </row>
    <row r="841" spans="1:23" s="458" customFormat="1" ht="5.65" customHeight="1" x14ac:dyDescent="0.2">
      <c r="A841" s="444"/>
      <c r="B841" s="445"/>
      <c r="C841" s="479"/>
      <c r="D841" s="479"/>
      <c r="E841" s="479"/>
      <c r="F841" s="479"/>
      <c r="G841" s="446"/>
      <c r="H841" s="445"/>
      <c r="I841" s="445"/>
      <c r="J841" s="445"/>
      <c r="K841" s="447"/>
      <c r="L841" s="448"/>
      <c r="M841" s="448"/>
      <c r="N841" s="445"/>
      <c r="O841" s="449"/>
      <c r="P841" s="450"/>
      <c r="Q841" s="451"/>
      <c r="R841" s="507"/>
      <c r="S841" s="508"/>
      <c r="T841" s="472"/>
      <c r="U841" s="448"/>
      <c r="W841" s="448"/>
    </row>
    <row r="842" spans="1:23" s="458" customFormat="1" ht="5.65" customHeight="1" x14ac:dyDescent="0.2">
      <c r="A842" s="444"/>
      <c r="B842" s="445"/>
      <c r="C842" s="479"/>
      <c r="D842" s="479"/>
      <c r="E842" s="479"/>
      <c r="F842" s="479"/>
      <c r="G842" s="446"/>
      <c r="H842" s="445"/>
      <c r="I842" s="445"/>
      <c r="J842" s="445"/>
      <c r="K842" s="447"/>
      <c r="L842" s="448"/>
      <c r="M842" s="448"/>
      <c r="N842" s="445"/>
      <c r="O842" s="449"/>
      <c r="P842" s="450"/>
      <c r="Q842" s="451"/>
      <c r="R842" s="507"/>
      <c r="S842" s="508"/>
      <c r="T842" s="472"/>
      <c r="U842" s="448"/>
      <c r="W842" s="448"/>
    </row>
    <row r="843" spans="1:23" s="458" customFormat="1" ht="5.65" customHeight="1" x14ac:dyDescent="0.2">
      <c r="A843" s="444"/>
      <c r="B843" s="445"/>
      <c r="C843" s="479"/>
      <c r="D843" s="479"/>
      <c r="E843" s="479"/>
      <c r="F843" s="479"/>
      <c r="G843" s="446"/>
      <c r="H843" s="445"/>
      <c r="I843" s="445"/>
      <c r="J843" s="445"/>
      <c r="K843" s="447"/>
      <c r="L843" s="448"/>
      <c r="M843" s="448"/>
      <c r="N843" s="445"/>
      <c r="O843" s="449"/>
      <c r="P843" s="450"/>
      <c r="Q843" s="451"/>
      <c r="R843" s="507"/>
      <c r="S843" s="508"/>
      <c r="T843" s="472"/>
      <c r="U843" s="448"/>
      <c r="W843" s="448"/>
    </row>
    <row r="844" spans="1:23" s="458" customFormat="1" ht="5.65" customHeight="1" x14ac:dyDescent="0.2">
      <c r="A844" s="444"/>
      <c r="B844" s="445"/>
      <c r="C844" s="479"/>
      <c r="D844" s="479"/>
      <c r="E844" s="479"/>
      <c r="F844" s="479"/>
      <c r="G844" s="446"/>
      <c r="H844" s="445"/>
      <c r="I844" s="445"/>
      <c r="J844" s="445"/>
      <c r="K844" s="447"/>
      <c r="L844" s="448"/>
      <c r="M844" s="448"/>
      <c r="N844" s="445"/>
      <c r="O844" s="449"/>
      <c r="P844" s="450"/>
      <c r="Q844" s="451"/>
      <c r="R844" s="507"/>
      <c r="S844" s="508"/>
      <c r="T844" s="472"/>
      <c r="U844" s="448"/>
      <c r="W844" s="448"/>
    </row>
    <row r="845" spans="1:23" s="458" customFormat="1" ht="5.65" customHeight="1" x14ac:dyDescent="0.2">
      <c r="A845" s="444"/>
      <c r="B845" s="445"/>
      <c r="C845" s="479"/>
      <c r="D845" s="479"/>
      <c r="E845" s="479"/>
      <c r="F845" s="479"/>
      <c r="G845" s="446"/>
      <c r="H845" s="445"/>
      <c r="I845" s="445"/>
      <c r="J845" s="445"/>
      <c r="K845" s="447"/>
      <c r="L845" s="448"/>
      <c r="M845" s="448"/>
      <c r="N845" s="445"/>
      <c r="O845" s="449"/>
      <c r="P845" s="450"/>
      <c r="Q845" s="451"/>
      <c r="R845" s="507"/>
      <c r="S845" s="508"/>
      <c r="T845" s="472"/>
      <c r="U845" s="448"/>
      <c r="W845" s="448"/>
    </row>
    <row r="846" spans="1:23" s="458" customFormat="1" ht="5.65" customHeight="1" x14ac:dyDescent="0.2">
      <c r="A846" s="444"/>
      <c r="B846" s="445"/>
      <c r="C846" s="479"/>
      <c r="D846" s="479"/>
      <c r="E846" s="479"/>
      <c r="F846" s="479"/>
      <c r="G846" s="446"/>
      <c r="H846" s="445"/>
      <c r="I846" s="445"/>
      <c r="J846" s="445"/>
      <c r="K846" s="447"/>
      <c r="L846" s="448"/>
      <c r="M846" s="448"/>
      <c r="N846" s="445"/>
      <c r="O846" s="449"/>
      <c r="P846" s="450"/>
      <c r="Q846" s="451"/>
      <c r="R846" s="507"/>
      <c r="S846" s="508"/>
      <c r="T846" s="472"/>
      <c r="U846" s="448"/>
      <c r="W846" s="448"/>
    </row>
    <row r="847" spans="1:23" s="458" customFormat="1" ht="5.65" customHeight="1" x14ac:dyDescent="0.2">
      <c r="A847" s="444"/>
      <c r="B847" s="445"/>
      <c r="C847" s="479"/>
      <c r="D847" s="479"/>
      <c r="E847" s="479"/>
      <c r="F847" s="479"/>
      <c r="G847" s="446"/>
      <c r="H847" s="445"/>
      <c r="I847" s="445"/>
      <c r="J847" s="445"/>
      <c r="K847" s="447"/>
      <c r="L847" s="448"/>
      <c r="M847" s="448"/>
      <c r="N847" s="445"/>
      <c r="O847" s="449"/>
      <c r="P847" s="450"/>
      <c r="Q847" s="451"/>
      <c r="R847" s="507"/>
      <c r="S847" s="508"/>
      <c r="T847" s="472"/>
      <c r="U847" s="448"/>
      <c r="W847" s="448"/>
    </row>
    <row r="848" spans="1:23" s="458" customFormat="1" ht="5.65" customHeight="1" x14ac:dyDescent="0.2">
      <c r="A848" s="444"/>
      <c r="B848" s="445"/>
      <c r="C848" s="479"/>
      <c r="D848" s="479"/>
      <c r="E848" s="479"/>
      <c r="F848" s="479"/>
      <c r="G848" s="446"/>
      <c r="H848" s="445"/>
      <c r="I848" s="445"/>
      <c r="J848" s="445"/>
      <c r="K848" s="447"/>
      <c r="L848" s="448"/>
      <c r="M848" s="448"/>
      <c r="N848" s="445"/>
      <c r="O848" s="449"/>
      <c r="P848" s="450"/>
      <c r="Q848" s="451"/>
      <c r="R848" s="507"/>
      <c r="S848" s="508"/>
      <c r="T848" s="472"/>
      <c r="U848" s="448"/>
      <c r="W848" s="448"/>
    </row>
    <row r="849" spans="1:23" s="458" customFormat="1" ht="5.65" customHeight="1" x14ac:dyDescent="0.2">
      <c r="A849" s="444"/>
      <c r="B849" s="445"/>
      <c r="C849" s="479"/>
      <c r="D849" s="479"/>
      <c r="E849" s="479"/>
      <c r="F849" s="479"/>
      <c r="G849" s="446"/>
      <c r="H849" s="445"/>
      <c r="I849" s="445"/>
      <c r="J849" s="445"/>
      <c r="K849" s="447"/>
      <c r="L849" s="448"/>
      <c r="M849" s="448"/>
      <c r="N849" s="445"/>
      <c r="O849" s="449"/>
      <c r="P849" s="450"/>
      <c r="Q849" s="451"/>
      <c r="R849" s="507"/>
      <c r="S849" s="508"/>
      <c r="T849" s="472"/>
      <c r="U849" s="448"/>
      <c r="W849" s="448"/>
    </row>
    <row r="850" spans="1:23" s="458" customFormat="1" ht="5.65" customHeight="1" x14ac:dyDescent="0.2">
      <c r="A850" s="444"/>
      <c r="B850" s="445"/>
      <c r="C850" s="479"/>
      <c r="D850" s="479"/>
      <c r="E850" s="479"/>
      <c r="F850" s="479"/>
      <c r="G850" s="446"/>
      <c r="H850" s="445"/>
      <c r="I850" s="445"/>
      <c r="J850" s="445"/>
      <c r="K850" s="447"/>
      <c r="L850" s="448"/>
      <c r="M850" s="448"/>
      <c r="N850" s="445"/>
      <c r="O850" s="449"/>
      <c r="P850" s="450"/>
      <c r="Q850" s="451"/>
      <c r="R850" s="507"/>
      <c r="S850" s="508"/>
      <c r="T850" s="472"/>
      <c r="U850" s="448"/>
      <c r="W850" s="448"/>
    </row>
    <row r="851" spans="1:23" s="458" customFormat="1" ht="5.65" customHeight="1" x14ac:dyDescent="0.2">
      <c r="A851" s="444"/>
      <c r="B851" s="445"/>
      <c r="C851" s="479"/>
      <c r="D851" s="479"/>
      <c r="E851" s="479"/>
      <c r="F851" s="479"/>
      <c r="G851" s="446"/>
      <c r="H851" s="445"/>
      <c r="I851" s="445"/>
      <c r="J851" s="445"/>
      <c r="K851" s="447"/>
      <c r="L851" s="448"/>
      <c r="M851" s="448"/>
      <c r="N851" s="445"/>
      <c r="O851" s="449"/>
      <c r="P851" s="450"/>
      <c r="Q851" s="451"/>
      <c r="R851" s="507"/>
      <c r="S851" s="508"/>
      <c r="T851" s="472"/>
      <c r="U851" s="448"/>
      <c r="W851" s="448"/>
    </row>
    <row r="852" spans="1:23" s="458" customFormat="1" ht="5.65" customHeight="1" x14ac:dyDescent="0.2">
      <c r="A852" s="444"/>
      <c r="B852" s="445"/>
      <c r="C852" s="479"/>
      <c r="D852" s="479"/>
      <c r="E852" s="479"/>
      <c r="F852" s="479"/>
      <c r="G852" s="446"/>
      <c r="H852" s="445"/>
      <c r="I852" s="445"/>
      <c r="J852" s="445"/>
      <c r="K852" s="447"/>
      <c r="L852" s="448"/>
      <c r="M852" s="448"/>
      <c r="N852" s="445"/>
      <c r="O852" s="449"/>
      <c r="P852" s="450"/>
      <c r="Q852" s="451"/>
      <c r="R852" s="507"/>
      <c r="S852" s="508"/>
      <c r="T852" s="472"/>
      <c r="U852" s="448"/>
      <c r="W852" s="448"/>
    </row>
    <row r="853" spans="1:23" s="458" customFormat="1" ht="5.65" customHeight="1" x14ac:dyDescent="0.2">
      <c r="A853" s="444"/>
      <c r="B853" s="445"/>
      <c r="C853" s="479"/>
      <c r="D853" s="479"/>
      <c r="E853" s="479"/>
      <c r="F853" s="479"/>
      <c r="G853" s="446"/>
      <c r="H853" s="445"/>
      <c r="I853" s="445"/>
      <c r="J853" s="445"/>
      <c r="K853" s="447"/>
      <c r="L853" s="448"/>
      <c r="M853" s="448"/>
      <c r="N853" s="445"/>
      <c r="O853" s="449"/>
      <c r="P853" s="450"/>
      <c r="Q853" s="451"/>
      <c r="R853" s="507"/>
      <c r="S853" s="508"/>
      <c r="T853" s="472"/>
      <c r="U853" s="448"/>
      <c r="W853" s="448"/>
    </row>
    <row r="854" spans="1:23" s="458" customFormat="1" ht="5.65" customHeight="1" x14ac:dyDescent="0.2">
      <c r="A854" s="444"/>
      <c r="B854" s="445"/>
      <c r="C854" s="479"/>
      <c r="D854" s="479"/>
      <c r="E854" s="479"/>
      <c r="F854" s="479"/>
      <c r="G854" s="446"/>
      <c r="H854" s="445"/>
      <c r="I854" s="445"/>
      <c r="J854" s="445"/>
      <c r="K854" s="447"/>
      <c r="L854" s="448"/>
      <c r="M854" s="448"/>
      <c r="N854" s="445"/>
      <c r="O854" s="449"/>
      <c r="P854" s="450"/>
      <c r="Q854" s="451"/>
      <c r="R854" s="507"/>
      <c r="S854" s="508"/>
      <c r="T854" s="472"/>
      <c r="U854" s="448"/>
      <c r="W854" s="448"/>
    </row>
    <row r="855" spans="1:23" s="458" customFormat="1" ht="5.65" customHeight="1" x14ac:dyDescent="0.2">
      <c r="A855" s="444"/>
      <c r="B855" s="445"/>
      <c r="C855" s="479"/>
      <c r="D855" s="479"/>
      <c r="E855" s="479"/>
      <c r="F855" s="479"/>
      <c r="G855" s="446"/>
      <c r="H855" s="445"/>
      <c r="I855" s="445"/>
      <c r="J855" s="445"/>
      <c r="K855" s="447"/>
      <c r="L855" s="448"/>
      <c r="M855" s="448"/>
      <c r="N855" s="445"/>
      <c r="O855" s="449"/>
      <c r="P855" s="450"/>
      <c r="Q855" s="451"/>
      <c r="R855" s="507"/>
      <c r="S855" s="508"/>
      <c r="T855" s="472"/>
      <c r="U855" s="448"/>
      <c r="W855" s="448"/>
    </row>
    <row r="856" spans="1:23" s="458" customFormat="1" ht="5.65" customHeight="1" x14ac:dyDescent="0.2">
      <c r="A856" s="444"/>
      <c r="B856" s="445"/>
      <c r="C856" s="479"/>
      <c r="D856" s="479"/>
      <c r="E856" s="479"/>
      <c r="F856" s="479"/>
      <c r="G856" s="446"/>
      <c r="H856" s="445"/>
      <c r="I856" s="445"/>
      <c r="J856" s="445"/>
      <c r="K856" s="447"/>
      <c r="L856" s="448"/>
      <c r="M856" s="448"/>
      <c r="N856" s="445"/>
      <c r="O856" s="449"/>
      <c r="P856" s="450"/>
      <c r="Q856" s="451"/>
      <c r="R856" s="507"/>
      <c r="S856" s="508"/>
      <c r="T856" s="472"/>
      <c r="U856" s="448"/>
      <c r="W856" s="448"/>
    </row>
    <row r="857" spans="1:23" s="458" customFormat="1" ht="5.65" customHeight="1" x14ac:dyDescent="0.2">
      <c r="A857" s="444"/>
      <c r="B857" s="445"/>
      <c r="C857" s="479"/>
      <c r="D857" s="479"/>
      <c r="E857" s="479"/>
      <c r="F857" s="479"/>
      <c r="G857" s="446"/>
      <c r="H857" s="445"/>
      <c r="I857" s="445"/>
      <c r="J857" s="445"/>
      <c r="K857" s="447"/>
      <c r="L857" s="448"/>
      <c r="M857" s="448"/>
      <c r="N857" s="445"/>
      <c r="O857" s="449"/>
      <c r="P857" s="450"/>
      <c r="Q857" s="451"/>
      <c r="R857" s="507"/>
      <c r="S857" s="508"/>
      <c r="T857" s="472"/>
      <c r="U857" s="448"/>
      <c r="W857" s="448"/>
    </row>
    <row r="858" spans="1:23" s="458" customFormat="1" ht="5.65" customHeight="1" x14ac:dyDescent="0.2">
      <c r="A858" s="444"/>
      <c r="B858" s="445"/>
      <c r="C858" s="479"/>
      <c r="D858" s="479"/>
      <c r="E858" s="479"/>
      <c r="F858" s="479"/>
      <c r="G858" s="446"/>
      <c r="H858" s="445"/>
      <c r="I858" s="445"/>
      <c r="J858" s="445"/>
      <c r="K858" s="447"/>
      <c r="L858" s="448"/>
      <c r="M858" s="448"/>
      <c r="N858" s="445"/>
      <c r="O858" s="449"/>
      <c r="P858" s="450"/>
      <c r="Q858" s="451"/>
      <c r="R858" s="507"/>
      <c r="S858" s="508"/>
      <c r="T858" s="472"/>
      <c r="U858" s="448"/>
      <c r="W858" s="448"/>
    </row>
    <row r="859" spans="1:23" s="458" customFormat="1" ht="5.65" customHeight="1" x14ac:dyDescent="0.2">
      <c r="A859" s="444"/>
      <c r="B859" s="445"/>
      <c r="C859" s="479"/>
      <c r="D859" s="479"/>
      <c r="E859" s="479"/>
      <c r="F859" s="479"/>
      <c r="G859" s="446"/>
      <c r="H859" s="445"/>
      <c r="I859" s="445"/>
      <c r="J859" s="445"/>
      <c r="K859" s="447"/>
      <c r="L859" s="448"/>
      <c r="M859" s="448"/>
      <c r="N859" s="445"/>
      <c r="O859" s="449"/>
      <c r="P859" s="450"/>
      <c r="Q859" s="451"/>
      <c r="R859" s="507"/>
      <c r="S859" s="508"/>
      <c r="T859" s="472"/>
      <c r="U859" s="448"/>
      <c r="W859" s="448"/>
    </row>
    <row r="860" spans="1:23" s="458" customFormat="1" ht="5.65" customHeight="1" x14ac:dyDescent="0.2">
      <c r="A860" s="444"/>
      <c r="B860" s="445"/>
      <c r="C860" s="479"/>
      <c r="D860" s="479"/>
      <c r="E860" s="479"/>
      <c r="F860" s="479"/>
      <c r="G860" s="446"/>
      <c r="H860" s="445"/>
      <c r="I860" s="445"/>
      <c r="J860" s="445"/>
      <c r="K860" s="447"/>
      <c r="L860" s="448"/>
      <c r="M860" s="448"/>
      <c r="N860" s="445"/>
      <c r="O860" s="449"/>
      <c r="P860" s="450"/>
      <c r="Q860" s="451"/>
      <c r="R860" s="507"/>
      <c r="S860" s="508"/>
      <c r="T860" s="472"/>
      <c r="U860" s="448"/>
      <c r="W860" s="448"/>
    </row>
    <row r="861" spans="1:23" s="458" customFormat="1" ht="5.65" customHeight="1" x14ac:dyDescent="0.2">
      <c r="A861" s="444"/>
      <c r="B861" s="445"/>
      <c r="C861" s="479"/>
      <c r="D861" s="479"/>
      <c r="E861" s="479"/>
      <c r="F861" s="479"/>
      <c r="G861" s="446"/>
      <c r="H861" s="445"/>
      <c r="I861" s="445"/>
      <c r="J861" s="445"/>
      <c r="K861" s="447"/>
      <c r="L861" s="448"/>
      <c r="M861" s="448"/>
      <c r="N861" s="445"/>
      <c r="O861" s="449"/>
      <c r="P861" s="450"/>
      <c r="Q861" s="451"/>
      <c r="R861" s="507"/>
      <c r="S861" s="508"/>
      <c r="T861" s="472"/>
      <c r="U861" s="448"/>
      <c r="W861" s="448"/>
    </row>
    <row r="862" spans="1:23" s="458" customFormat="1" ht="5.65" customHeight="1" x14ac:dyDescent="0.2">
      <c r="A862" s="444"/>
      <c r="B862" s="445"/>
      <c r="C862" s="479"/>
      <c r="D862" s="479"/>
      <c r="E862" s="479"/>
      <c r="F862" s="479"/>
      <c r="G862" s="446"/>
      <c r="H862" s="445"/>
      <c r="I862" s="445"/>
      <c r="J862" s="445"/>
      <c r="K862" s="447"/>
      <c r="L862" s="448"/>
      <c r="M862" s="448"/>
      <c r="N862" s="445"/>
      <c r="O862" s="449"/>
      <c r="P862" s="450"/>
      <c r="Q862" s="451"/>
      <c r="R862" s="507"/>
      <c r="S862" s="508"/>
      <c r="T862" s="472"/>
      <c r="U862" s="448"/>
      <c r="W862" s="448"/>
    </row>
    <row r="863" spans="1:23" s="458" customFormat="1" ht="5.65" customHeight="1" x14ac:dyDescent="0.2">
      <c r="A863" s="444"/>
      <c r="B863" s="445"/>
      <c r="C863" s="479"/>
      <c r="D863" s="479"/>
      <c r="E863" s="479"/>
      <c r="F863" s="479"/>
      <c r="G863" s="446"/>
      <c r="H863" s="445"/>
      <c r="I863" s="445"/>
      <c r="J863" s="445"/>
      <c r="K863" s="447"/>
      <c r="L863" s="448"/>
      <c r="M863" s="448"/>
      <c r="N863" s="445"/>
      <c r="O863" s="449"/>
      <c r="P863" s="450"/>
      <c r="Q863" s="451"/>
      <c r="R863" s="507"/>
      <c r="S863" s="508"/>
      <c r="T863" s="472"/>
      <c r="U863" s="448"/>
      <c r="W863" s="448"/>
    </row>
    <row r="864" spans="1:23" s="458" customFormat="1" ht="5.65" customHeight="1" x14ac:dyDescent="0.2">
      <c r="A864" s="444"/>
      <c r="B864" s="445"/>
      <c r="C864" s="479"/>
      <c r="D864" s="479"/>
      <c r="E864" s="479"/>
      <c r="F864" s="479"/>
      <c r="G864" s="446"/>
      <c r="H864" s="445"/>
      <c r="I864" s="445"/>
      <c r="J864" s="445"/>
      <c r="K864" s="447"/>
      <c r="L864" s="448"/>
      <c r="M864" s="448"/>
      <c r="N864" s="445"/>
      <c r="O864" s="449"/>
      <c r="P864" s="450"/>
      <c r="Q864" s="451"/>
      <c r="R864" s="507"/>
      <c r="S864" s="508"/>
      <c r="T864" s="472"/>
      <c r="U864" s="448"/>
      <c r="W864" s="448"/>
    </row>
    <row r="865" spans="1:23" s="458" customFormat="1" ht="5.65" customHeight="1" x14ac:dyDescent="0.2">
      <c r="A865" s="444"/>
      <c r="B865" s="445"/>
      <c r="C865" s="479"/>
      <c r="D865" s="479"/>
      <c r="E865" s="479"/>
      <c r="F865" s="479"/>
      <c r="G865" s="446"/>
      <c r="H865" s="445"/>
      <c r="I865" s="445"/>
      <c r="J865" s="445"/>
      <c r="K865" s="447"/>
      <c r="L865" s="448"/>
      <c r="M865" s="448"/>
      <c r="N865" s="445"/>
      <c r="O865" s="449"/>
      <c r="P865" s="450"/>
      <c r="Q865" s="451"/>
      <c r="R865" s="507"/>
      <c r="S865" s="508"/>
      <c r="T865" s="472"/>
      <c r="U865" s="448"/>
      <c r="W865" s="448"/>
    </row>
    <row r="866" spans="1:23" s="458" customFormat="1" ht="5.65" customHeight="1" x14ac:dyDescent="0.2">
      <c r="A866" s="444"/>
      <c r="B866" s="445"/>
      <c r="C866" s="479"/>
      <c r="D866" s="479"/>
      <c r="E866" s="479"/>
      <c r="F866" s="479"/>
      <c r="G866" s="446"/>
      <c r="H866" s="445"/>
      <c r="I866" s="445"/>
      <c r="J866" s="445"/>
      <c r="K866" s="447"/>
      <c r="L866" s="448"/>
      <c r="M866" s="448"/>
      <c r="N866" s="445"/>
      <c r="O866" s="449"/>
      <c r="P866" s="450"/>
      <c r="Q866" s="451"/>
      <c r="R866" s="507"/>
      <c r="S866" s="508"/>
      <c r="T866" s="472"/>
      <c r="U866" s="448"/>
      <c r="W866" s="448"/>
    </row>
    <row r="867" spans="1:23" s="458" customFormat="1" ht="5.65" customHeight="1" x14ac:dyDescent="0.2">
      <c r="A867" s="444"/>
      <c r="B867" s="445"/>
      <c r="C867" s="479"/>
      <c r="D867" s="479"/>
      <c r="E867" s="479"/>
      <c r="F867" s="479"/>
      <c r="G867" s="446"/>
      <c r="H867" s="445"/>
      <c r="I867" s="445"/>
      <c r="J867" s="445"/>
      <c r="K867" s="447"/>
      <c r="L867" s="448"/>
      <c r="M867" s="448"/>
      <c r="N867" s="445"/>
      <c r="O867" s="449"/>
      <c r="P867" s="450"/>
      <c r="Q867" s="451"/>
      <c r="R867" s="507"/>
      <c r="S867" s="508"/>
      <c r="T867" s="472"/>
      <c r="U867" s="448"/>
      <c r="W867" s="448"/>
    </row>
    <row r="868" spans="1:23" s="458" customFormat="1" ht="5.65" customHeight="1" x14ac:dyDescent="0.2">
      <c r="A868" s="444"/>
      <c r="B868" s="445"/>
      <c r="C868" s="479"/>
      <c r="D868" s="479"/>
      <c r="E868" s="479"/>
      <c r="F868" s="479"/>
      <c r="G868" s="446"/>
      <c r="H868" s="445"/>
      <c r="I868" s="445"/>
      <c r="J868" s="445"/>
      <c r="K868" s="447"/>
      <c r="L868" s="448"/>
      <c r="M868" s="448"/>
      <c r="N868" s="445"/>
      <c r="O868" s="449"/>
      <c r="P868" s="450"/>
      <c r="Q868" s="451"/>
      <c r="R868" s="507"/>
      <c r="S868" s="508"/>
      <c r="T868" s="472"/>
      <c r="U868" s="448"/>
      <c r="W868" s="448"/>
    </row>
    <row r="869" spans="1:23" s="458" customFormat="1" ht="5.65" customHeight="1" x14ac:dyDescent="0.2">
      <c r="A869" s="444"/>
      <c r="B869" s="445"/>
      <c r="C869" s="479"/>
      <c r="D869" s="479"/>
      <c r="E869" s="479"/>
      <c r="F869" s="479"/>
      <c r="G869" s="446"/>
      <c r="H869" s="445"/>
      <c r="I869" s="445"/>
      <c r="J869" s="445"/>
      <c r="K869" s="447"/>
      <c r="L869" s="448"/>
      <c r="M869" s="448"/>
      <c r="N869" s="445"/>
      <c r="O869" s="449"/>
      <c r="P869" s="450"/>
      <c r="Q869" s="451"/>
      <c r="R869" s="507"/>
      <c r="S869" s="508"/>
      <c r="T869" s="472"/>
      <c r="U869" s="448"/>
      <c r="W869" s="448"/>
    </row>
    <row r="870" spans="1:23" s="458" customFormat="1" ht="5.65" customHeight="1" x14ac:dyDescent="0.2">
      <c r="A870" s="444"/>
      <c r="B870" s="445"/>
      <c r="C870" s="479"/>
      <c r="D870" s="479"/>
      <c r="E870" s="479"/>
      <c r="F870" s="479"/>
      <c r="G870" s="446"/>
      <c r="H870" s="445"/>
      <c r="I870" s="445"/>
      <c r="J870" s="445"/>
      <c r="K870" s="447"/>
      <c r="L870" s="448"/>
      <c r="M870" s="448"/>
      <c r="N870" s="445"/>
      <c r="O870" s="449"/>
      <c r="P870" s="450"/>
      <c r="Q870" s="451"/>
      <c r="R870" s="507"/>
      <c r="S870" s="508"/>
      <c r="T870" s="472"/>
      <c r="U870" s="448"/>
      <c r="W870" s="448"/>
    </row>
    <row r="871" spans="1:23" s="458" customFormat="1" ht="5.65" customHeight="1" x14ac:dyDescent="0.2">
      <c r="A871" s="444"/>
      <c r="B871" s="445"/>
      <c r="C871" s="479"/>
      <c r="D871" s="479"/>
      <c r="E871" s="479"/>
      <c r="F871" s="479"/>
      <c r="G871" s="446"/>
      <c r="H871" s="445"/>
      <c r="I871" s="445"/>
      <c r="J871" s="445"/>
      <c r="K871" s="447"/>
      <c r="L871" s="448"/>
      <c r="M871" s="448"/>
      <c r="N871" s="445"/>
      <c r="O871" s="449"/>
      <c r="P871" s="450"/>
      <c r="Q871" s="451"/>
      <c r="R871" s="507"/>
      <c r="S871" s="508"/>
      <c r="T871" s="472"/>
      <c r="U871" s="448"/>
      <c r="W871" s="448"/>
    </row>
    <row r="872" spans="1:23" s="458" customFormat="1" ht="5.65" customHeight="1" x14ac:dyDescent="0.2">
      <c r="A872" s="444"/>
      <c r="B872" s="445"/>
      <c r="C872" s="479"/>
      <c r="D872" s="479"/>
      <c r="E872" s="479"/>
      <c r="F872" s="479"/>
      <c r="G872" s="446"/>
      <c r="H872" s="445"/>
      <c r="I872" s="445"/>
      <c r="J872" s="445"/>
      <c r="K872" s="447"/>
      <c r="L872" s="448"/>
      <c r="M872" s="448"/>
      <c r="N872" s="445"/>
      <c r="O872" s="449"/>
      <c r="P872" s="450"/>
      <c r="Q872" s="451"/>
      <c r="R872" s="507"/>
      <c r="S872" s="508"/>
      <c r="T872" s="472"/>
      <c r="U872" s="448"/>
      <c r="W872" s="448"/>
    </row>
    <row r="873" spans="1:23" s="458" customFormat="1" ht="5.65" customHeight="1" x14ac:dyDescent="0.2">
      <c r="A873" s="444"/>
      <c r="B873" s="445"/>
      <c r="C873" s="479"/>
      <c r="D873" s="479"/>
      <c r="E873" s="479"/>
      <c r="F873" s="479"/>
      <c r="G873" s="446"/>
      <c r="H873" s="445"/>
      <c r="I873" s="445"/>
      <c r="J873" s="445"/>
      <c r="K873" s="447"/>
      <c r="L873" s="448"/>
      <c r="M873" s="448"/>
      <c r="N873" s="445"/>
      <c r="O873" s="449"/>
      <c r="P873" s="450"/>
      <c r="Q873" s="451"/>
      <c r="R873" s="507"/>
      <c r="S873" s="508"/>
      <c r="T873" s="472"/>
      <c r="U873" s="448"/>
      <c r="W873" s="448"/>
    </row>
    <row r="874" spans="1:23" s="458" customFormat="1" ht="5.65" customHeight="1" x14ac:dyDescent="0.2">
      <c r="A874" s="444"/>
      <c r="B874" s="445"/>
      <c r="C874" s="479"/>
      <c r="D874" s="479"/>
      <c r="E874" s="479"/>
      <c r="F874" s="479"/>
      <c r="G874" s="446"/>
      <c r="H874" s="445"/>
      <c r="I874" s="445"/>
      <c r="J874" s="445"/>
      <c r="K874" s="447"/>
      <c r="L874" s="448"/>
      <c r="M874" s="448"/>
      <c r="N874" s="445"/>
      <c r="O874" s="449"/>
      <c r="P874" s="450"/>
      <c r="Q874" s="451"/>
      <c r="R874" s="507"/>
      <c r="S874" s="508"/>
      <c r="T874" s="472"/>
      <c r="U874" s="448"/>
      <c r="W874" s="448"/>
    </row>
    <row r="875" spans="1:23" s="458" customFormat="1" ht="5.65" customHeight="1" x14ac:dyDescent="0.2">
      <c r="A875" s="444"/>
      <c r="B875" s="445"/>
      <c r="C875" s="479"/>
      <c r="D875" s="479"/>
      <c r="E875" s="479"/>
      <c r="F875" s="479"/>
      <c r="G875" s="446"/>
      <c r="H875" s="445"/>
      <c r="I875" s="445"/>
      <c r="J875" s="445"/>
      <c r="K875" s="447"/>
      <c r="L875" s="448"/>
      <c r="M875" s="448"/>
      <c r="N875" s="445"/>
      <c r="O875" s="449"/>
      <c r="P875" s="450"/>
      <c r="Q875" s="451"/>
      <c r="R875" s="507"/>
      <c r="S875" s="508"/>
      <c r="T875" s="472"/>
      <c r="U875" s="448"/>
      <c r="W875" s="448"/>
    </row>
    <row r="876" spans="1:23" s="458" customFormat="1" ht="5.65" customHeight="1" x14ac:dyDescent="0.2">
      <c r="A876" s="444"/>
      <c r="B876" s="445"/>
      <c r="C876" s="479"/>
      <c r="D876" s="479"/>
      <c r="E876" s="479"/>
      <c r="F876" s="479"/>
      <c r="G876" s="446"/>
      <c r="H876" s="445"/>
      <c r="I876" s="445"/>
      <c r="J876" s="445"/>
      <c r="K876" s="447"/>
      <c r="L876" s="448"/>
      <c r="M876" s="448"/>
      <c r="N876" s="445"/>
      <c r="O876" s="449"/>
      <c r="P876" s="450"/>
      <c r="Q876" s="451"/>
      <c r="R876" s="507"/>
      <c r="S876" s="508"/>
      <c r="T876" s="472"/>
      <c r="U876" s="448"/>
      <c r="W876" s="448"/>
    </row>
    <row r="877" spans="1:23" s="458" customFormat="1" ht="5.65" customHeight="1" x14ac:dyDescent="0.2">
      <c r="A877" s="444"/>
      <c r="B877" s="445"/>
      <c r="C877" s="479"/>
      <c r="D877" s="479"/>
      <c r="E877" s="479"/>
      <c r="F877" s="479"/>
      <c r="G877" s="446"/>
      <c r="H877" s="445"/>
      <c r="I877" s="445"/>
      <c r="J877" s="445"/>
      <c r="K877" s="447"/>
      <c r="L877" s="448"/>
      <c r="M877" s="448"/>
      <c r="N877" s="445"/>
      <c r="O877" s="449"/>
      <c r="P877" s="450"/>
      <c r="Q877" s="451"/>
      <c r="R877" s="507"/>
      <c r="S877" s="508"/>
      <c r="T877" s="472"/>
      <c r="U877" s="448"/>
      <c r="W877" s="448"/>
    </row>
    <row r="878" spans="1:23" s="458" customFormat="1" ht="5.65" customHeight="1" x14ac:dyDescent="0.2">
      <c r="A878" s="444"/>
      <c r="B878" s="445"/>
      <c r="C878" s="479"/>
      <c r="D878" s="479"/>
      <c r="E878" s="479"/>
      <c r="F878" s="479"/>
      <c r="G878" s="446"/>
      <c r="H878" s="445"/>
      <c r="I878" s="445"/>
      <c r="J878" s="445"/>
      <c r="K878" s="447"/>
      <c r="L878" s="448"/>
      <c r="M878" s="448"/>
      <c r="N878" s="445"/>
      <c r="O878" s="449"/>
      <c r="P878" s="450"/>
      <c r="Q878" s="451"/>
      <c r="R878" s="507"/>
      <c r="S878" s="508"/>
      <c r="T878" s="472"/>
      <c r="U878" s="448"/>
      <c r="W878" s="448"/>
    </row>
    <row r="879" spans="1:23" s="458" customFormat="1" ht="5.65" customHeight="1" x14ac:dyDescent="0.2">
      <c r="A879" s="444"/>
      <c r="B879" s="445"/>
      <c r="C879" s="479"/>
      <c r="D879" s="479"/>
      <c r="E879" s="479"/>
      <c r="F879" s="479"/>
      <c r="G879" s="446"/>
      <c r="H879" s="445"/>
      <c r="I879" s="445"/>
      <c r="J879" s="445"/>
      <c r="K879" s="447"/>
      <c r="L879" s="448"/>
      <c r="M879" s="448"/>
      <c r="N879" s="445"/>
      <c r="O879" s="449"/>
      <c r="P879" s="450"/>
      <c r="Q879" s="451"/>
      <c r="R879" s="507"/>
      <c r="S879" s="508"/>
      <c r="T879" s="472"/>
      <c r="U879" s="448"/>
      <c r="W879" s="448"/>
    </row>
    <row r="880" spans="1:23" s="458" customFormat="1" ht="5.65" customHeight="1" x14ac:dyDescent="0.2">
      <c r="A880" s="444"/>
      <c r="B880" s="445"/>
      <c r="C880" s="479"/>
      <c r="D880" s="479"/>
      <c r="E880" s="479"/>
      <c r="F880" s="479"/>
      <c r="G880" s="446"/>
      <c r="H880" s="445"/>
      <c r="I880" s="445"/>
      <c r="J880" s="445"/>
      <c r="K880" s="447"/>
      <c r="L880" s="448"/>
      <c r="M880" s="448"/>
      <c r="N880" s="445"/>
      <c r="O880" s="449"/>
      <c r="P880" s="450"/>
      <c r="Q880" s="451"/>
      <c r="R880" s="507"/>
      <c r="S880" s="508"/>
      <c r="T880" s="472"/>
      <c r="U880" s="448"/>
      <c r="W880" s="448"/>
    </row>
    <row r="881" spans="1:23" s="458" customFormat="1" ht="5.65" customHeight="1" x14ac:dyDescent="0.2">
      <c r="A881" s="444"/>
      <c r="B881" s="445"/>
      <c r="C881" s="479"/>
      <c r="D881" s="479"/>
      <c r="E881" s="479"/>
      <c r="F881" s="479"/>
      <c r="G881" s="446"/>
      <c r="H881" s="445"/>
      <c r="I881" s="445"/>
      <c r="J881" s="445"/>
      <c r="K881" s="447"/>
      <c r="L881" s="448"/>
      <c r="M881" s="448"/>
      <c r="N881" s="445"/>
      <c r="O881" s="449"/>
      <c r="P881" s="450"/>
      <c r="Q881" s="451"/>
      <c r="R881" s="507"/>
      <c r="S881" s="508"/>
      <c r="T881" s="472"/>
      <c r="U881" s="448"/>
      <c r="W881" s="448"/>
    </row>
    <row r="882" spans="1:23" s="458" customFormat="1" ht="5.65" customHeight="1" x14ac:dyDescent="0.2">
      <c r="A882" s="444"/>
      <c r="B882" s="445"/>
      <c r="C882" s="479"/>
      <c r="D882" s="479"/>
      <c r="E882" s="479"/>
      <c r="F882" s="479"/>
      <c r="G882" s="446"/>
      <c r="H882" s="445"/>
      <c r="I882" s="445"/>
      <c r="J882" s="445"/>
      <c r="K882" s="447"/>
      <c r="L882" s="448"/>
      <c r="M882" s="448"/>
      <c r="N882" s="445"/>
      <c r="O882" s="449"/>
      <c r="P882" s="450"/>
      <c r="Q882" s="451"/>
      <c r="R882" s="507"/>
      <c r="S882" s="508"/>
      <c r="T882" s="472"/>
      <c r="U882" s="448"/>
      <c r="W882" s="448"/>
    </row>
    <row r="883" spans="1:23" s="458" customFormat="1" ht="5.65" customHeight="1" x14ac:dyDescent="0.2">
      <c r="A883" s="444"/>
      <c r="B883" s="445"/>
      <c r="C883" s="479"/>
      <c r="D883" s="479"/>
      <c r="E883" s="479"/>
      <c r="F883" s="479"/>
      <c r="G883" s="446"/>
      <c r="H883" s="445"/>
      <c r="I883" s="445"/>
      <c r="J883" s="445"/>
      <c r="K883" s="447"/>
      <c r="L883" s="448"/>
      <c r="M883" s="448"/>
      <c r="N883" s="445"/>
      <c r="O883" s="449"/>
      <c r="P883" s="450"/>
      <c r="Q883" s="451"/>
      <c r="R883" s="507"/>
      <c r="S883" s="508"/>
      <c r="T883" s="472"/>
      <c r="U883" s="448"/>
      <c r="W883" s="448"/>
    </row>
    <row r="884" spans="1:23" s="458" customFormat="1" ht="5.65" customHeight="1" x14ac:dyDescent="0.2">
      <c r="A884" s="444"/>
      <c r="B884" s="445"/>
      <c r="C884" s="479"/>
      <c r="D884" s="479"/>
      <c r="E884" s="479"/>
      <c r="F884" s="479"/>
      <c r="G884" s="446"/>
      <c r="H884" s="445"/>
      <c r="I884" s="445"/>
      <c r="J884" s="445"/>
      <c r="K884" s="447"/>
      <c r="L884" s="448"/>
      <c r="M884" s="448"/>
      <c r="N884" s="445"/>
      <c r="O884" s="449"/>
      <c r="P884" s="450"/>
      <c r="Q884" s="451"/>
      <c r="R884" s="507"/>
      <c r="S884" s="508"/>
      <c r="T884" s="472"/>
      <c r="U884" s="448"/>
      <c r="W884" s="448"/>
    </row>
    <row r="885" spans="1:23" s="458" customFormat="1" ht="5.65" customHeight="1" x14ac:dyDescent="0.2">
      <c r="A885" s="444"/>
      <c r="B885" s="445"/>
      <c r="C885" s="479"/>
      <c r="D885" s="479"/>
      <c r="E885" s="479"/>
      <c r="F885" s="479"/>
      <c r="G885" s="446"/>
      <c r="H885" s="445"/>
      <c r="I885" s="445"/>
      <c r="J885" s="445"/>
      <c r="K885" s="447"/>
      <c r="L885" s="448"/>
      <c r="M885" s="448"/>
      <c r="N885" s="445"/>
      <c r="O885" s="449"/>
      <c r="P885" s="450"/>
      <c r="Q885" s="451"/>
      <c r="R885" s="507"/>
      <c r="S885" s="508"/>
      <c r="T885" s="472"/>
      <c r="U885" s="448"/>
      <c r="W885" s="448"/>
    </row>
    <row r="886" spans="1:23" s="458" customFormat="1" ht="5.65" customHeight="1" x14ac:dyDescent="0.2">
      <c r="A886" s="444"/>
      <c r="B886" s="445"/>
      <c r="C886" s="479"/>
      <c r="D886" s="479"/>
      <c r="E886" s="479"/>
      <c r="F886" s="479"/>
      <c r="G886" s="446"/>
      <c r="H886" s="445"/>
      <c r="I886" s="445"/>
      <c r="J886" s="445"/>
      <c r="K886" s="447"/>
      <c r="L886" s="448"/>
      <c r="M886" s="448"/>
      <c r="N886" s="445"/>
      <c r="O886" s="449"/>
      <c r="P886" s="450"/>
      <c r="Q886" s="451"/>
      <c r="R886" s="507"/>
      <c r="S886" s="508"/>
      <c r="T886" s="472"/>
      <c r="U886" s="448"/>
      <c r="W886" s="448"/>
    </row>
    <row r="887" spans="1:23" s="458" customFormat="1" ht="5.65" customHeight="1" x14ac:dyDescent="0.2">
      <c r="A887" s="444"/>
      <c r="B887" s="445"/>
      <c r="C887" s="479"/>
      <c r="D887" s="479"/>
      <c r="E887" s="479"/>
      <c r="F887" s="479"/>
      <c r="G887" s="446"/>
      <c r="H887" s="445"/>
      <c r="I887" s="445"/>
      <c r="J887" s="445"/>
      <c r="K887" s="447"/>
      <c r="L887" s="448"/>
      <c r="M887" s="448"/>
      <c r="N887" s="445"/>
      <c r="O887" s="449"/>
      <c r="P887" s="450"/>
      <c r="Q887" s="451"/>
      <c r="R887" s="507"/>
      <c r="S887" s="508"/>
      <c r="T887" s="472"/>
      <c r="U887" s="448"/>
      <c r="W887" s="448"/>
    </row>
    <row r="888" spans="1:23" s="458" customFormat="1" ht="5.65" customHeight="1" x14ac:dyDescent="0.2">
      <c r="A888" s="444"/>
      <c r="B888" s="445"/>
      <c r="C888" s="479"/>
      <c r="D888" s="479"/>
      <c r="E888" s="479"/>
      <c r="F888" s="479"/>
      <c r="G888" s="446"/>
      <c r="H888" s="445"/>
      <c r="I888" s="445"/>
      <c r="J888" s="445"/>
      <c r="K888" s="447"/>
      <c r="L888" s="448"/>
      <c r="M888" s="448"/>
      <c r="N888" s="445"/>
      <c r="O888" s="449"/>
      <c r="P888" s="450"/>
      <c r="Q888" s="451"/>
      <c r="R888" s="507"/>
      <c r="S888" s="508"/>
      <c r="T888" s="472"/>
      <c r="U888" s="448"/>
      <c r="W888" s="448"/>
    </row>
    <row r="889" spans="1:23" s="458" customFormat="1" ht="5.65" customHeight="1" x14ac:dyDescent="0.2">
      <c r="A889" s="444"/>
      <c r="B889" s="445"/>
      <c r="C889" s="479"/>
      <c r="D889" s="479"/>
      <c r="E889" s="479"/>
      <c r="F889" s="479"/>
      <c r="G889" s="446"/>
      <c r="H889" s="445"/>
      <c r="I889" s="445"/>
      <c r="J889" s="445"/>
      <c r="K889" s="447"/>
      <c r="L889" s="448"/>
      <c r="M889" s="448"/>
      <c r="N889" s="445"/>
      <c r="O889" s="449"/>
      <c r="P889" s="450"/>
      <c r="Q889" s="451"/>
      <c r="R889" s="507"/>
      <c r="S889" s="508"/>
      <c r="T889" s="472"/>
      <c r="U889" s="448"/>
      <c r="W889" s="448"/>
    </row>
    <row r="890" spans="1:23" s="458" customFormat="1" ht="5.65" customHeight="1" x14ac:dyDescent="0.2">
      <c r="A890" s="444"/>
      <c r="B890" s="445"/>
      <c r="C890" s="479"/>
      <c r="D890" s="479"/>
      <c r="E890" s="479"/>
      <c r="F890" s="479"/>
      <c r="G890" s="446"/>
      <c r="H890" s="445"/>
      <c r="I890" s="445"/>
      <c r="J890" s="445"/>
      <c r="K890" s="447"/>
      <c r="L890" s="448"/>
      <c r="M890" s="448"/>
      <c r="N890" s="445"/>
      <c r="O890" s="449"/>
      <c r="P890" s="450"/>
      <c r="Q890" s="451"/>
      <c r="R890" s="507"/>
      <c r="S890" s="508"/>
      <c r="T890" s="472"/>
      <c r="U890" s="448"/>
      <c r="W890" s="448"/>
    </row>
    <row r="891" spans="1:23" s="458" customFormat="1" ht="5.65" customHeight="1" x14ac:dyDescent="0.2">
      <c r="A891" s="444"/>
      <c r="B891" s="445"/>
      <c r="C891" s="479"/>
      <c r="D891" s="479"/>
      <c r="E891" s="479"/>
      <c r="F891" s="479"/>
      <c r="G891" s="446"/>
      <c r="H891" s="445"/>
      <c r="I891" s="445"/>
      <c r="J891" s="445"/>
      <c r="K891" s="447"/>
      <c r="L891" s="448"/>
      <c r="M891" s="448"/>
      <c r="N891" s="445"/>
      <c r="O891" s="449"/>
      <c r="P891" s="450"/>
      <c r="Q891" s="451"/>
      <c r="R891" s="507"/>
      <c r="S891" s="508"/>
      <c r="T891" s="472"/>
      <c r="U891" s="448"/>
      <c r="W891" s="448"/>
    </row>
    <row r="892" spans="1:23" s="458" customFormat="1" ht="5.65" customHeight="1" x14ac:dyDescent="0.2">
      <c r="A892" s="444"/>
      <c r="B892" s="445"/>
      <c r="C892" s="479"/>
      <c r="D892" s="479"/>
      <c r="E892" s="479"/>
      <c r="F892" s="479"/>
      <c r="G892" s="446"/>
      <c r="H892" s="445"/>
      <c r="I892" s="445"/>
      <c r="J892" s="445"/>
      <c r="K892" s="447"/>
      <c r="L892" s="448"/>
      <c r="M892" s="448"/>
      <c r="N892" s="445"/>
      <c r="O892" s="449"/>
      <c r="P892" s="450"/>
      <c r="Q892" s="451"/>
      <c r="R892" s="507"/>
      <c r="S892" s="508"/>
      <c r="T892" s="472"/>
      <c r="U892" s="448"/>
      <c r="W892" s="448"/>
    </row>
    <row r="893" spans="1:23" s="458" customFormat="1" ht="5.65" customHeight="1" x14ac:dyDescent="0.2">
      <c r="A893" s="444"/>
      <c r="B893" s="445"/>
      <c r="C893" s="479"/>
      <c r="D893" s="479"/>
      <c r="E893" s="479"/>
      <c r="F893" s="479"/>
      <c r="G893" s="446"/>
      <c r="H893" s="445"/>
      <c r="I893" s="445"/>
      <c r="J893" s="445"/>
      <c r="K893" s="447"/>
      <c r="L893" s="448"/>
      <c r="M893" s="448"/>
      <c r="N893" s="445"/>
      <c r="O893" s="449"/>
      <c r="P893" s="450"/>
      <c r="Q893" s="451"/>
      <c r="R893" s="507"/>
      <c r="S893" s="508"/>
      <c r="T893" s="472"/>
      <c r="U893" s="448"/>
      <c r="W893" s="448"/>
    </row>
    <row r="894" spans="1:23" s="458" customFormat="1" ht="5.65" customHeight="1" x14ac:dyDescent="0.2">
      <c r="A894" s="444"/>
      <c r="B894" s="445"/>
      <c r="C894" s="479"/>
      <c r="D894" s="479"/>
      <c r="E894" s="479"/>
      <c r="F894" s="479"/>
      <c r="G894" s="446"/>
      <c r="H894" s="445"/>
      <c r="I894" s="445"/>
      <c r="J894" s="445"/>
      <c r="K894" s="447"/>
      <c r="L894" s="448"/>
      <c r="M894" s="448"/>
      <c r="N894" s="445"/>
      <c r="O894" s="449"/>
      <c r="P894" s="450"/>
      <c r="Q894" s="451"/>
      <c r="R894" s="507"/>
      <c r="S894" s="508"/>
      <c r="T894" s="472"/>
      <c r="U894" s="448"/>
      <c r="W894" s="448"/>
    </row>
    <row r="895" spans="1:23" s="458" customFormat="1" ht="5.65" customHeight="1" x14ac:dyDescent="0.2">
      <c r="A895" s="444"/>
      <c r="B895" s="445"/>
      <c r="C895" s="479"/>
      <c r="D895" s="479"/>
      <c r="E895" s="479"/>
      <c r="F895" s="479"/>
      <c r="G895" s="446"/>
      <c r="H895" s="445"/>
      <c r="I895" s="445"/>
      <c r="J895" s="445"/>
      <c r="K895" s="447"/>
      <c r="L895" s="448"/>
      <c r="M895" s="448"/>
      <c r="N895" s="445"/>
      <c r="O895" s="449"/>
      <c r="P895" s="450"/>
      <c r="Q895" s="451"/>
      <c r="R895" s="507"/>
      <c r="S895" s="508"/>
      <c r="T895" s="472"/>
      <c r="U895" s="448"/>
      <c r="W895" s="448"/>
    </row>
    <row r="896" spans="1:23" s="458" customFormat="1" ht="5.65" customHeight="1" x14ac:dyDescent="0.2">
      <c r="A896" s="444"/>
      <c r="B896" s="445"/>
      <c r="C896" s="479"/>
      <c r="D896" s="479"/>
      <c r="E896" s="479"/>
      <c r="F896" s="479"/>
      <c r="G896" s="446"/>
      <c r="H896" s="445"/>
      <c r="I896" s="445"/>
      <c r="J896" s="445"/>
      <c r="K896" s="447"/>
      <c r="L896" s="448"/>
      <c r="M896" s="448"/>
      <c r="N896" s="445"/>
      <c r="O896" s="449"/>
      <c r="P896" s="450"/>
      <c r="Q896" s="451"/>
      <c r="R896" s="507"/>
      <c r="S896" s="508"/>
      <c r="T896" s="472"/>
      <c r="U896" s="448"/>
      <c r="W896" s="448"/>
    </row>
    <row r="897" spans="1:23" s="458" customFormat="1" ht="5.65" customHeight="1" x14ac:dyDescent="0.2">
      <c r="A897" s="444"/>
      <c r="B897" s="445"/>
      <c r="C897" s="479"/>
      <c r="D897" s="479"/>
      <c r="E897" s="479"/>
      <c r="F897" s="479"/>
      <c r="G897" s="446"/>
      <c r="H897" s="445"/>
      <c r="I897" s="445"/>
      <c r="J897" s="445"/>
      <c r="K897" s="447"/>
      <c r="L897" s="448"/>
      <c r="M897" s="448"/>
      <c r="N897" s="445"/>
      <c r="O897" s="449"/>
      <c r="P897" s="450"/>
      <c r="Q897" s="451"/>
      <c r="R897" s="507"/>
      <c r="S897" s="508"/>
      <c r="T897" s="472"/>
      <c r="U897" s="448"/>
      <c r="W897" s="448"/>
    </row>
    <row r="898" spans="1:23" s="458" customFormat="1" ht="5.65" customHeight="1" x14ac:dyDescent="0.2">
      <c r="A898" s="444"/>
      <c r="B898" s="445"/>
      <c r="C898" s="479"/>
      <c r="D898" s="479"/>
      <c r="E898" s="479"/>
      <c r="F898" s="479"/>
      <c r="G898" s="446"/>
      <c r="H898" s="445"/>
      <c r="I898" s="445"/>
      <c r="J898" s="445"/>
      <c r="K898" s="447"/>
      <c r="L898" s="448"/>
      <c r="M898" s="448"/>
      <c r="N898" s="445"/>
      <c r="O898" s="449"/>
      <c r="P898" s="450"/>
      <c r="Q898" s="451"/>
      <c r="R898" s="507"/>
      <c r="S898" s="508"/>
      <c r="T898" s="472"/>
      <c r="U898" s="448"/>
      <c r="W898" s="448"/>
    </row>
    <row r="899" spans="1:23" s="458" customFormat="1" ht="5.65" customHeight="1" x14ac:dyDescent="0.2">
      <c r="A899" s="444"/>
      <c r="B899" s="445"/>
      <c r="C899" s="479"/>
      <c r="D899" s="479"/>
      <c r="E899" s="479"/>
      <c r="F899" s="479"/>
      <c r="G899" s="446"/>
      <c r="H899" s="445"/>
      <c r="I899" s="445"/>
      <c r="J899" s="445"/>
      <c r="K899" s="447"/>
      <c r="L899" s="448"/>
      <c r="M899" s="448"/>
      <c r="N899" s="445"/>
      <c r="O899" s="449"/>
      <c r="P899" s="450"/>
      <c r="Q899" s="451"/>
      <c r="R899" s="507"/>
      <c r="S899" s="508"/>
      <c r="T899" s="472"/>
      <c r="U899" s="448"/>
      <c r="W899" s="448"/>
    </row>
    <row r="900" spans="1:23" s="458" customFormat="1" ht="5.65" customHeight="1" x14ac:dyDescent="0.2">
      <c r="A900" s="444"/>
      <c r="B900" s="445"/>
      <c r="C900" s="479"/>
      <c r="D900" s="479"/>
      <c r="E900" s="479"/>
      <c r="F900" s="479"/>
      <c r="G900" s="446"/>
      <c r="H900" s="445"/>
      <c r="I900" s="445"/>
      <c r="J900" s="445"/>
      <c r="K900" s="447"/>
      <c r="L900" s="448"/>
      <c r="M900" s="448"/>
      <c r="N900" s="445"/>
      <c r="O900" s="449"/>
      <c r="P900" s="450"/>
      <c r="Q900" s="451"/>
      <c r="R900" s="507"/>
      <c r="S900" s="508"/>
      <c r="T900" s="472"/>
      <c r="U900" s="448"/>
      <c r="W900" s="448"/>
    </row>
    <row r="901" spans="1:23" s="458" customFormat="1" ht="5.65" customHeight="1" x14ac:dyDescent="0.2">
      <c r="A901" s="444"/>
      <c r="B901" s="445"/>
      <c r="C901" s="479"/>
      <c r="D901" s="479"/>
      <c r="E901" s="479"/>
      <c r="F901" s="479"/>
      <c r="G901" s="446"/>
      <c r="H901" s="445"/>
      <c r="I901" s="445"/>
      <c r="J901" s="445"/>
      <c r="K901" s="447"/>
      <c r="L901" s="448"/>
      <c r="M901" s="448"/>
      <c r="N901" s="445"/>
      <c r="O901" s="449"/>
      <c r="P901" s="450"/>
      <c r="Q901" s="451"/>
      <c r="R901" s="507"/>
      <c r="S901" s="508"/>
      <c r="T901" s="472"/>
      <c r="U901" s="448"/>
      <c r="W901" s="448"/>
    </row>
    <row r="902" spans="1:23" s="458" customFormat="1" ht="5.65" customHeight="1" x14ac:dyDescent="0.2">
      <c r="A902" s="444"/>
      <c r="B902" s="445"/>
      <c r="C902" s="479"/>
      <c r="D902" s="479"/>
      <c r="E902" s="479"/>
      <c r="F902" s="479"/>
      <c r="G902" s="446"/>
      <c r="H902" s="445"/>
      <c r="I902" s="445"/>
      <c r="J902" s="445"/>
      <c r="K902" s="447"/>
      <c r="L902" s="448"/>
      <c r="M902" s="448"/>
      <c r="N902" s="445"/>
      <c r="O902" s="449"/>
      <c r="P902" s="450"/>
      <c r="Q902" s="451"/>
      <c r="R902" s="507"/>
      <c r="S902" s="508"/>
      <c r="T902" s="472"/>
      <c r="U902" s="448"/>
      <c r="W902" s="448"/>
    </row>
    <row r="903" spans="1:23" s="458" customFormat="1" ht="5.65" customHeight="1" x14ac:dyDescent="0.2">
      <c r="A903" s="444"/>
      <c r="B903" s="445"/>
      <c r="C903" s="479"/>
      <c r="D903" s="479"/>
      <c r="E903" s="479"/>
      <c r="F903" s="479"/>
      <c r="G903" s="446"/>
      <c r="H903" s="445"/>
      <c r="I903" s="445"/>
      <c r="J903" s="445"/>
      <c r="K903" s="447"/>
      <c r="L903" s="448"/>
      <c r="M903" s="448"/>
      <c r="N903" s="445"/>
      <c r="O903" s="449"/>
      <c r="P903" s="450"/>
      <c r="Q903" s="451"/>
      <c r="R903" s="507"/>
      <c r="S903" s="508"/>
      <c r="T903" s="472"/>
      <c r="U903" s="448"/>
      <c r="W903" s="448"/>
    </row>
    <row r="904" spans="1:23" s="458" customFormat="1" ht="5.65" customHeight="1" x14ac:dyDescent="0.2">
      <c r="A904" s="444"/>
      <c r="B904" s="445"/>
      <c r="C904" s="479"/>
      <c r="D904" s="479"/>
      <c r="E904" s="479"/>
      <c r="F904" s="479"/>
      <c r="G904" s="446"/>
      <c r="H904" s="445"/>
      <c r="I904" s="445"/>
      <c r="J904" s="445"/>
      <c r="K904" s="447"/>
      <c r="L904" s="448"/>
      <c r="M904" s="448"/>
      <c r="N904" s="445"/>
      <c r="O904" s="449"/>
      <c r="P904" s="450"/>
      <c r="Q904" s="451"/>
      <c r="R904" s="507"/>
      <c r="S904" s="508"/>
      <c r="T904" s="472"/>
      <c r="U904" s="448"/>
      <c r="W904" s="448"/>
    </row>
    <row r="905" spans="1:23" s="458" customFormat="1" ht="5.65" customHeight="1" x14ac:dyDescent="0.2">
      <c r="A905" s="444"/>
      <c r="B905" s="445"/>
      <c r="C905" s="479"/>
      <c r="D905" s="479"/>
      <c r="E905" s="479"/>
      <c r="F905" s="479"/>
      <c r="G905" s="446"/>
      <c r="H905" s="445"/>
      <c r="I905" s="445"/>
      <c r="J905" s="445"/>
      <c r="K905" s="447"/>
      <c r="L905" s="448"/>
      <c r="M905" s="448"/>
      <c r="N905" s="445"/>
      <c r="O905" s="449"/>
      <c r="P905" s="450"/>
      <c r="Q905" s="451"/>
      <c r="R905" s="507"/>
      <c r="S905" s="508"/>
      <c r="T905" s="472"/>
      <c r="U905" s="448"/>
      <c r="W905" s="448"/>
    </row>
    <row r="906" spans="1:23" s="458" customFormat="1" ht="5.65" customHeight="1" x14ac:dyDescent="0.2">
      <c r="A906" s="444"/>
      <c r="B906" s="445"/>
      <c r="C906" s="479"/>
      <c r="D906" s="479"/>
      <c r="E906" s="479"/>
      <c r="F906" s="479"/>
      <c r="G906" s="446"/>
      <c r="H906" s="445"/>
      <c r="I906" s="445"/>
      <c r="J906" s="445"/>
      <c r="K906" s="447"/>
      <c r="L906" s="448"/>
      <c r="M906" s="448"/>
      <c r="N906" s="445"/>
      <c r="O906" s="449"/>
      <c r="P906" s="450"/>
      <c r="Q906" s="451"/>
      <c r="R906" s="507"/>
      <c r="S906" s="508"/>
      <c r="T906" s="472"/>
      <c r="U906" s="448"/>
      <c r="W906" s="448"/>
    </row>
    <row r="907" spans="1:23" s="458" customFormat="1" ht="5.65" customHeight="1" x14ac:dyDescent="0.2">
      <c r="A907" s="444"/>
      <c r="B907" s="445"/>
      <c r="C907" s="479"/>
      <c r="D907" s="479"/>
      <c r="E907" s="479"/>
      <c r="F907" s="479"/>
      <c r="G907" s="446"/>
      <c r="H907" s="445"/>
      <c r="I907" s="445"/>
      <c r="J907" s="445"/>
      <c r="K907" s="447"/>
      <c r="L907" s="448"/>
      <c r="M907" s="448"/>
      <c r="N907" s="445"/>
      <c r="O907" s="449"/>
      <c r="P907" s="450"/>
      <c r="Q907" s="451"/>
      <c r="R907" s="507"/>
      <c r="S907" s="508"/>
      <c r="T907" s="472"/>
      <c r="U907" s="448"/>
      <c r="W907" s="448"/>
    </row>
    <row r="908" spans="1:23" s="458" customFormat="1" ht="5.65" customHeight="1" x14ac:dyDescent="0.2">
      <c r="A908" s="444"/>
      <c r="B908" s="445"/>
      <c r="C908" s="479"/>
      <c r="D908" s="479"/>
      <c r="E908" s="479"/>
      <c r="F908" s="479"/>
      <c r="G908" s="446"/>
      <c r="H908" s="445"/>
      <c r="I908" s="445"/>
      <c r="J908" s="445"/>
      <c r="K908" s="447"/>
      <c r="L908" s="448"/>
      <c r="M908" s="448"/>
      <c r="N908" s="445"/>
      <c r="O908" s="449"/>
      <c r="P908" s="450"/>
      <c r="Q908" s="451"/>
      <c r="R908" s="507"/>
      <c r="S908" s="508"/>
      <c r="T908" s="472"/>
      <c r="U908" s="448"/>
      <c r="W908" s="448"/>
    </row>
    <row r="909" spans="1:23" s="458" customFormat="1" ht="5.65" customHeight="1" x14ac:dyDescent="0.2">
      <c r="A909" s="444"/>
      <c r="B909" s="445"/>
      <c r="C909" s="479"/>
      <c r="D909" s="479"/>
      <c r="E909" s="479"/>
      <c r="F909" s="479"/>
      <c r="G909" s="446"/>
      <c r="H909" s="445"/>
      <c r="I909" s="445"/>
      <c r="J909" s="445"/>
      <c r="K909" s="447"/>
      <c r="L909" s="448"/>
      <c r="M909" s="448"/>
      <c r="N909" s="445"/>
      <c r="O909" s="449"/>
      <c r="P909" s="450"/>
      <c r="Q909" s="451"/>
      <c r="R909" s="507"/>
      <c r="S909" s="508"/>
      <c r="T909" s="472"/>
      <c r="U909" s="448"/>
      <c r="W909" s="448"/>
    </row>
    <row r="910" spans="1:23" s="458" customFormat="1" ht="5.65" customHeight="1" x14ac:dyDescent="0.2">
      <c r="A910" s="444"/>
      <c r="B910" s="445"/>
      <c r="C910" s="479"/>
      <c r="D910" s="479"/>
      <c r="E910" s="479"/>
      <c r="F910" s="479"/>
      <c r="G910" s="446"/>
      <c r="H910" s="445"/>
      <c r="I910" s="445"/>
      <c r="J910" s="445"/>
      <c r="K910" s="447"/>
      <c r="L910" s="448"/>
      <c r="M910" s="448"/>
      <c r="N910" s="445"/>
      <c r="O910" s="449"/>
      <c r="P910" s="450"/>
      <c r="Q910" s="451"/>
      <c r="R910" s="507"/>
      <c r="S910" s="508"/>
      <c r="T910" s="472"/>
      <c r="U910" s="448"/>
      <c r="W910" s="448"/>
    </row>
    <row r="911" spans="1:23" s="458" customFormat="1" ht="5.65" customHeight="1" x14ac:dyDescent="0.2">
      <c r="A911" s="444"/>
      <c r="B911" s="445"/>
      <c r="C911" s="479"/>
      <c r="D911" s="479"/>
      <c r="E911" s="479"/>
      <c r="F911" s="479"/>
      <c r="G911" s="446"/>
      <c r="H911" s="445"/>
      <c r="I911" s="445"/>
      <c r="J911" s="445"/>
      <c r="K911" s="447"/>
      <c r="L911" s="448"/>
      <c r="M911" s="448"/>
      <c r="N911" s="445"/>
      <c r="O911" s="449"/>
      <c r="P911" s="450"/>
      <c r="Q911" s="451"/>
      <c r="R911" s="507"/>
      <c r="S911" s="508"/>
      <c r="T911" s="472"/>
      <c r="U911" s="448"/>
      <c r="W911" s="448"/>
    </row>
    <row r="912" spans="1:23" s="458" customFormat="1" ht="5.65" customHeight="1" x14ac:dyDescent="0.2">
      <c r="A912" s="444"/>
      <c r="B912" s="445"/>
      <c r="C912" s="479"/>
      <c r="D912" s="479"/>
      <c r="E912" s="479"/>
      <c r="F912" s="479"/>
      <c r="G912" s="446"/>
      <c r="H912" s="445"/>
      <c r="I912" s="445"/>
      <c r="J912" s="445"/>
      <c r="K912" s="447"/>
      <c r="L912" s="448"/>
      <c r="M912" s="448"/>
      <c r="N912" s="445"/>
      <c r="O912" s="449"/>
      <c r="P912" s="450"/>
      <c r="Q912" s="451"/>
      <c r="R912" s="507"/>
      <c r="S912" s="508"/>
      <c r="T912" s="472"/>
      <c r="U912" s="448"/>
      <c r="W912" s="448"/>
    </row>
    <row r="913" spans="1:23" s="458" customFormat="1" ht="5.65" customHeight="1" x14ac:dyDescent="0.2">
      <c r="A913" s="444"/>
      <c r="B913" s="445"/>
      <c r="C913" s="479"/>
      <c r="D913" s="479"/>
      <c r="E913" s="479"/>
      <c r="F913" s="479"/>
      <c r="G913" s="446"/>
      <c r="H913" s="445"/>
      <c r="I913" s="445"/>
      <c r="J913" s="445"/>
      <c r="K913" s="447"/>
      <c r="L913" s="448"/>
      <c r="M913" s="448"/>
      <c r="N913" s="445"/>
      <c r="O913" s="449"/>
      <c r="P913" s="450"/>
      <c r="Q913" s="451"/>
      <c r="R913" s="507"/>
      <c r="S913" s="508"/>
      <c r="T913" s="472"/>
      <c r="U913" s="448"/>
      <c r="W913" s="448"/>
    </row>
    <row r="914" spans="1:23" s="458" customFormat="1" ht="5.65" customHeight="1" x14ac:dyDescent="0.2">
      <c r="A914" s="444"/>
      <c r="B914" s="445"/>
      <c r="C914" s="479"/>
      <c r="D914" s="479"/>
      <c r="E914" s="479"/>
      <c r="F914" s="479"/>
      <c r="G914" s="446"/>
      <c r="H914" s="445"/>
      <c r="I914" s="445"/>
      <c r="J914" s="445"/>
      <c r="K914" s="447"/>
      <c r="L914" s="448"/>
      <c r="M914" s="448"/>
      <c r="N914" s="445"/>
      <c r="O914" s="449"/>
      <c r="P914" s="450"/>
      <c r="Q914" s="451"/>
      <c r="R914" s="507"/>
      <c r="S914" s="508"/>
      <c r="T914" s="472"/>
      <c r="U914" s="448"/>
      <c r="W914" s="448"/>
    </row>
    <row r="915" spans="1:23" s="458" customFormat="1" ht="5.65" customHeight="1" x14ac:dyDescent="0.2">
      <c r="A915" s="444"/>
      <c r="B915" s="445"/>
      <c r="C915" s="479"/>
      <c r="D915" s="479"/>
      <c r="E915" s="479"/>
      <c r="F915" s="479"/>
      <c r="G915" s="446"/>
      <c r="H915" s="445"/>
      <c r="I915" s="445"/>
      <c r="J915" s="445"/>
      <c r="K915" s="447"/>
      <c r="L915" s="448"/>
      <c r="M915" s="448"/>
      <c r="N915" s="445"/>
      <c r="O915" s="449"/>
      <c r="P915" s="450"/>
      <c r="Q915" s="451"/>
      <c r="R915" s="507"/>
      <c r="S915" s="508"/>
      <c r="T915" s="472"/>
      <c r="U915" s="448"/>
      <c r="W915" s="448"/>
    </row>
    <row r="916" spans="1:23" s="458" customFormat="1" ht="5.65" customHeight="1" x14ac:dyDescent="0.2">
      <c r="A916" s="444"/>
      <c r="B916" s="445"/>
      <c r="C916" s="479"/>
      <c r="D916" s="479"/>
      <c r="E916" s="479"/>
      <c r="F916" s="479"/>
      <c r="G916" s="446"/>
      <c r="H916" s="445"/>
      <c r="I916" s="445"/>
      <c r="J916" s="445"/>
      <c r="K916" s="447"/>
      <c r="L916" s="448"/>
      <c r="M916" s="448"/>
      <c r="N916" s="445"/>
      <c r="O916" s="449"/>
      <c r="P916" s="450"/>
      <c r="Q916" s="451"/>
      <c r="R916" s="507"/>
      <c r="S916" s="508"/>
      <c r="T916" s="472"/>
      <c r="U916" s="448"/>
      <c r="W916" s="448"/>
    </row>
    <row r="917" spans="1:23" s="458" customFormat="1" ht="5.65" customHeight="1" x14ac:dyDescent="0.2">
      <c r="A917" s="444"/>
      <c r="B917" s="445"/>
      <c r="C917" s="479"/>
      <c r="D917" s="479"/>
      <c r="E917" s="479"/>
      <c r="F917" s="479"/>
      <c r="G917" s="446"/>
      <c r="H917" s="445"/>
      <c r="I917" s="445"/>
      <c r="J917" s="445"/>
      <c r="K917" s="447"/>
      <c r="L917" s="448"/>
      <c r="M917" s="448"/>
      <c r="N917" s="445"/>
      <c r="O917" s="449"/>
      <c r="P917" s="450"/>
      <c r="Q917" s="451"/>
      <c r="R917" s="507"/>
      <c r="S917" s="508"/>
      <c r="T917" s="472"/>
      <c r="U917" s="448"/>
      <c r="W917" s="448"/>
    </row>
    <row r="918" spans="1:23" s="458" customFormat="1" ht="5.65" customHeight="1" x14ac:dyDescent="0.2">
      <c r="A918" s="444"/>
      <c r="B918" s="445"/>
      <c r="C918" s="479"/>
      <c r="D918" s="479"/>
      <c r="E918" s="479"/>
      <c r="F918" s="479"/>
      <c r="G918" s="446"/>
      <c r="H918" s="445"/>
      <c r="I918" s="445"/>
      <c r="J918" s="445"/>
      <c r="K918" s="447"/>
      <c r="L918" s="448"/>
      <c r="M918" s="448"/>
      <c r="N918" s="445"/>
      <c r="O918" s="449"/>
      <c r="P918" s="450"/>
      <c r="Q918" s="451"/>
      <c r="R918" s="507"/>
      <c r="S918" s="508"/>
      <c r="T918" s="472"/>
      <c r="U918" s="448"/>
      <c r="W918" s="448"/>
    </row>
    <row r="919" spans="1:23" s="458" customFormat="1" ht="5.65" customHeight="1" x14ac:dyDescent="0.2">
      <c r="A919" s="444"/>
      <c r="B919" s="445"/>
      <c r="C919" s="479"/>
      <c r="D919" s="479"/>
      <c r="E919" s="479"/>
      <c r="F919" s="479"/>
      <c r="G919" s="446"/>
      <c r="H919" s="445"/>
      <c r="I919" s="445"/>
      <c r="J919" s="445"/>
      <c r="K919" s="447"/>
      <c r="L919" s="448"/>
      <c r="M919" s="448"/>
      <c r="N919" s="445"/>
      <c r="O919" s="449"/>
      <c r="P919" s="450"/>
      <c r="Q919" s="451"/>
      <c r="R919" s="507"/>
      <c r="S919" s="508"/>
      <c r="T919" s="472"/>
      <c r="U919" s="448"/>
      <c r="W919" s="448"/>
    </row>
    <row r="920" spans="1:23" s="458" customFormat="1" ht="5.65" customHeight="1" x14ac:dyDescent="0.2">
      <c r="A920" s="444"/>
      <c r="B920" s="445"/>
      <c r="C920" s="479"/>
      <c r="D920" s="479"/>
      <c r="E920" s="479"/>
      <c r="F920" s="479"/>
      <c r="G920" s="446"/>
      <c r="H920" s="445"/>
      <c r="I920" s="445"/>
      <c r="J920" s="445"/>
      <c r="K920" s="447"/>
      <c r="L920" s="448"/>
      <c r="M920" s="448"/>
      <c r="N920" s="445"/>
      <c r="O920" s="449"/>
      <c r="P920" s="450"/>
      <c r="Q920" s="451"/>
      <c r="R920" s="507"/>
      <c r="S920" s="508"/>
      <c r="T920" s="472"/>
      <c r="U920" s="448"/>
      <c r="W920" s="448"/>
    </row>
    <row r="921" spans="1:23" s="458" customFormat="1" ht="5.65" customHeight="1" x14ac:dyDescent="0.2">
      <c r="A921" s="444"/>
      <c r="B921" s="445"/>
      <c r="C921" s="479"/>
      <c r="D921" s="479"/>
      <c r="E921" s="479"/>
      <c r="F921" s="479"/>
      <c r="G921" s="446"/>
      <c r="H921" s="445"/>
      <c r="I921" s="445"/>
      <c r="J921" s="445"/>
      <c r="K921" s="447"/>
      <c r="L921" s="448"/>
      <c r="M921" s="448"/>
      <c r="N921" s="445"/>
      <c r="O921" s="449"/>
      <c r="P921" s="450"/>
      <c r="Q921" s="451"/>
      <c r="R921" s="507"/>
      <c r="S921" s="508"/>
      <c r="T921" s="472"/>
      <c r="U921" s="448"/>
      <c r="W921" s="448"/>
    </row>
    <row r="922" spans="1:23" s="458" customFormat="1" ht="5.65" customHeight="1" x14ac:dyDescent="0.2">
      <c r="A922" s="444"/>
      <c r="B922" s="445"/>
      <c r="C922" s="479"/>
      <c r="D922" s="479"/>
      <c r="E922" s="479"/>
      <c r="F922" s="479"/>
      <c r="G922" s="446"/>
      <c r="H922" s="445"/>
      <c r="I922" s="445"/>
      <c r="J922" s="445"/>
      <c r="K922" s="447"/>
      <c r="L922" s="448"/>
      <c r="M922" s="448"/>
      <c r="N922" s="445"/>
      <c r="O922" s="449"/>
      <c r="P922" s="450"/>
      <c r="Q922" s="451"/>
      <c r="R922" s="507"/>
      <c r="S922" s="508"/>
      <c r="T922" s="472"/>
      <c r="U922" s="448"/>
      <c r="W922" s="448"/>
    </row>
    <row r="923" spans="1:23" s="458" customFormat="1" ht="5.65" customHeight="1" x14ac:dyDescent="0.2">
      <c r="A923" s="444"/>
      <c r="B923" s="445"/>
      <c r="C923" s="479"/>
      <c r="D923" s="479"/>
      <c r="E923" s="479"/>
      <c r="F923" s="479"/>
      <c r="G923" s="446"/>
      <c r="H923" s="445"/>
      <c r="I923" s="445"/>
      <c r="J923" s="445"/>
      <c r="K923" s="447"/>
      <c r="L923" s="448"/>
      <c r="M923" s="448"/>
      <c r="N923" s="445"/>
      <c r="O923" s="449"/>
      <c r="P923" s="450"/>
      <c r="Q923" s="451"/>
      <c r="R923" s="507"/>
      <c r="S923" s="508"/>
      <c r="T923" s="472"/>
      <c r="U923" s="448"/>
      <c r="W923" s="448"/>
    </row>
    <row r="924" spans="1:23" s="458" customFormat="1" ht="5.65" customHeight="1" x14ac:dyDescent="0.2">
      <c r="A924" s="444"/>
      <c r="B924" s="445"/>
      <c r="C924" s="479"/>
      <c r="D924" s="479"/>
      <c r="E924" s="479"/>
      <c r="F924" s="479"/>
      <c r="G924" s="446"/>
      <c r="H924" s="445"/>
      <c r="I924" s="445"/>
      <c r="J924" s="445"/>
      <c r="K924" s="447"/>
      <c r="L924" s="448"/>
      <c r="M924" s="448"/>
      <c r="N924" s="445"/>
      <c r="O924" s="449"/>
      <c r="P924" s="450"/>
      <c r="Q924" s="451"/>
      <c r="R924" s="507"/>
      <c r="S924" s="508"/>
      <c r="T924" s="472"/>
      <c r="U924" s="448"/>
      <c r="W924" s="448"/>
    </row>
    <row r="925" spans="1:23" s="458" customFormat="1" ht="5.65" customHeight="1" x14ac:dyDescent="0.2">
      <c r="A925" s="444"/>
      <c r="B925" s="445"/>
      <c r="C925" s="479"/>
      <c r="D925" s="479"/>
      <c r="E925" s="479"/>
      <c r="F925" s="479"/>
      <c r="G925" s="446"/>
      <c r="H925" s="445"/>
      <c r="I925" s="445"/>
      <c r="J925" s="445"/>
      <c r="K925" s="447"/>
      <c r="L925" s="448"/>
      <c r="M925" s="448"/>
      <c r="N925" s="445"/>
      <c r="O925" s="449"/>
      <c r="P925" s="450"/>
      <c r="Q925" s="451"/>
      <c r="R925" s="507"/>
      <c r="S925" s="508"/>
      <c r="T925" s="472"/>
      <c r="U925" s="448"/>
      <c r="W925" s="448"/>
    </row>
    <row r="926" spans="1:23" s="458" customFormat="1" ht="5.65" customHeight="1" x14ac:dyDescent="0.2">
      <c r="A926" s="444"/>
      <c r="B926" s="445"/>
      <c r="C926" s="479"/>
      <c r="D926" s="479"/>
      <c r="E926" s="479"/>
      <c r="F926" s="479"/>
      <c r="G926" s="446"/>
      <c r="H926" s="445"/>
      <c r="I926" s="445"/>
      <c r="J926" s="445"/>
      <c r="K926" s="447"/>
      <c r="L926" s="448"/>
      <c r="M926" s="448"/>
      <c r="N926" s="445"/>
      <c r="O926" s="449"/>
      <c r="P926" s="450"/>
      <c r="Q926" s="451"/>
      <c r="R926" s="507"/>
      <c r="S926" s="508"/>
      <c r="T926" s="472"/>
      <c r="U926" s="448"/>
      <c r="W926" s="448"/>
    </row>
    <row r="927" spans="1:23" s="458" customFormat="1" ht="5.65" customHeight="1" x14ac:dyDescent="0.2">
      <c r="A927" s="444"/>
      <c r="B927" s="445"/>
      <c r="C927" s="479"/>
      <c r="D927" s="479"/>
      <c r="E927" s="479"/>
      <c r="F927" s="479"/>
      <c r="G927" s="446"/>
      <c r="H927" s="445"/>
      <c r="I927" s="445"/>
      <c r="J927" s="445"/>
      <c r="K927" s="447"/>
      <c r="L927" s="448"/>
      <c r="M927" s="448"/>
      <c r="N927" s="445"/>
      <c r="O927" s="449"/>
      <c r="P927" s="450"/>
      <c r="Q927" s="451"/>
      <c r="R927" s="507"/>
      <c r="S927" s="508"/>
      <c r="T927" s="472"/>
      <c r="U927" s="448"/>
      <c r="W927" s="448"/>
    </row>
    <row r="928" spans="1:23" s="458" customFormat="1" ht="5.65" customHeight="1" x14ac:dyDescent="0.2">
      <c r="A928" s="444"/>
      <c r="B928" s="445"/>
      <c r="C928" s="479"/>
      <c r="D928" s="479"/>
      <c r="E928" s="479"/>
      <c r="F928" s="479"/>
      <c r="G928" s="446"/>
      <c r="H928" s="445"/>
      <c r="I928" s="445"/>
      <c r="J928" s="445"/>
      <c r="K928" s="447"/>
      <c r="L928" s="448"/>
      <c r="M928" s="448"/>
      <c r="N928" s="445"/>
      <c r="O928" s="449"/>
      <c r="P928" s="450"/>
      <c r="Q928" s="451"/>
      <c r="R928" s="507"/>
      <c r="S928" s="508"/>
      <c r="T928" s="472"/>
      <c r="U928" s="448"/>
      <c r="W928" s="448"/>
    </row>
    <row r="929" spans="1:23" s="458" customFormat="1" ht="5.65" customHeight="1" x14ac:dyDescent="0.2">
      <c r="A929" s="444"/>
      <c r="B929" s="445"/>
      <c r="C929" s="479"/>
      <c r="D929" s="479"/>
      <c r="E929" s="479"/>
      <c r="F929" s="479"/>
      <c r="G929" s="446"/>
      <c r="H929" s="445"/>
      <c r="I929" s="445"/>
      <c r="J929" s="445"/>
      <c r="K929" s="447"/>
      <c r="L929" s="448"/>
      <c r="M929" s="448"/>
      <c r="N929" s="445"/>
      <c r="O929" s="449"/>
      <c r="P929" s="450"/>
      <c r="Q929" s="451"/>
      <c r="R929" s="507"/>
      <c r="S929" s="508"/>
      <c r="T929" s="472"/>
      <c r="U929" s="448"/>
      <c r="W929" s="448"/>
    </row>
    <row r="930" spans="1:23" s="458" customFormat="1" ht="5.65" customHeight="1" x14ac:dyDescent="0.2">
      <c r="A930" s="444"/>
      <c r="B930" s="445"/>
      <c r="C930" s="479"/>
      <c r="D930" s="479"/>
      <c r="E930" s="479"/>
      <c r="F930" s="479"/>
      <c r="G930" s="446"/>
      <c r="H930" s="445"/>
      <c r="I930" s="445"/>
      <c r="J930" s="445"/>
      <c r="K930" s="447"/>
      <c r="L930" s="448"/>
      <c r="M930" s="448"/>
      <c r="N930" s="445"/>
      <c r="O930" s="449"/>
      <c r="P930" s="450"/>
      <c r="Q930" s="451"/>
      <c r="R930" s="507"/>
      <c r="S930" s="508"/>
      <c r="T930" s="472"/>
      <c r="U930" s="448"/>
      <c r="W930" s="448"/>
    </row>
    <row r="931" spans="1:23" s="458" customFormat="1" ht="5.65" customHeight="1" x14ac:dyDescent="0.2">
      <c r="A931" s="444"/>
      <c r="B931" s="445"/>
      <c r="C931" s="479"/>
      <c r="D931" s="479"/>
      <c r="E931" s="479"/>
      <c r="F931" s="479"/>
      <c r="G931" s="446"/>
      <c r="H931" s="445"/>
      <c r="I931" s="445"/>
      <c r="J931" s="445"/>
      <c r="K931" s="447"/>
      <c r="L931" s="448"/>
      <c r="M931" s="448"/>
      <c r="N931" s="445"/>
      <c r="O931" s="449"/>
      <c r="P931" s="450"/>
      <c r="Q931" s="451"/>
      <c r="R931" s="507"/>
      <c r="S931" s="508"/>
      <c r="T931" s="472"/>
      <c r="U931" s="448"/>
      <c r="W931" s="448"/>
    </row>
    <row r="932" spans="1:23" s="458" customFormat="1" ht="5.65" customHeight="1" x14ac:dyDescent="0.2">
      <c r="A932" s="444"/>
      <c r="B932" s="445"/>
      <c r="C932" s="479"/>
      <c r="D932" s="479"/>
      <c r="E932" s="479"/>
      <c r="F932" s="479"/>
      <c r="G932" s="446"/>
      <c r="H932" s="445"/>
      <c r="I932" s="445"/>
      <c r="J932" s="445"/>
      <c r="K932" s="447"/>
      <c r="L932" s="448"/>
      <c r="M932" s="448"/>
      <c r="N932" s="445"/>
      <c r="O932" s="449"/>
      <c r="P932" s="450"/>
      <c r="Q932" s="451"/>
      <c r="R932" s="507"/>
      <c r="S932" s="508"/>
      <c r="T932" s="472"/>
      <c r="U932" s="448"/>
      <c r="W932" s="448"/>
    </row>
    <row r="933" spans="1:23" s="458" customFormat="1" ht="5.65" customHeight="1" x14ac:dyDescent="0.2">
      <c r="A933" s="444"/>
      <c r="B933" s="445"/>
      <c r="C933" s="479"/>
      <c r="D933" s="479"/>
      <c r="E933" s="479"/>
      <c r="F933" s="479"/>
      <c r="G933" s="446"/>
      <c r="H933" s="445"/>
      <c r="I933" s="445"/>
      <c r="J933" s="445"/>
      <c r="K933" s="447"/>
      <c r="L933" s="448"/>
      <c r="M933" s="448"/>
      <c r="N933" s="445"/>
      <c r="O933" s="449"/>
      <c r="P933" s="450"/>
      <c r="Q933" s="451"/>
      <c r="R933" s="507"/>
      <c r="S933" s="508"/>
      <c r="T933" s="472"/>
      <c r="U933" s="448"/>
      <c r="W933" s="448"/>
    </row>
    <row r="934" spans="1:23" s="458" customFormat="1" ht="5.65" customHeight="1" x14ac:dyDescent="0.2">
      <c r="A934" s="444"/>
      <c r="B934" s="445"/>
      <c r="C934" s="479"/>
      <c r="D934" s="479"/>
      <c r="E934" s="479"/>
      <c r="F934" s="479"/>
      <c r="G934" s="446"/>
      <c r="H934" s="445"/>
      <c r="I934" s="445"/>
      <c r="J934" s="445"/>
      <c r="K934" s="447"/>
      <c r="L934" s="448"/>
      <c r="M934" s="448"/>
      <c r="N934" s="445"/>
      <c r="O934" s="449"/>
      <c r="P934" s="450"/>
      <c r="Q934" s="451"/>
      <c r="R934" s="507"/>
      <c r="S934" s="508"/>
      <c r="T934" s="472"/>
      <c r="U934" s="448"/>
      <c r="W934" s="448"/>
    </row>
    <row r="935" spans="1:23" s="458" customFormat="1" ht="5.65" customHeight="1" x14ac:dyDescent="0.2">
      <c r="A935" s="444"/>
      <c r="B935" s="445"/>
      <c r="C935" s="479"/>
      <c r="D935" s="479"/>
      <c r="E935" s="479"/>
      <c r="F935" s="479"/>
      <c r="G935" s="446"/>
      <c r="H935" s="445"/>
      <c r="I935" s="445"/>
      <c r="J935" s="445"/>
      <c r="K935" s="447"/>
      <c r="L935" s="448"/>
      <c r="M935" s="448"/>
      <c r="N935" s="445"/>
      <c r="O935" s="449"/>
      <c r="P935" s="450"/>
      <c r="Q935" s="451"/>
      <c r="R935" s="507"/>
      <c r="S935" s="508"/>
      <c r="T935" s="472"/>
      <c r="U935" s="448"/>
      <c r="W935" s="448"/>
    </row>
    <row r="936" spans="1:23" s="458" customFormat="1" ht="5.65" customHeight="1" x14ac:dyDescent="0.2">
      <c r="A936" s="444"/>
      <c r="B936" s="445"/>
      <c r="C936" s="479"/>
      <c r="D936" s="479"/>
      <c r="E936" s="479"/>
      <c r="F936" s="479"/>
      <c r="G936" s="446"/>
      <c r="H936" s="445"/>
      <c r="I936" s="445"/>
      <c r="J936" s="445"/>
      <c r="K936" s="447"/>
      <c r="L936" s="448"/>
      <c r="M936" s="448"/>
      <c r="N936" s="445"/>
      <c r="O936" s="449"/>
      <c r="P936" s="450"/>
      <c r="Q936" s="451"/>
      <c r="R936" s="507"/>
      <c r="S936" s="508"/>
      <c r="T936" s="472"/>
      <c r="U936" s="448"/>
      <c r="W936" s="448"/>
    </row>
    <row r="937" spans="1:23" s="458" customFormat="1" ht="5.65" customHeight="1" x14ac:dyDescent="0.2">
      <c r="A937" s="444"/>
      <c r="B937" s="445"/>
      <c r="C937" s="479"/>
      <c r="D937" s="479"/>
      <c r="E937" s="479"/>
      <c r="F937" s="479"/>
      <c r="G937" s="446"/>
      <c r="H937" s="445"/>
      <c r="I937" s="445"/>
      <c r="J937" s="445"/>
      <c r="K937" s="447"/>
      <c r="L937" s="448"/>
      <c r="M937" s="448"/>
      <c r="N937" s="445"/>
      <c r="O937" s="449"/>
      <c r="P937" s="450"/>
      <c r="Q937" s="451"/>
      <c r="R937" s="507"/>
      <c r="S937" s="508"/>
      <c r="T937" s="472"/>
      <c r="U937" s="448"/>
      <c r="W937" s="448"/>
    </row>
    <row r="938" spans="1:23" s="458" customFormat="1" ht="5.65" customHeight="1" x14ac:dyDescent="0.2">
      <c r="A938" s="444"/>
      <c r="B938" s="445"/>
      <c r="C938" s="479"/>
      <c r="D938" s="479"/>
      <c r="E938" s="479"/>
      <c r="F938" s="479"/>
      <c r="G938" s="446"/>
      <c r="H938" s="445"/>
      <c r="I938" s="445"/>
      <c r="J938" s="445"/>
      <c r="K938" s="447"/>
      <c r="L938" s="448"/>
      <c r="M938" s="448"/>
      <c r="N938" s="445"/>
      <c r="O938" s="449"/>
      <c r="P938" s="450"/>
      <c r="Q938" s="451"/>
      <c r="R938" s="507"/>
      <c r="S938" s="508"/>
      <c r="T938" s="472"/>
      <c r="U938" s="448"/>
      <c r="W938" s="448"/>
    </row>
    <row r="939" spans="1:23" s="458" customFormat="1" ht="5.65" customHeight="1" x14ac:dyDescent="0.2">
      <c r="A939" s="444"/>
      <c r="B939" s="445"/>
      <c r="C939" s="479"/>
      <c r="D939" s="479"/>
      <c r="E939" s="479"/>
      <c r="F939" s="479"/>
      <c r="G939" s="446"/>
      <c r="H939" s="445"/>
      <c r="I939" s="445"/>
      <c r="J939" s="445"/>
      <c r="K939" s="447"/>
      <c r="L939" s="448"/>
      <c r="M939" s="448"/>
      <c r="N939" s="445"/>
      <c r="O939" s="449"/>
      <c r="P939" s="450"/>
      <c r="Q939" s="451"/>
      <c r="R939" s="507"/>
      <c r="S939" s="508"/>
      <c r="T939" s="472"/>
      <c r="U939" s="448"/>
      <c r="W939" s="448"/>
    </row>
    <row r="940" spans="1:23" s="458" customFormat="1" ht="5.65" customHeight="1" x14ac:dyDescent="0.2">
      <c r="A940" s="444"/>
      <c r="B940" s="445"/>
      <c r="C940" s="479"/>
      <c r="D940" s="479"/>
      <c r="E940" s="479"/>
      <c r="F940" s="479"/>
      <c r="G940" s="446"/>
      <c r="H940" s="445"/>
      <c r="I940" s="445"/>
      <c r="J940" s="445"/>
      <c r="K940" s="447"/>
      <c r="L940" s="448"/>
      <c r="M940" s="448"/>
      <c r="N940" s="445"/>
      <c r="O940" s="449"/>
      <c r="P940" s="450"/>
      <c r="Q940" s="451"/>
      <c r="R940" s="507"/>
      <c r="S940" s="508"/>
      <c r="T940" s="472"/>
      <c r="U940" s="448"/>
      <c r="W940" s="448"/>
    </row>
    <row r="941" spans="1:23" s="458" customFormat="1" ht="5.65" customHeight="1" x14ac:dyDescent="0.2">
      <c r="A941" s="444"/>
      <c r="B941" s="445"/>
      <c r="C941" s="479"/>
      <c r="D941" s="479"/>
      <c r="E941" s="479"/>
      <c r="F941" s="479"/>
      <c r="G941" s="446"/>
      <c r="H941" s="445"/>
      <c r="I941" s="445"/>
      <c r="J941" s="445"/>
      <c r="K941" s="447"/>
      <c r="L941" s="448"/>
      <c r="M941" s="448"/>
      <c r="N941" s="445"/>
      <c r="O941" s="449"/>
      <c r="P941" s="450"/>
      <c r="Q941" s="451"/>
      <c r="R941" s="507"/>
      <c r="S941" s="508"/>
      <c r="T941" s="472"/>
      <c r="U941" s="448"/>
      <c r="W941" s="448"/>
    </row>
    <row r="942" spans="1:23" s="458" customFormat="1" ht="5.65" customHeight="1" x14ac:dyDescent="0.2">
      <c r="A942" s="444"/>
      <c r="B942" s="445"/>
      <c r="C942" s="479"/>
      <c r="D942" s="479"/>
      <c r="E942" s="479"/>
      <c r="F942" s="479"/>
      <c r="G942" s="446"/>
      <c r="H942" s="445"/>
      <c r="I942" s="445"/>
      <c r="J942" s="445"/>
      <c r="K942" s="447"/>
      <c r="L942" s="448"/>
      <c r="M942" s="448"/>
      <c r="N942" s="445"/>
      <c r="O942" s="449"/>
      <c r="P942" s="450"/>
      <c r="Q942" s="451"/>
      <c r="R942" s="507"/>
      <c r="S942" s="508"/>
      <c r="T942" s="472"/>
      <c r="U942" s="448"/>
      <c r="W942" s="448"/>
    </row>
    <row r="943" spans="1:23" s="458" customFormat="1" ht="5.65" customHeight="1" x14ac:dyDescent="0.2">
      <c r="A943" s="444"/>
      <c r="B943" s="445"/>
      <c r="C943" s="479"/>
      <c r="D943" s="479"/>
      <c r="E943" s="479"/>
      <c r="F943" s="479"/>
      <c r="G943" s="446"/>
      <c r="H943" s="445"/>
      <c r="I943" s="445"/>
      <c r="J943" s="445"/>
      <c r="K943" s="447"/>
      <c r="L943" s="448"/>
      <c r="M943" s="448"/>
      <c r="N943" s="445"/>
      <c r="O943" s="449"/>
      <c r="P943" s="450"/>
      <c r="Q943" s="451"/>
      <c r="R943" s="507"/>
      <c r="S943" s="508"/>
      <c r="T943" s="472"/>
      <c r="U943" s="448"/>
      <c r="W943" s="448"/>
    </row>
    <row r="944" spans="1:23" s="458" customFormat="1" ht="5.65" customHeight="1" x14ac:dyDescent="0.2">
      <c r="A944" s="444"/>
      <c r="B944" s="445"/>
      <c r="C944" s="479"/>
      <c r="D944" s="479"/>
      <c r="E944" s="479"/>
      <c r="F944" s="479"/>
      <c r="G944" s="446"/>
      <c r="H944" s="445"/>
      <c r="I944" s="445"/>
      <c r="J944" s="445"/>
      <c r="K944" s="447"/>
      <c r="L944" s="448"/>
      <c r="M944" s="448"/>
      <c r="N944" s="445"/>
      <c r="O944" s="449"/>
      <c r="P944" s="450"/>
      <c r="Q944" s="451"/>
      <c r="R944" s="507"/>
      <c r="S944" s="508"/>
      <c r="T944" s="472"/>
      <c r="U944" s="448"/>
      <c r="W944" s="448"/>
    </row>
    <row r="945" spans="1:23" s="458" customFormat="1" ht="5.65" customHeight="1" x14ac:dyDescent="0.2">
      <c r="A945" s="444"/>
      <c r="B945" s="445"/>
      <c r="C945" s="479"/>
      <c r="D945" s="479"/>
      <c r="E945" s="479"/>
      <c r="F945" s="479"/>
      <c r="G945" s="446"/>
      <c r="H945" s="445"/>
      <c r="I945" s="445"/>
      <c r="J945" s="445"/>
      <c r="K945" s="447"/>
      <c r="L945" s="448"/>
      <c r="M945" s="448"/>
      <c r="N945" s="445"/>
      <c r="O945" s="449"/>
      <c r="P945" s="450"/>
      <c r="Q945" s="451"/>
      <c r="R945" s="507"/>
      <c r="S945" s="508"/>
      <c r="T945" s="472"/>
      <c r="U945" s="448"/>
      <c r="W945" s="448"/>
    </row>
    <row r="946" spans="1:23" s="458" customFormat="1" ht="5.65" customHeight="1" x14ac:dyDescent="0.2">
      <c r="A946" s="444"/>
      <c r="B946" s="445"/>
      <c r="C946" s="479"/>
      <c r="D946" s="479"/>
      <c r="E946" s="479"/>
      <c r="F946" s="479"/>
      <c r="G946" s="446"/>
      <c r="H946" s="445"/>
      <c r="I946" s="445"/>
      <c r="J946" s="445"/>
      <c r="K946" s="447"/>
      <c r="L946" s="448"/>
      <c r="M946" s="448"/>
      <c r="N946" s="445"/>
      <c r="O946" s="449"/>
      <c r="P946" s="450"/>
      <c r="Q946" s="451"/>
      <c r="R946" s="507"/>
      <c r="S946" s="508"/>
      <c r="T946" s="472"/>
      <c r="U946" s="448"/>
      <c r="W946" s="448"/>
    </row>
    <row r="947" spans="1:23" s="458" customFormat="1" ht="5.65" customHeight="1" x14ac:dyDescent="0.2">
      <c r="A947" s="444"/>
      <c r="B947" s="445"/>
      <c r="C947" s="479"/>
      <c r="D947" s="479"/>
      <c r="E947" s="479"/>
      <c r="F947" s="479"/>
      <c r="G947" s="446"/>
      <c r="H947" s="445"/>
      <c r="I947" s="445"/>
      <c r="J947" s="445"/>
      <c r="K947" s="447"/>
      <c r="L947" s="448"/>
      <c r="M947" s="448"/>
      <c r="N947" s="445"/>
      <c r="O947" s="449"/>
      <c r="P947" s="450"/>
      <c r="Q947" s="451"/>
      <c r="R947" s="507"/>
      <c r="S947" s="508"/>
      <c r="T947" s="472"/>
      <c r="U947" s="448"/>
      <c r="W947" s="448"/>
    </row>
    <row r="948" spans="1:23" s="458" customFormat="1" ht="5.65" customHeight="1" x14ac:dyDescent="0.2">
      <c r="A948" s="444"/>
      <c r="B948" s="445"/>
      <c r="C948" s="479"/>
      <c r="D948" s="479"/>
      <c r="E948" s="479"/>
      <c r="F948" s="479"/>
      <c r="G948" s="446"/>
      <c r="H948" s="445"/>
      <c r="I948" s="445"/>
      <c r="J948" s="445"/>
      <c r="K948" s="447"/>
      <c r="L948" s="448"/>
      <c r="M948" s="448"/>
      <c r="N948" s="445"/>
      <c r="O948" s="449"/>
      <c r="P948" s="450"/>
      <c r="Q948" s="451"/>
      <c r="R948" s="507"/>
      <c r="S948" s="508"/>
      <c r="T948" s="472"/>
      <c r="U948" s="448"/>
      <c r="W948" s="448"/>
    </row>
    <row r="949" spans="1:23" s="458" customFormat="1" ht="5.65" customHeight="1" x14ac:dyDescent="0.2">
      <c r="A949" s="444"/>
      <c r="B949" s="445"/>
      <c r="C949" s="479"/>
      <c r="D949" s="479"/>
      <c r="E949" s="479"/>
      <c r="F949" s="479"/>
      <c r="G949" s="446"/>
      <c r="H949" s="445"/>
      <c r="I949" s="445"/>
      <c r="J949" s="445"/>
      <c r="K949" s="447"/>
      <c r="L949" s="448"/>
      <c r="M949" s="448"/>
      <c r="N949" s="445"/>
      <c r="O949" s="449"/>
      <c r="P949" s="450"/>
      <c r="Q949" s="451"/>
      <c r="R949" s="507"/>
      <c r="S949" s="508"/>
      <c r="T949" s="472"/>
      <c r="U949" s="448"/>
      <c r="W949" s="448"/>
    </row>
    <row r="950" spans="1:23" s="458" customFormat="1" ht="5.65" customHeight="1" x14ac:dyDescent="0.2">
      <c r="A950" s="444"/>
      <c r="B950" s="445"/>
      <c r="C950" s="479"/>
      <c r="D950" s="479"/>
      <c r="E950" s="479"/>
      <c r="F950" s="479"/>
      <c r="G950" s="446"/>
      <c r="H950" s="445"/>
      <c r="I950" s="445"/>
      <c r="J950" s="445"/>
      <c r="K950" s="447"/>
      <c r="L950" s="448"/>
      <c r="M950" s="448"/>
      <c r="N950" s="445"/>
      <c r="O950" s="449"/>
      <c r="P950" s="450"/>
      <c r="Q950" s="451"/>
      <c r="R950" s="507"/>
      <c r="S950" s="508"/>
      <c r="T950" s="472"/>
      <c r="U950" s="448"/>
      <c r="W950" s="448"/>
    </row>
    <row r="951" spans="1:23" s="458" customFormat="1" ht="5.65" customHeight="1" x14ac:dyDescent="0.2">
      <c r="A951" s="444"/>
      <c r="B951" s="445"/>
      <c r="C951" s="479"/>
      <c r="D951" s="479"/>
      <c r="E951" s="479"/>
      <c r="F951" s="479"/>
      <c r="G951" s="446"/>
      <c r="H951" s="445"/>
      <c r="I951" s="445"/>
      <c r="J951" s="445"/>
      <c r="K951" s="447"/>
      <c r="L951" s="448"/>
      <c r="M951" s="448"/>
      <c r="N951" s="445"/>
      <c r="O951" s="449"/>
      <c r="P951" s="450"/>
      <c r="Q951" s="451"/>
      <c r="R951" s="507"/>
      <c r="S951" s="508"/>
      <c r="T951" s="472"/>
      <c r="U951" s="448"/>
      <c r="W951" s="448"/>
    </row>
    <row r="952" spans="1:23" s="458" customFormat="1" ht="5.65" customHeight="1" x14ac:dyDescent="0.2">
      <c r="A952" s="444"/>
      <c r="B952" s="445"/>
      <c r="C952" s="479"/>
      <c r="D952" s="479"/>
      <c r="E952" s="479"/>
      <c r="F952" s="479"/>
      <c r="G952" s="446"/>
      <c r="H952" s="445"/>
      <c r="I952" s="445"/>
      <c r="J952" s="445"/>
      <c r="K952" s="447"/>
      <c r="L952" s="448"/>
      <c r="M952" s="448"/>
      <c r="N952" s="445"/>
      <c r="O952" s="449"/>
      <c r="P952" s="450"/>
      <c r="Q952" s="451"/>
      <c r="R952" s="507"/>
      <c r="S952" s="508"/>
      <c r="T952" s="472"/>
      <c r="U952" s="448"/>
      <c r="W952" s="448"/>
    </row>
    <row r="953" spans="1:23" s="458" customFormat="1" ht="5.65" customHeight="1" x14ac:dyDescent="0.2">
      <c r="A953" s="444"/>
      <c r="B953" s="445"/>
      <c r="C953" s="479"/>
      <c r="D953" s="479"/>
      <c r="E953" s="479"/>
      <c r="F953" s="479"/>
      <c r="G953" s="446"/>
      <c r="H953" s="445"/>
      <c r="I953" s="445"/>
      <c r="J953" s="445"/>
      <c r="K953" s="447"/>
      <c r="L953" s="448"/>
      <c r="M953" s="448"/>
      <c r="N953" s="445"/>
      <c r="O953" s="449"/>
      <c r="P953" s="450"/>
      <c r="Q953" s="451"/>
      <c r="R953" s="507"/>
      <c r="S953" s="508"/>
      <c r="T953" s="472"/>
      <c r="U953" s="448"/>
      <c r="W953" s="448"/>
    </row>
    <row r="954" spans="1:23" s="458" customFormat="1" ht="5.65" customHeight="1" x14ac:dyDescent="0.2">
      <c r="A954" s="444"/>
      <c r="B954" s="445"/>
      <c r="C954" s="479"/>
      <c r="D954" s="479"/>
      <c r="E954" s="479"/>
      <c r="F954" s="479"/>
      <c r="G954" s="446"/>
      <c r="H954" s="445"/>
      <c r="I954" s="445"/>
      <c r="J954" s="445"/>
      <c r="K954" s="447"/>
      <c r="L954" s="448"/>
      <c r="M954" s="448"/>
      <c r="N954" s="445"/>
      <c r="O954" s="449"/>
      <c r="P954" s="450"/>
      <c r="Q954" s="451"/>
      <c r="R954" s="507"/>
      <c r="S954" s="508"/>
      <c r="T954" s="472"/>
      <c r="U954" s="448"/>
      <c r="W954" s="448"/>
    </row>
    <row r="955" spans="1:23" s="458" customFormat="1" ht="5.65" customHeight="1" x14ac:dyDescent="0.2">
      <c r="A955" s="444"/>
      <c r="B955" s="445"/>
      <c r="C955" s="479"/>
      <c r="D955" s="479"/>
      <c r="E955" s="479"/>
      <c r="F955" s="479"/>
      <c r="G955" s="446"/>
      <c r="H955" s="445"/>
      <c r="I955" s="445"/>
      <c r="J955" s="445"/>
      <c r="K955" s="447"/>
      <c r="L955" s="448"/>
      <c r="M955" s="448"/>
      <c r="N955" s="445"/>
      <c r="O955" s="449"/>
      <c r="P955" s="450"/>
      <c r="Q955" s="451"/>
      <c r="R955" s="507"/>
      <c r="S955" s="508"/>
      <c r="T955" s="472"/>
      <c r="U955" s="448"/>
      <c r="W955" s="448"/>
    </row>
    <row r="956" spans="1:23" s="458" customFormat="1" ht="5.65" customHeight="1" x14ac:dyDescent="0.2">
      <c r="A956" s="444"/>
      <c r="B956" s="445"/>
      <c r="C956" s="479"/>
      <c r="D956" s="479"/>
      <c r="E956" s="479"/>
      <c r="F956" s="479"/>
      <c r="G956" s="446"/>
      <c r="H956" s="445"/>
      <c r="I956" s="445"/>
      <c r="J956" s="445"/>
      <c r="K956" s="447"/>
      <c r="L956" s="448"/>
      <c r="M956" s="448"/>
      <c r="N956" s="445"/>
      <c r="O956" s="449"/>
      <c r="P956" s="450"/>
      <c r="Q956" s="451"/>
      <c r="R956" s="507"/>
      <c r="S956" s="508"/>
      <c r="T956" s="472"/>
      <c r="U956" s="448"/>
      <c r="W956" s="448"/>
    </row>
    <row r="957" spans="1:23" s="458" customFormat="1" ht="5.65" customHeight="1" x14ac:dyDescent="0.2">
      <c r="A957" s="444"/>
      <c r="B957" s="445"/>
      <c r="C957" s="479"/>
      <c r="D957" s="479"/>
      <c r="E957" s="479"/>
      <c r="F957" s="479"/>
      <c r="G957" s="446"/>
      <c r="H957" s="445"/>
      <c r="I957" s="445"/>
      <c r="J957" s="445"/>
      <c r="K957" s="447"/>
      <c r="L957" s="448"/>
      <c r="M957" s="448"/>
      <c r="N957" s="445"/>
      <c r="O957" s="449"/>
      <c r="P957" s="450"/>
      <c r="Q957" s="451"/>
      <c r="R957" s="507"/>
      <c r="S957" s="508"/>
      <c r="T957" s="472"/>
      <c r="U957" s="448"/>
      <c r="W957" s="448"/>
    </row>
    <row r="958" spans="1:23" s="458" customFormat="1" ht="5.65" customHeight="1" x14ac:dyDescent="0.2">
      <c r="A958" s="444"/>
      <c r="B958" s="445"/>
      <c r="C958" s="479"/>
      <c r="D958" s="479"/>
      <c r="E958" s="479"/>
      <c r="F958" s="479"/>
      <c r="G958" s="446"/>
      <c r="H958" s="445"/>
      <c r="I958" s="445"/>
      <c r="J958" s="445"/>
      <c r="K958" s="447"/>
      <c r="L958" s="448"/>
      <c r="M958" s="448"/>
      <c r="N958" s="445"/>
      <c r="O958" s="449"/>
      <c r="P958" s="450"/>
      <c r="Q958" s="451"/>
      <c r="R958" s="507"/>
      <c r="S958" s="508"/>
      <c r="T958" s="472"/>
      <c r="U958" s="448"/>
      <c r="W958" s="448"/>
    </row>
    <row r="959" spans="1:23" s="458" customFormat="1" ht="5.65" customHeight="1" x14ac:dyDescent="0.2">
      <c r="A959" s="444"/>
      <c r="B959" s="445"/>
      <c r="C959" s="479"/>
      <c r="D959" s="479"/>
      <c r="E959" s="479"/>
      <c r="F959" s="479"/>
      <c r="G959" s="446"/>
      <c r="H959" s="445"/>
      <c r="I959" s="445"/>
      <c r="J959" s="445"/>
      <c r="K959" s="447"/>
      <c r="L959" s="448"/>
      <c r="M959" s="448"/>
      <c r="N959" s="445"/>
      <c r="O959" s="449"/>
      <c r="P959" s="450"/>
      <c r="Q959" s="451"/>
      <c r="R959" s="507"/>
      <c r="S959" s="508"/>
      <c r="T959" s="472"/>
      <c r="U959" s="448"/>
      <c r="W959" s="448"/>
    </row>
    <row r="960" spans="1:23" s="458" customFormat="1" ht="5.65" customHeight="1" x14ac:dyDescent="0.2">
      <c r="A960" s="444"/>
      <c r="B960" s="445"/>
      <c r="C960" s="479"/>
      <c r="D960" s="479"/>
      <c r="E960" s="479"/>
      <c r="F960" s="479"/>
      <c r="G960" s="446"/>
      <c r="H960" s="445"/>
      <c r="I960" s="445"/>
      <c r="J960" s="445"/>
      <c r="K960" s="447"/>
      <c r="L960" s="448"/>
      <c r="M960" s="448"/>
      <c r="N960" s="445"/>
      <c r="O960" s="449"/>
      <c r="P960" s="450"/>
      <c r="Q960" s="451"/>
      <c r="R960" s="507"/>
      <c r="S960" s="508"/>
      <c r="T960" s="472"/>
      <c r="U960" s="448"/>
      <c r="W960" s="448"/>
    </row>
    <row r="961" spans="1:23" s="458" customFormat="1" ht="5.65" customHeight="1" x14ac:dyDescent="0.2">
      <c r="A961" s="444"/>
      <c r="B961" s="445"/>
      <c r="C961" s="479"/>
      <c r="D961" s="479"/>
      <c r="E961" s="479"/>
      <c r="F961" s="479"/>
      <c r="G961" s="446"/>
      <c r="H961" s="445"/>
      <c r="I961" s="445"/>
      <c r="J961" s="445"/>
      <c r="K961" s="447"/>
      <c r="L961" s="448"/>
      <c r="M961" s="448"/>
      <c r="N961" s="445"/>
      <c r="O961" s="449"/>
      <c r="P961" s="450"/>
      <c r="Q961" s="451"/>
      <c r="R961" s="507"/>
      <c r="S961" s="508"/>
      <c r="T961" s="472"/>
      <c r="U961" s="448"/>
      <c r="W961" s="448"/>
    </row>
    <row r="962" spans="1:23" s="458" customFormat="1" ht="5.65" customHeight="1" x14ac:dyDescent="0.2">
      <c r="A962" s="444"/>
      <c r="B962" s="445"/>
      <c r="C962" s="479"/>
      <c r="D962" s="479"/>
      <c r="E962" s="479"/>
      <c r="F962" s="479"/>
      <c r="G962" s="446"/>
      <c r="H962" s="445"/>
      <c r="I962" s="445"/>
      <c r="J962" s="445"/>
      <c r="K962" s="447"/>
      <c r="L962" s="448"/>
      <c r="M962" s="448"/>
      <c r="N962" s="445"/>
      <c r="O962" s="449"/>
      <c r="P962" s="450"/>
      <c r="Q962" s="451"/>
      <c r="R962" s="507"/>
      <c r="S962" s="508"/>
      <c r="T962" s="472"/>
      <c r="U962" s="448"/>
      <c r="W962" s="448"/>
    </row>
    <row r="963" spans="1:23" s="458" customFormat="1" ht="5.65" customHeight="1" x14ac:dyDescent="0.2">
      <c r="A963" s="444"/>
      <c r="B963" s="445"/>
      <c r="C963" s="479"/>
      <c r="D963" s="479"/>
      <c r="E963" s="479"/>
      <c r="F963" s="479"/>
      <c r="G963" s="446"/>
      <c r="H963" s="445"/>
      <c r="I963" s="445"/>
      <c r="J963" s="445"/>
      <c r="K963" s="447"/>
      <c r="L963" s="448"/>
      <c r="M963" s="448"/>
      <c r="N963" s="445"/>
      <c r="O963" s="449"/>
      <c r="P963" s="450"/>
      <c r="Q963" s="451"/>
      <c r="R963" s="507"/>
      <c r="S963" s="508"/>
      <c r="T963" s="472"/>
      <c r="U963" s="448"/>
      <c r="W963" s="448"/>
    </row>
    <row r="964" spans="1:23" s="458" customFormat="1" ht="5.65" customHeight="1" x14ac:dyDescent="0.2">
      <c r="A964" s="444"/>
      <c r="B964" s="445"/>
      <c r="C964" s="479"/>
      <c r="D964" s="479"/>
      <c r="E964" s="479"/>
      <c r="F964" s="479"/>
      <c r="G964" s="446"/>
      <c r="H964" s="445"/>
      <c r="I964" s="445"/>
      <c r="J964" s="445"/>
      <c r="K964" s="447"/>
      <c r="L964" s="448"/>
      <c r="M964" s="448"/>
      <c r="N964" s="445"/>
      <c r="O964" s="449"/>
      <c r="P964" s="450"/>
      <c r="Q964" s="451"/>
      <c r="R964" s="507"/>
      <c r="S964" s="508"/>
      <c r="T964" s="472"/>
      <c r="U964" s="448"/>
      <c r="W964" s="448"/>
    </row>
    <row r="965" spans="1:23" s="458" customFormat="1" ht="5.65" customHeight="1" x14ac:dyDescent="0.2">
      <c r="A965" s="444"/>
      <c r="B965" s="445"/>
      <c r="C965" s="479"/>
      <c r="D965" s="479"/>
      <c r="E965" s="479"/>
      <c r="F965" s="479"/>
      <c r="G965" s="446"/>
      <c r="H965" s="445"/>
      <c r="I965" s="445"/>
      <c r="J965" s="445"/>
      <c r="K965" s="447"/>
      <c r="L965" s="448"/>
      <c r="M965" s="448"/>
      <c r="N965" s="445"/>
      <c r="O965" s="449"/>
      <c r="P965" s="450"/>
      <c r="Q965" s="451"/>
      <c r="R965" s="507"/>
      <c r="S965" s="508"/>
      <c r="T965" s="472"/>
      <c r="U965" s="448"/>
      <c r="W965" s="448"/>
    </row>
    <row r="966" spans="1:23" s="458" customFormat="1" ht="5.65" customHeight="1" x14ac:dyDescent="0.2">
      <c r="A966" s="444"/>
      <c r="B966" s="445"/>
      <c r="C966" s="479"/>
      <c r="D966" s="479"/>
      <c r="E966" s="479"/>
      <c r="F966" s="479"/>
      <c r="G966" s="446"/>
      <c r="H966" s="445"/>
      <c r="I966" s="445"/>
      <c r="J966" s="445"/>
      <c r="K966" s="447"/>
      <c r="L966" s="448"/>
      <c r="M966" s="448"/>
      <c r="N966" s="445"/>
      <c r="O966" s="449"/>
      <c r="P966" s="450"/>
      <c r="Q966" s="451"/>
      <c r="R966" s="507"/>
      <c r="S966" s="508"/>
      <c r="T966" s="472"/>
      <c r="U966" s="448"/>
      <c r="W966" s="448"/>
    </row>
    <row r="967" spans="1:23" s="458" customFormat="1" ht="5.65" customHeight="1" x14ac:dyDescent="0.2">
      <c r="A967" s="444"/>
      <c r="B967" s="445"/>
      <c r="C967" s="479"/>
      <c r="D967" s="479"/>
      <c r="E967" s="479"/>
      <c r="F967" s="479"/>
      <c r="G967" s="446"/>
      <c r="H967" s="445"/>
      <c r="I967" s="445"/>
      <c r="J967" s="445"/>
      <c r="K967" s="447"/>
      <c r="L967" s="448"/>
      <c r="M967" s="448"/>
      <c r="N967" s="445"/>
      <c r="O967" s="449"/>
      <c r="P967" s="450"/>
      <c r="Q967" s="451"/>
      <c r="R967" s="507"/>
      <c r="S967" s="508"/>
      <c r="T967" s="472"/>
      <c r="U967" s="448"/>
      <c r="W967" s="448"/>
    </row>
    <row r="968" spans="1:23" s="458" customFormat="1" ht="5.65" customHeight="1" x14ac:dyDescent="0.2">
      <c r="A968" s="444"/>
      <c r="B968" s="445"/>
      <c r="C968" s="479"/>
      <c r="D968" s="479"/>
      <c r="E968" s="479"/>
      <c r="F968" s="479"/>
      <c r="G968" s="446"/>
      <c r="H968" s="445"/>
      <c r="I968" s="445"/>
      <c r="J968" s="445"/>
      <c r="K968" s="447"/>
      <c r="L968" s="448"/>
      <c r="M968" s="448"/>
      <c r="N968" s="445"/>
      <c r="O968" s="449"/>
      <c r="P968" s="450"/>
      <c r="Q968" s="451"/>
      <c r="R968" s="507"/>
      <c r="S968" s="508"/>
      <c r="T968" s="472"/>
      <c r="U968" s="448"/>
      <c r="W968" s="448"/>
    </row>
    <row r="969" spans="1:23" s="458" customFormat="1" ht="5.65" customHeight="1" x14ac:dyDescent="0.2">
      <c r="A969" s="444"/>
      <c r="B969" s="445"/>
      <c r="C969" s="479"/>
      <c r="D969" s="479"/>
      <c r="E969" s="479"/>
      <c r="F969" s="479"/>
      <c r="G969" s="446"/>
      <c r="H969" s="445"/>
      <c r="I969" s="445"/>
      <c r="J969" s="445"/>
      <c r="K969" s="447"/>
      <c r="L969" s="448"/>
      <c r="M969" s="448"/>
      <c r="N969" s="445"/>
      <c r="O969" s="449"/>
      <c r="P969" s="450"/>
      <c r="Q969" s="451"/>
      <c r="R969" s="507"/>
      <c r="S969" s="508"/>
      <c r="T969" s="472"/>
      <c r="U969" s="448"/>
      <c r="W969" s="448"/>
    </row>
    <row r="970" spans="1:23" s="458" customFormat="1" ht="5.65" customHeight="1" x14ac:dyDescent="0.2">
      <c r="A970" s="444"/>
      <c r="B970" s="445"/>
      <c r="C970" s="479"/>
      <c r="D970" s="479"/>
      <c r="E970" s="479"/>
      <c r="F970" s="479"/>
      <c r="G970" s="446"/>
      <c r="H970" s="445"/>
      <c r="I970" s="445"/>
      <c r="J970" s="445"/>
      <c r="K970" s="447"/>
      <c r="L970" s="448"/>
      <c r="M970" s="448"/>
      <c r="N970" s="445"/>
      <c r="O970" s="449"/>
      <c r="P970" s="450"/>
      <c r="Q970" s="451"/>
      <c r="R970" s="507"/>
      <c r="S970" s="508"/>
      <c r="T970" s="472"/>
      <c r="U970" s="448"/>
      <c r="W970" s="448"/>
    </row>
    <row r="971" spans="1:23" s="458" customFormat="1" ht="5.65" customHeight="1" x14ac:dyDescent="0.2">
      <c r="A971" s="444"/>
      <c r="B971" s="445"/>
      <c r="C971" s="479"/>
      <c r="D971" s="479"/>
      <c r="E971" s="479"/>
      <c r="F971" s="479"/>
      <c r="G971" s="446"/>
      <c r="H971" s="445"/>
      <c r="I971" s="445"/>
      <c r="J971" s="445"/>
      <c r="K971" s="447"/>
      <c r="L971" s="448"/>
      <c r="M971" s="448"/>
      <c r="N971" s="445"/>
      <c r="O971" s="449"/>
      <c r="P971" s="450"/>
      <c r="Q971" s="451"/>
      <c r="R971" s="507"/>
      <c r="S971" s="508"/>
      <c r="T971" s="472"/>
      <c r="U971" s="448"/>
      <c r="W971" s="448"/>
    </row>
    <row r="972" spans="1:23" s="458" customFormat="1" ht="5.65" customHeight="1" x14ac:dyDescent="0.2">
      <c r="A972" s="444"/>
      <c r="B972" s="445"/>
      <c r="C972" s="479"/>
      <c r="D972" s="479"/>
      <c r="E972" s="479"/>
      <c r="F972" s="479"/>
      <c r="G972" s="446"/>
      <c r="H972" s="445"/>
      <c r="I972" s="445"/>
      <c r="J972" s="445"/>
      <c r="K972" s="447"/>
      <c r="L972" s="448"/>
      <c r="M972" s="448"/>
      <c r="N972" s="445"/>
      <c r="O972" s="449"/>
      <c r="P972" s="450"/>
      <c r="Q972" s="451"/>
      <c r="R972" s="507"/>
      <c r="S972" s="508"/>
      <c r="T972" s="472"/>
      <c r="U972" s="448"/>
      <c r="W972" s="448"/>
    </row>
    <row r="973" spans="1:23" s="458" customFormat="1" ht="5.65" customHeight="1" x14ac:dyDescent="0.2">
      <c r="A973" s="444"/>
      <c r="B973" s="445"/>
      <c r="C973" s="479"/>
      <c r="D973" s="479"/>
      <c r="E973" s="479"/>
      <c r="F973" s="479"/>
      <c r="G973" s="446"/>
      <c r="H973" s="445"/>
      <c r="I973" s="445"/>
      <c r="J973" s="445"/>
      <c r="K973" s="447"/>
      <c r="L973" s="448"/>
      <c r="M973" s="448"/>
      <c r="N973" s="445"/>
      <c r="O973" s="449"/>
      <c r="P973" s="450"/>
      <c r="Q973" s="451"/>
      <c r="R973" s="507"/>
      <c r="S973" s="508"/>
      <c r="T973" s="472"/>
      <c r="U973" s="448"/>
      <c r="W973" s="448"/>
    </row>
    <row r="974" spans="1:23" s="458" customFormat="1" ht="5.65" customHeight="1" x14ac:dyDescent="0.2">
      <c r="A974" s="444"/>
      <c r="B974" s="445"/>
      <c r="C974" s="479"/>
      <c r="D974" s="479"/>
      <c r="E974" s="479"/>
      <c r="F974" s="479"/>
      <c r="G974" s="446"/>
      <c r="H974" s="445"/>
      <c r="I974" s="445"/>
      <c r="J974" s="445"/>
      <c r="K974" s="447"/>
      <c r="L974" s="448"/>
      <c r="M974" s="448"/>
      <c r="N974" s="445"/>
      <c r="O974" s="449"/>
      <c r="P974" s="450"/>
      <c r="Q974" s="451"/>
      <c r="R974" s="507"/>
      <c r="S974" s="508"/>
      <c r="T974" s="472"/>
      <c r="U974" s="448"/>
      <c r="W974" s="448"/>
    </row>
    <row r="975" spans="1:23" s="458" customFormat="1" ht="5.65" customHeight="1" x14ac:dyDescent="0.2">
      <c r="A975" s="444"/>
      <c r="B975" s="445"/>
      <c r="C975" s="479"/>
      <c r="D975" s="479"/>
      <c r="E975" s="479"/>
      <c r="F975" s="479"/>
      <c r="G975" s="446"/>
      <c r="H975" s="445"/>
      <c r="I975" s="445"/>
      <c r="J975" s="445"/>
      <c r="K975" s="447"/>
      <c r="L975" s="448"/>
      <c r="M975" s="448"/>
      <c r="N975" s="445"/>
      <c r="O975" s="449"/>
      <c r="P975" s="450"/>
      <c r="Q975" s="451"/>
      <c r="R975" s="507"/>
      <c r="S975" s="508"/>
      <c r="T975" s="472"/>
      <c r="U975" s="448"/>
      <c r="W975" s="448"/>
    </row>
    <row r="976" spans="1:23" s="458" customFormat="1" ht="5.65" customHeight="1" x14ac:dyDescent="0.2">
      <c r="A976" s="444"/>
      <c r="B976" s="445"/>
      <c r="C976" s="479"/>
      <c r="D976" s="479"/>
      <c r="E976" s="479"/>
      <c r="F976" s="479"/>
      <c r="G976" s="446"/>
      <c r="H976" s="445"/>
      <c r="I976" s="445"/>
      <c r="J976" s="445"/>
      <c r="K976" s="447"/>
      <c r="L976" s="448"/>
      <c r="M976" s="448"/>
      <c r="N976" s="445"/>
      <c r="O976" s="449"/>
      <c r="P976" s="450"/>
      <c r="Q976" s="451"/>
      <c r="R976" s="507"/>
      <c r="S976" s="508"/>
      <c r="T976" s="472"/>
      <c r="U976" s="448"/>
      <c r="W976" s="448"/>
    </row>
    <row r="977" spans="1:23" s="458" customFormat="1" ht="5.65" customHeight="1" x14ac:dyDescent="0.2">
      <c r="A977" s="444"/>
      <c r="B977" s="445"/>
      <c r="C977" s="479"/>
      <c r="D977" s="479"/>
      <c r="E977" s="479"/>
      <c r="F977" s="479"/>
      <c r="G977" s="446"/>
      <c r="H977" s="445"/>
      <c r="I977" s="445"/>
      <c r="J977" s="445"/>
      <c r="K977" s="447"/>
      <c r="L977" s="448"/>
      <c r="M977" s="448"/>
      <c r="N977" s="445"/>
      <c r="O977" s="449"/>
      <c r="P977" s="450"/>
      <c r="Q977" s="451"/>
      <c r="R977" s="507"/>
      <c r="S977" s="508"/>
      <c r="T977" s="472"/>
      <c r="U977" s="448"/>
      <c r="W977" s="448"/>
    </row>
    <row r="978" spans="1:23" s="458" customFormat="1" ht="5.65" customHeight="1" x14ac:dyDescent="0.2">
      <c r="A978" s="444"/>
      <c r="B978" s="445"/>
      <c r="C978" s="479"/>
      <c r="D978" s="479"/>
      <c r="E978" s="479"/>
      <c r="F978" s="479"/>
      <c r="G978" s="446"/>
      <c r="H978" s="445"/>
      <c r="I978" s="445"/>
      <c r="J978" s="445"/>
      <c r="K978" s="447"/>
      <c r="L978" s="448"/>
      <c r="M978" s="448"/>
      <c r="N978" s="445"/>
      <c r="O978" s="449"/>
      <c r="P978" s="450"/>
      <c r="Q978" s="451"/>
      <c r="R978" s="507"/>
      <c r="S978" s="508"/>
      <c r="T978" s="472"/>
      <c r="U978" s="448"/>
      <c r="W978" s="448"/>
    </row>
    <row r="979" spans="1:23" s="458" customFormat="1" ht="5.65" customHeight="1" x14ac:dyDescent="0.2">
      <c r="A979" s="444"/>
      <c r="B979" s="445"/>
      <c r="C979" s="479"/>
      <c r="D979" s="479"/>
      <c r="E979" s="479"/>
      <c r="F979" s="479"/>
      <c r="G979" s="446"/>
      <c r="H979" s="445"/>
      <c r="I979" s="445"/>
      <c r="J979" s="445"/>
      <c r="K979" s="447"/>
      <c r="L979" s="448"/>
      <c r="M979" s="448"/>
      <c r="N979" s="445"/>
      <c r="O979" s="449"/>
      <c r="P979" s="450"/>
      <c r="Q979" s="451"/>
      <c r="R979" s="507"/>
      <c r="S979" s="508"/>
      <c r="T979" s="472"/>
      <c r="U979" s="448"/>
      <c r="W979" s="448"/>
    </row>
    <row r="980" spans="1:23" s="458" customFormat="1" ht="5.65" customHeight="1" x14ac:dyDescent="0.2">
      <c r="A980" s="444"/>
      <c r="B980" s="445"/>
      <c r="C980" s="479"/>
      <c r="D980" s="479"/>
      <c r="E980" s="479"/>
      <c r="F980" s="479"/>
      <c r="G980" s="446"/>
      <c r="H980" s="445"/>
      <c r="I980" s="445"/>
      <c r="J980" s="445"/>
      <c r="K980" s="447"/>
      <c r="L980" s="448"/>
      <c r="M980" s="448"/>
      <c r="N980" s="445"/>
      <c r="O980" s="449"/>
      <c r="P980" s="450"/>
      <c r="Q980" s="451"/>
      <c r="R980" s="507"/>
      <c r="S980" s="508"/>
      <c r="T980" s="472"/>
      <c r="U980" s="448"/>
      <c r="W980" s="448"/>
    </row>
    <row r="981" spans="1:23" s="458" customFormat="1" ht="5.65" customHeight="1" x14ac:dyDescent="0.2">
      <c r="A981" s="444"/>
      <c r="B981" s="445"/>
      <c r="C981" s="479"/>
      <c r="D981" s="479"/>
      <c r="E981" s="479"/>
      <c r="F981" s="479"/>
      <c r="G981" s="446"/>
      <c r="H981" s="445"/>
      <c r="I981" s="445"/>
      <c r="J981" s="445"/>
      <c r="K981" s="447"/>
      <c r="L981" s="448"/>
      <c r="M981" s="448"/>
      <c r="N981" s="445"/>
      <c r="O981" s="449"/>
      <c r="P981" s="450"/>
      <c r="Q981" s="451"/>
      <c r="R981" s="507"/>
      <c r="S981" s="508"/>
      <c r="T981" s="472"/>
      <c r="U981" s="448"/>
      <c r="W981" s="448"/>
    </row>
    <row r="982" spans="1:23" s="458" customFormat="1" ht="5.65" customHeight="1" x14ac:dyDescent="0.2">
      <c r="A982" s="444"/>
      <c r="B982" s="445"/>
      <c r="C982" s="479"/>
      <c r="D982" s="479"/>
      <c r="E982" s="479"/>
      <c r="F982" s="479"/>
      <c r="G982" s="446"/>
      <c r="H982" s="445"/>
      <c r="I982" s="445"/>
      <c r="J982" s="445"/>
      <c r="K982" s="447"/>
      <c r="L982" s="448"/>
      <c r="M982" s="448"/>
      <c r="N982" s="445"/>
      <c r="O982" s="449"/>
      <c r="P982" s="450"/>
      <c r="Q982" s="451"/>
      <c r="R982" s="507"/>
      <c r="S982" s="508"/>
      <c r="T982" s="472"/>
      <c r="U982" s="448"/>
      <c r="W982" s="448"/>
    </row>
    <row r="983" spans="1:23" s="458" customFormat="1" ht="5.65" customHeight="1" x14ac:dyDescent="0.2">
      <c r="A983" s="444"/>
      <c r="B983" s="445"/>
      <c r="C983" s="479"/>
      <c r="D983" s="479"/>
      <c r="E983" s="479"/>
      <c r="F983" s="479"/>
      <c r="G983" s="446"/>
      <c r="H983" s="445"/>
      <c r="I983" s="445"/>
      <c r="J983" s="445"/>
      <c r="K983" s="447"/>
      <c r="L983" s="448"/>
      <c r="M983" s="448"/>
      <c r="N983" s="445"/>
      <c r="O983" s="449"/>
      <c r="P983" s="450"/>
      <c r="Q983" s="451"/>
      <c r="R983" s="507"/>
      <c r="S983" s="508"/>
      <c r="T983" s="472"/>
      <c r="U983" s="448"/>
      <c r="W983" s="448"/>
    </row>
    <row r="984" spans="1:23" s="458" customFormat="1" ht="5.65" customHeight="1" x14ac:dyDescent="0.2">
      <c r="A984" s="444"/>
      <c r="B984" s="445"/>
      <c r="C984" s="479"/>
      <c r="D984" s="479"/>
      <c r="E984" s="479"/>
      <c r="F984" s="479"/>
      <c r="G984" s="446"/>
      <c r="H984" s="445"/>
      <c r="I984" s="445"/>
      <c r="J984" s="445"/>
      <c r="K984" s="447"/>
      <c r="L984" s="448"/>
      <c r="M984" s="448"/>
      <c r="N984" s="445"/>
      <c r="O984" s="449"/>
      <c r="P984" s="450"/>
      <c r="Q984" s="451"/>
      <c r="R984" s="507"/>
      <c r="S984" s="508"/>
      <c r="T984" s="472"/>
      <c r="U984" s="448"/>
      <c r="W984" s="448"/>
    </row>
    <row r="985" spans="1:23" s="458" customFormat="1" ht="5.65" customHeight="1" x14ac:dyDescent="0.2">
      <c r="A985" s="444"/>
      <c r="B985" s="445"/>
      <c r="C985" s="479"/>
      <c r="D985" s="479"/>
      <c r="E985" s="479"/>
      <c r="F985" s="479"/>
      <c r="G985" s="446"/>
      <c r="H985" s="445"/>
      <c r="I985" s="445"/>
      <c r="J985" s="445"/>
      <c r="K985" s="447"/>
      <c r="L985" s="448"/>
      <c r="M985" s="448"/>
      <c r="N985" s="445"/>
      <c r="O985" s="449"/>
      <c r="P985" s="450"/>
      <c r="Q985" s="451"/>
      <c r="R985" s="507"/>
      <c r="S985" s="508"/>
      <c r="T985" s="472"/>
      <c r="U985" s="448"/>
      <c r="W985" s="448"/>
    </row>
    <row r="986" spans="1:23" s="458" customFormat="1" ht="5.65" customHeight="1" x14ac:dyDescent="0.2">
      <c r="A986" s="444"/>
      <c r="B986" s="445"/>
      <c r="C986" s="479"/>
      <c r="D986" s="479"/>
      <c r="E986" s="479"/>
      <c r="F986" s="479"/>
      <c r="G986" s="446"/>
      <c r="H986" s="445"/>
      <c r="I986" s="445"/>
      <c r="J986" s="445"/>
      <c r="K986" s="447"/>
      <c r="L986" s="448"/>
      <c r="M986" s="448"/>
      <c r="N986" s="445"/>
      <c r="O986" s="449"/>
      <c r="P986" s="450"/>
      <c r="Q986" s="451"/>
      <c r="R986" s="507"/>
      <c r="S986" s="508"/>
      <c r="T986" s="472"/>
      <c r="U986" s="448"/>
      <c r="W986" s="448"/>
    </row>
    <row r="987" spans="1:23" s="458" customFormat="1" ht="5.65" customHeight="1" x14ac:dyDescent="0.2">
      <c r="A987" s="444"/>
      <c r="B987" s="445"/>
      <c r="C987" s="479"/>
      <c r="D987" s="479"/>
      <c r="E987" s="479"/>
      <c r="F987" s="479"/>
      <c r="G987" s="446"/>
      <c r="H987" s="445"/>
      <c r="I987" s="445"/>
      <c r="J987" s="445"/>
      <c r="K987" s="447"/>
      <c r="L987" s="448"/>
      <c r="M987" s="448"/>
      <c r="N987" s="445"/>
      <c r="O987" s="449"/>
      <c r="P987" s="450"/>
      <c r="Q987" s="451"/>
      <c r="R987" s="507"/>
      <c r="S987" s="508"/>
      <c r="T987" s="472"/>
      <c r="U987" s="448"/>
      <c r="W987" s="448"/>
    </row>
    <row r="988" spans="1:23" s="458" customFormat="1" ht="5.65" customHeight="1" x14ac:dyDescent="0.2">
      <c r="A988" s="444"/>
      <c r="B988" s="445"/>
      <c r="C988" s="479"/>
      <c r="D988" s="479"/>
      <c r="E988" s="479"/>
      <c r="F988" s="479"/>
      <c r="G988" s="446"/>
      <c r="H988" s="445"/>
      <c r="I988" s="445"/>
      <c r="J988" s="445"/>
      <c r="K988" s="447"/>
      <c r="L988" s="448"/>
      <c r="M988" s="448"/>
      <c r="N988" s="445"/>
      <c r="O988" s="449"/>
      <c r="P988" s="450"/>
      <c r="Q988" s="451"/>
      <c r="R988" s="507"/>
      <c r="S988" s="508"/>
      <c r="T988" s="472"/>
      <c r="U988" s="448"/>
      <c r="W988" s="448"/>
    </row>
    <row r="989" spans="1:23" s="458" customFormat="1" ht="5.65" customHeight="1" x14ac:dyDescent="0.2">
      <c r="A989" s="444"/>
      <c r="B989" s="445"/>
      <c r="C989" s="479"/>
      <c r="D989" s="479"/>
      <c r="E989" s="479"/>
      <c r="F989" s="479"/>
      <c r="G989" s="446"/>
      <c r="H989" s="445"/>
      <c r="I989" s="445"/>
      <c r="J989" s="445"/>
      <c r="K989" s="447"/>
      <c r="L989" s="448"/>
      <c r="M989" s="448"/>
      <c r="N989" s="445"/>
      <c r="O989" s="449"/>
      <c r="P989" s="450"/>
      <c r="Q989" s="451"/>
      <c r="R989" s="507"/>
      <c r="S989" s="508"/>
      <c r="T989" s="472"/>
      <c r="U989" s="448"/>
      <c r="W989" s="448"/>
    </row>
    <row r="990" spans="1:23" s="458" customFormat="1" ht="5.65" customHeight="1" x14ac:dyDescent="0.2">
      <c r="A990" s="444"/>
      <c r="B990" s="445"/>
      <c r="C990" s="479"/>
      <c r="D990" s="479"/>
      <c r="E990" s="479"/>
      <c r="F990" s="479"/>
      <c r="G990" s="446"/>
      <c r="H990" s="445"/>
      <c r="I990" s="445"/>
      <c r="J990" s="445"/>
      <c r="K990" s="447"/>
      <c r="L990" s="448"/>
      <c r="M990" s="448"/>
      <c r="N990" s="445"/>
      <c r="O990" s="449"/>
      <c r="P990" s="450"/>
      <c r="Q990" s="451"/>
      <c r="R990" s="507"/>
      <c r="S990" s="508"/>
      <c r="T990" s="472"/>
      <c r="U990" s="448"/>
      <c r="W990" s="448"/>
    </row>
    <row r="991" spans="1:23" s="458" customFormat="1" ht="5.65" customHeight="1" x14ac:dyDescent="0.2">
      <c r="A991" s="444"/>
      <c r="B991" s="445"/>
      <c r="C991" s="479"/>
      <c r="D991" s="479"/>
      <c r="E991" s="479"/>
      <c r="F991" s="479"/>
      <c r="G991" s="446"/>
      <c r="H991" s="445"/>
      <c r="I991" s="445"/>
      <c r="J991" s="445"/>
      <c r="K991" s="447"/>
      <c r="L991" s="448"/>
      <c r="M991" s="448"/>
      <c r="N991" s="445"/>
      <c r="O991" s="449"/>
      <c r="P991" s="450"/>
      <c r="Q991" s="451"/>
      <c r="R991" s="507"/>
      <c r="S991" s="508"/>
      <c r="T991" s="472"/>
      <c r="U991" s="448"/>
      <c r="W991" s="448"/>
    </row>
    <row r="992" spans="1:23" s="458" customFormat="1" ht="5.65" customHeight="1" x14ac:dyDescent="0.2">
      <c r="A992" s="444"/>
      <c r="B992" s="445"/>
      <c r="C992" s="479"/>
      <c r="D992" s="479"/>
      <c r="E992" s="479"/>
      <c r="F992" s="479"/>
      <c r="G992" s="446"/>
      <c r="H992" s="445"/>
      <c r="I992" s="445"/>
      <c r="J992" s="445"/>
      <c r="K992" s="447"/>
      <c r="L992" s="448"/>
      <c r="M992" s="448"/>
      <c r="N992" s="445"/>
      <c r="O992" s="449"/>
      <c r="P992" s="450"/>
      <c r="Q992" s="451"/>
      <c r="R992" s="507"/>
      <c r="S992" s="508"/>
      <c r="T992" s="472"/>
      <c r="U992" s="448"/>
      <c r="W992" s="448"/>
    </row>
    <row r="993" spans="1:23" s="458" customFormat="1" ht="5.65" customHeight="1" x14ac:dyDescent="0.2">
      <c r="A993" s="444"/>
      <c r="B993" s="445"/>
      <c r="C993" s="479"/>
      <c r="D993" s="479"/>
      <c r="E993" s="479"/>
      <c r="F993" s="479"/>
      <c r="G993" s="446"/>
      <c r="H993" s="445"/>
      <c r="I993" s="445"/>
      <c r="J993" s="445"/>
      <c r="K993" s="447"/>
      <c r="L993" s="448"/>
      <c r="M993" s="448"/>
      <c r="N993" s="445"/>
      <c r="O993" s="449"/>
      <c r="P993" s="450"/>
      <c r="Q993" s="451"/>
      <c r="R993" s="507"/>
      <c r="S993" s="508"/>
      <c r="T993" s="472"/>
      <c r="U993" s="448"/>
      <c r="W993" s="448"/>
    </row>
    <row r="994" spans="1:23" s="458" customFormat="1" ht="5.65" customHeight="1" x14ac:dyDescent="0.2">
      <c r="A994" s="444"/>
      <c r="B994" s="445"/>
      <c r="C994" s="479"/>
      <c r="D994" s="479"/>
      <c r="E994" s="479"/>
      <c r="F994" s="479"/>
      <c r="G994" s="446"/>
      <c r="H994" s="445"/>
      <c r="I994" s="445"/>
      <c r="J994" s="445"/>
      <c r="K994" s="447"/>
      <c r="L994" s="448"/>
      <c r="M994" s="448"/>
      <c r="N994" s="445"/>
      <c r="O994" s="449"/>
      <c r="P994" s="450"/>
      <c r="Q994" s="451"/>
      <c r="R994" s="507"/>
      <c r="S994" s="508"/>
      <c r="T994" s="472"/>
      <c r="U994" s="448"/>
      <c r="W994" s="448"/>
    </row>
    <row r="995" spans="1:23" s="458" customFormat="1" ht="5.65" customHeight="1" x14ac:dyDescent="0.2">
      <c r="A995" s="444"/>
      <c r="B995" s="445"/>
      <c r="C995" s="479"/>
      <c r="D995" s="479"/>
      <c r="E995" s="479"/>
      <c r="F995" s="479"/>
      <c r="G995" s="446"/>
      <c r="H995" s="445"/>
      <c r="I995" s="445"/>
      <c r="J995" s="445"/>
      <c r="K995" s="447"/>
      <c r="L995" s="448"/>
      <c r="M995" s="448"/>
      <c r="N995" s="445"/>
      <c r="O995" s="449"/>
      <c r="P995" s="450"/>
      <c r="Q995" s="451"/>
      <c r="R995" s="507"/>
      <c r="S995" s="508"/>
      <c r="T995" s="472"/>
      <c r="U995" s="448"/>
      <c r="W995" s="448"/>
    </row>
    <row r="996" spans="1:23" s="458" customFormat="1" ht="5.65" customHeight="1" x14ac:dyDescent="0.2">
      <c r="A996" s="444"/>
      <c r="B996" s="445"/>
      <c r="C996" s="479"/>
      <c r="D996" s="479"/>
      <c r="E996" s="479"/>
      <c r="F996" s="479"/>
      <c r="G996" s="446"/>
      <c r="H996" s="445"/>
      <c r="I996" s="445"/>
      <c r="J996" s="445"/>
      <c r="K996" s="447"/>
      <c r="L996" s="448"/>
      <c r="M996" s="448"/>
      <c r="N996" s="445"/>
      <c r="O996" s="449"/>
      <c r="P996" s="450"/>
      <c r="Q996" s="451"/>
      <c r="R996" s="507"/>
      <c r="S996" s="508"/>
      <c r="T996" s="472"/>
      <c r="U996" s="448"/>
      <c r="W996" s="448"/>
    </row>
    <row r="997" spans="1:23" s="458" customFormat="1" ht="5.65" customHeight="1" x14ac:dyDescent="0.2">
      <c r="A997" s="444"/>
      <c r="B997" s="445"/>
      <c r="C997" s="479"/>
      <c r="D997" s="479"/>
      <c r="E997" s="479"/>
      <c r="F997" s="479"/>
      <c r="G997" s="446"/>
      <c r="H997" s="445"/>
      <c r="I997" s="445"/>
      <c r="J997" s="445"/>
      <c r="K997" s="447"/>
      <c r="L997" s="448"/>
      <c r="M997" s="448"/>
      <c r="N997" s="445"/>
      <c r="O997" s="449"/>
      <c r="P997" s="450"/>
      <c r="Q997" s="451"/>
      <c r="R997" s="507"/>
      <c r="S997" s="508"/>
      <c r="T997" s="472"/>
      <c r="U997" s="448"/>
      <c r="W997" s="448"/>
    </row>
    <row r="998" spans="1:23" s="458" customFormat="1" ht="5.65" customHeight="1" x14ac:dyDescent="0.2">
      <c r="A998" s="444"/>
      <c r="B998" s="445"/>
      <c r="C998" s="479"/>
      <c r="D998" s="479"/>
      <c r="E998" s="479"/>
      <c r="F998" s="479"/>
      <c r="G998" s="446"/>
      <c r="H998" s="445"/>
      <c r="I998" s="445"/>
      <c r="J998" s="445"/>
      <c r="K998" s="447"/>
      <c r="L998" s="448"/>
      <c r="M998" s="448"/>
      <c r="N998" s="445"/>
      <c r="O998" s="449"/>
      <c r="P998" s="450"/>
      <c r="Q998" s="451"/>
      <c r="R998" s="507"/>
      <c r="S998" s="508"/>
      <c r="T998" s="472"/>
      <c r="U998" s="448"/>
      <c r="W998" s="448"/>
    </row>
    <row r="999" spans="1:23" s="458" customFormat="1" ht="5.65" customHeight="1" x14ac:dyDescent="0.2">
      <c r="A999" s="444"/>
      <c r="B999" s="445"/>
      <c r="C999" s="479"/>
      <c r="D999" s="479"/>
      <c r="E999" s="479"/>
      <c r="F999" s="479"/>
      <c r="G999" s="446"/>
      <c r="H999" s="445"/>
      <c r="I999" s="445"/>
      <c r="J999" s="445"/>
      <c r="K999" s="447"/>
      <c r="L999" s="448"/>
      <c r="M999" s="448"/>
      <c r="N999" s="445"/>
      <c r="O999" s="449"/>
      <c r="P999" s="450"/>
      <c r="Q999" s="451"/>
      <c r="R999" s="507"/>
      <c r="S999" s="508"/>
      <c r="T999" s="472"/>
      <c r="U999" s="448"/>
      <c r="W999" s="448"/>
    </row>
    <row r="1000" spans="1:23" s="458" customFormat="1" ht="5.65" customHeight="1" x14ac:dyDescent="0.2">
      <c r="A1000" s="444"/>
      <c r="B1000" s="445"/>
      <c r="C1000" s="479"/>
      <c r="D1000" s="479"/>
      <c r="E1000" s="479"/>
      <c r="F1000" s="479"/>
      <c r="G1000" s="446"/>
      <c r="H1000" s="445"/>
      <c r="I1000" s="445"/>
      <c r="J1000" s="445"/>
      <c r="K1000" s="447"/>
      <c r="L1000" s="448"/>
      <c r="M1000" s="448"/>
      <c r="N1000" s="445"/>
      <c r="O1000" s="449"/>
      <c r="P1000" s="450"/>
      <c r="Q1000" s="451"/>
      <c r="R1000" s="507"/>
      <c r="S1000" s="508"/>
      <c r="T1000" s="472"/>
      <c r="U1000" s="448"/>
      <c r="W1000" s="448"/>
    </row>
    <row r="1001" spans="1:23" s="458" customFormat="1" ht="5.65" customHeight="1" x14ac:dyDescent="0.2">
      <c r="A1001" s="444"/>
      <c r="B1001" s="445"/>
      <c r="C1001" s="479"/>
      <c r="D1001" s="479"/>
      <c r="E1001" s="479"/>
      <c r="F1001" s="479"/>
      <c r="G1001" s="446"/>
      <c r="H1001" s="445"/>
      <c r="I1001" s="445"/>
      <c r="J1001" s="445"/>
      <c r="K1001" s="447"/>
      <c r="L1001" s="448"/>
      <c r="M1001" s="448"/>
      <c r="N1001" s="445"/>
      <c r="O1001" s="449"/>
      <c r="P1001" s="450"/>
      <c r="Q1001" s="451"/>
      <c r="R1001" s="507"/>
      <c r="S1001" s="508"/>
      <c r="T1001" s="472"/>
      <c r="U1001" s="448"/>
      <c r="W1001" s="448"/>
    </row>
    <row r="1002" spans="1:23" s="458" customFormat="1" ht="5.65" customHeight="1" x14ac:dyDescent="0.2">
      <c r="A1002" s="444"/>
      <c r="B1002" s="445"/>
      <c r="C1002" s="479"/>
      <c r="D1002" s="479"/>
      <c r="E1002" s="479"/>
      <c r="F1002" s="479"/>
      <c r="G1002" s="446"/>
      <c r="H1002" s="445"/>
      <c r="I1002" s="445"/>
      <c r="J1002" s="445"/>
      <c r="K1002" s="447"/>
      <c r="L1002" s="448"/>
      <c r="M1002" s="448"/>
      <c r="N1002" s="445"/>
      <c r="O1002" s="449"/>
      <c r="P1002" s="450"/>
      <c r="Q1002" s="451"/>
      <c r="R1002" s="507"/>
      <c r="S1002" s="508"/>
      <c r="T1002" s="472"/>
      <c r="U1002" s="448"/>
      <c r="W1002" s="448"/>
    </row>
    <row r="1003" spans="1:23" s="458" customFormat="1" ht="5.65" customHeight="1" x14ac:dyDescent="0.2">
      <c r="A1003" s="444"/>
      <c r="B1003" s="445"/>
      <c r="C1003" s="479"/>
      <c r="D1003" s="479"/>
      <c r="E1003" s="479"/>
      <c r="F1003" s="479"/>
      <c r="G1003" s="446"/>
      <c r="H1003" s="445"/>
      <c r="I1003" s="445"/>
      <c r="J1003" s="445"/>
      <c r="K1003" s="447"/>
      <c r="L1003" s="448"/>
      <c r="M1003" s="448"/>
      <c r="N1003" s="445"/>
      <c r="O1003" s="449"/>
      <c r="P1003" s="450"/>
      <c r="Q1003" s="451"/>
      <c r="R1003" s="507"/>
      <c r="S1003" s="508"/>
      <c r="T1003" s="472"/>
      <c r="U1003" s="448"/>
      <c r="W1003" s="448"/>
    </row>
    <row r="1004" spans="1:23" s="458" customFormat="1" ht="5.65" customHeight="1" x14ac:dyDescent="0.2">
      <c r="A1004" s="444"/>
      <c r="B1004" s="445"/>
      <c r="C1004" s="479"/>
      <c r="D1004" s="479"/>
      <c r="E1004" s="479"/>
      <c r="F1004" s="479"/>
      <c r="G1004" s="446"/>
      <c r="H1004" s="445"/>
      <c r="I1004" s="445"/>
      <c r="J1004" s="445"/>
      <c r="K1004" s="447"/>
      <c r="L1004" s="448"/>
      <c r="M1004" s="448"/>
      <c r="N1004" s="445"/>
      <c r="O1004" s="449"/>
      <c r="P1004" s="450"/>
      <c r="Q1004" s="451"/>
      <c r="R1004" s="507"/>
      <c r="S1004" s="508"/>
      <c r="T1004" s="472"/>
      <c r="U1004" s="448"/>
      <c r="W1004" s="448"/>
    </row>
    <row r="1005" spans="1:23" s="458" customFormat="1" ht="5.65" customHeight="1" x14ac:dyDescent="0.2">
      <c r="A1005" s="444"/>
      <c r="B1005" s="445"/>
      <c r="C1005" s="479"/>
      <c r="D1005" s="479"/>
      <c r="E1005" s="479"/>
      <c r="F1005" s="479"/>
      <c r="G1005" s="446"/>
      <c r="H1005" s="445"/>
      <c r="I1005" s="445"/>
      <c r="J1005" s="445"/>
      <c r="K1005" s="447"/>
      <c r="L1005" s="448"/>
      <c r="M1005" s="448"/>
      <c r="N1005" s="445"/>
      <c r="O1005" s="449"/>
      <c r="P1005" s="450"/>
      <c r="Q1005" s="451"/>
      <c r="R1005" s="507"/>
      <c r="S1005" s="508"/>
      <c r="T1005" s="472"/>
      <c r="U1005" s="448"/>
      <c r="W1005" s="448"/>
    </row>
    <row r="1006" spans="1:23" s="458" customFormat="1" ht="5.65" customHeight="1" x14ac:dyDescent="0.2">
      <c r="A1006" s="444"/>
      <c r="B1006" s="445"/>
      <c r="C1006" s="479"/>
      <c r="D1006" s="479"/>
      <c r="E1006" s="479"/>
      <c r="F1006" s="479"/>
      <c r="G1006" s="446"/>
      <c r="H1006" s="445"/>
      <c r="I1006" s="445"/>
      <c r="J1006" s="445"/>
      <c r="K1006" s="447"/>
      <c r="L1006" s="448"/>
      <c r="M1006" s="448"/>
      <c r="N1006" s="445"/>
      <c r="O1006" s="449"/>
      <c r="P1006" s="450"/>
      <c r="Q1006" s="451"/>
      <c r="R1006" s="507"/>
      <c r="S1006" s="508"/>
      <c r="T1006" s="472"/>
      <c r="U1006" s="448"/>
      <c r="W1006" s="448"/>
    </row>
    <row r="1007" spans="1:23" s="458" customFormat="1" ht="5.65" customHeight="1" x14ac:dyDescent="0.2">
      <c r="A1007" s="444"/>
      <c r="B1007" s="445"/>
      <c r="C1007" s="479"/>
      <c r="D1007" s="479"/>
      <c r="E1007" s="479"/>
      <c r="F1007" s="479"/>
      <c r="G1007" s="446"/>
      <c r="H1007" s="445"/>
      <c r="I1007" s="445"/>
      <c r="J1007" s="445"/>
      <c r="K1007" s="447"/>
      <c r="L1007" s="448"/>
      <c r="M1007" s="448"/>
      <c r="N1007" s="445"/>
      <c r="O1007" s="449"/>
      <c r="P1007" s="450"/>
      <c r="Q1007" s="451"/>
      <c r="R1007" s="507"/>
      <c r="S1007" s="508"/>
      <c r="T1007" s="472"/>
      <c r="U1007" s="448"/>
      <c r="W1007" s="448"/>
    </row>
    <row r="1008" spans="1:23" s="458" customFormat="1" ht="5.65" customHeight="1" x14ac:dyDescent="0.2">
      <c r="A1008" s="444"/>
      <c r="B1008" s="445"/>
      <c r="C1008" s="479"/>
      <c r="D1008" s="479"/>
      <c r="E1008" s="479"/>
      <c r="F1008" s="479"/>
      <c r="G1008" s="446"/>
      <c r="H1008" s="445"/>
      <c r="I1008" s="445"/>
      <c r="J1008" s="445"/>
      <c r="K1008" s="447"/>
      <c r="L1008" s="448"/>
      <c r="M1008" s="448"/>
      <c r="N1008" s="445"/>
      <c r="O1008" s="449"/>
      <c r="P1008" s="450"/>
      <c r="Q1008" s="451"/>
      <c r="R1008" s="507"/>
      <c r="S1008" s="508"/>
      <c r="T1008" s="472"/>
      <c r="U1008" s="448"/>
      <c r="W1008" s="448"/>
    </row>
    <row r="1009" spans="1:23" s="458" customFormat="1" ht="5.65" customHeight="1" x14ac:dyDescent="0.2">
      <c r="A1009" s="444"/>
      <c r="B1009" s="445"/>
      <c r="C1009" s="479"/>
      <c r="D1009" s="479"/>
      <c r="E1009" s="479"/>
      <c r="F1009" s="479"/>
      <c r="G1009" s="446"/>
      <c r="H1009" s="445"/>
      <c r="I1009" s="445"/>
      <c r="J1009" s="445"/>
      <c r="K1009" s="447"/>
      <c r="L1009" s="448"/>
      <c r="M1009" s="448"/>
      <c r="N1009" s="445"/>
      <c r="O1009" s="449"/>
      <c r="P1009" s="450"/>
      <c r="Q1009" s="451"/>
      <c r="R1009" s="507"/>
      <c r="S1009" s="508"/>
      <c r="T1009" s="472"/>
      <c r="U1009" s="448"/>
      <c r="W1009" s="448"/>
    </row>
    <row r="1010" spans="1:23" s="458" customFormat="1" ht="5.65" customHeight="1" x14ac:dyDescent="0.2">
      <c r="A1010" s="444"/>
      <c r="B1010" s="445"/>
      <c r="C1010" s="479"/>
      <c r="D1010" s="479"/>
      <c r="E1010" s="479"/>
      <c r="F1010" s="479"/>
      <c r="G1010" s="446"/>
      <c r="H1010" s="445"/>
      <c r="I1010" s="445"/>
      <c r="J1010" s="445"/>
      <c r="K1010" s="447"/>
      <c r="L1010" s="448"/>
      <c r="M1010" s="448"/>
      <c r="N1010" s="445"/>
      <c r="O1010" s="449"/>
      <c r="P1010" s="450"/>
      <c r="Q1010" s="451"/>
      <c r="R1010" s="507"/>
      <c r="S1010" s="508"/>
      <c r="T1010" s="472"/>
      <c r="U1010" s="448"/>
      <c r="W1010" s="448"/>
    </row>
    <row r="1011" spans="1:23" s="458" customFormat="1" ht="5.65" customHeight="1" x14ac:dyDescent="0.2">
      <c r="A1011" s="444"/>
      <c r="B1011" s="445"/>
      <c r="C1011" s="479"/>
      <c r="D1011" s="479"/>
      <c r="E1011" s="479"/>
      <c r="F1011" s="479"/>
      <c r="G1011" s="446"/>
      <c r="H1011" s="445"/>
      <c r="I1011" s="445"/>
      <c r="J1011" s="445"/>
      <c r="K1011" s="447"/>
      <c r="L1011" s="448"/>
      <c r="M1011" s="448"/>
      <c r="N1011" s="445"/>
      <c r="O1011" s="449"/>
      <c r="P1011" s="450"/>
      <c r="Q1011" s="451"/>
      <c r="R1011" s="507"/>
      <c r="S1011" s="508"/>
      <c r="T1011" s="472"/>
      <c r="U1011" s="448"/>
      <c r="W1011" s="448"/>
    </row>
    <row r="1012" spans="1:23" s="458" customFormat="1" ht="5.65" customHeight="1" x14ac:dyDescent="0.2">
      <c r="A1012" s="444"/>
      <c r="B1012" s="445"/>
      <c r="C1012" s="479"/>
      <c r="D1012" s="479"/>
      <c r="E1012" s="479"/>
      <c r="F1012" s="479"/>
      <c r="G1012" s="446"/>
      <c r="H1012" s="445"/>
      <c r="I1012" s="445"/>
      <c r="J1012" s="445"/>
      <c r="K1012" s="447"/>
      <c r="L1012" s="448"/>
      <c r="M1012" s="448"/>
      <c r="N1012" s="445"/>
      <c r="O1012" s="449"/>
      <c r="P1012" s="450"/>
      <c r="Q1012" s="451"/>
      <c r="R1012" s="507"/>
      <c r="S1012" s="508"/>
      <c r="T1012" s="472"/>
      <c r="U1012" s="448"/>
      <c r="W1012" s="448"/>
    </row>
    <row r="1013" spans="1:23" s="458" customFormat="1" ht="5.65" customHeight="1" x14ac:dyDescent="0.2">
      <c r="A1013" s="444"/>
      <c r="B1013" s="445"/>
      <c r="C1013" s="479"/>
      <c r="D1013" s="479"/>
      <c r="E1013" s="479"/>
      <c r="F1013" s="479"/>
      <c r="G1013" s="446"/>
      <c r="H1013" s="445"/>
      <c r="I1013" s="445"/>
      <c r="J1013" s="445"/>
      <c r="K1013" s="447"/>
      <c r="L1013" s="448"/>
      <c r="M1013" s="448"/>
      <c r="N1013" s="445"/>
      <c r="O1013" s="449"/>
      <c r="P1013" s="450"/>
      <c r="Q1013" s="451"/>
      <c r="R1013" s="507"/>
      <c r="S1013" s="508"/>
      <c r="T1013" s="472"/>
      <c r="U1013" s="448"/>
      <c r="W1013" s="448"/>
    </row>
    <row r="1014" spans="1:23" s="458" customFormat="1" ht="5.65" customHeight="1" x14ac:dyDescent="0.2">
      <c r="A1014" s="444"/>
      <c r="B1014" s="445"/>
      <c r="C1014" s="479"/>
      <c r="D1014" s="479"/>
      <c r="E1014" s="479"/>
      <c r="F1014" s="479"/>
      <c r="G1014" s="446"/>
      <c r="H1014" s="445"/>
      <c r="I1014" s="445"/>
      <c r="J1014" s="445"/>
      <c r="K1014" s="447"/>
      <c r="L1014" s="448"/>
      <c r="M1014" s="448"/>
      <c r="N1014" s="445"/>
      <c r="O1014" s="449"/>
      <c r="P1014" s="450"/>
      <c r="Q1014" s="451"/>
      <c r="R1014" s="507"/>
      <c r="S1014" s="508"/>
      <c r="T1014" s="472"/>
      <c r="U1014" s="448"/>
      <c r="W1014" s="448"/>
    </row>
    <row r="1015" spans="1:23" s="458" customFormat="1" ht="5.65" customHeight="1" x14ac:dyDescent="0.2">
      <c r="A1015" s="444"/>
      <c r="B1015" s="445"/>
      <c r="C1015" s="479"/>
      <c r="D1015" s="479"/>
      <c r="E1015" s="479"/>
      <c r="F1015" s="479"/>
      <c r="G1015" s="446"/>
      <c r="H1015" s="445"/>
      <c r="I1015" s="445"/>
      <c r="J1015" s="445"/>
      <c r="K1015" s="447"/>
      <c r="L1015" s="448"/>
      <c r="M1015" s="448"/>
      <c r="N1015" s="445"/>
      <c r="O1015" s="449"/>
      <c r="P1015" s="450"/>
      <c r="Q1015" s="451"/>
      <c r="R1015" s="507"/>
      <c r="S1015" s="508"/>
      <c r="T1015" s="472"/>
      <c r="U1015" s="448"/>
      <c r="W1015" s="448"/>
    </row>
    <row r="1016" spans="1:23" s="458" customFormat="1" ht="5.65" customHeight="1" x14ac:dyDescent="0.2">
      <c r="A1016" s="444"/>
      <c r="B1016" s="445"/>
      <c r="C1016" s="479"/>
      <c r="D1016" s="479"/>
      <c r="E1016" s="479"/>
      <c r="F1016" s="479"/>
      <c r="G1016" s="446"/>
      <c r="H1016" s="445"/>
      <c r="I1016" s="445"/>
      <c r="J1016" s="445"/>
      <c r="K1016" s="447"/>
      <c r="L1016" s="448"/>
      <c r="M1016" s="448"/>
      <c r="N1016" s="445"/>
      <c r="O1016" s="449"/>
      <c r="P1016" s="450"/>
      <c r="Q1016" s="451"/>
      <c r="R1016" s="507"/>
      <c r="S1016" s="508"/>
      <c r="T1016" s="472"/>
      <c r="U1016" s="448"/>
      <c r="W1016" s="448"/>
    </row>
    <row r="1017" spans="1:23" s="458" customFormat="1" ht="5.65" customHeight="1" x14ac:dyDescent="0.2">
      <c r="A1017" s="444"/>
      <c r="B1017" s="445"/>
      <c r="C1017" s="479"/>
      <c r="D1017" s="479"/>
      <c r="E1017" s="479"/>
      <c r="F1017" s="479"/>
      <c r="G1017" s="446"/>
      <c r="H1017" s="445"/>
      <c r="I1017" s="445"/>
      <c r="J1017" s="445"/>
      <c r="K1017" s="447"/>
      <c r="L1017" s="448"/>
      <c r="M1017" s="448"/>
      <c r="N1017" s="445"/>
      <c r="O1017" s="449"/>
      <c r="P1017" s="450"/>
      <c r="Q1017" s="451"/>
      <c r="R1017" s="507"/>
      <c r="S1017" s="508"/>
      <c r="T1017" s="472"/>
      <c r="U1017" s="448"/>
      <c r="W1017" s="448"/>
    </row>
    <row r="1018" spans="1:23" s="458" customFormat="1" ht="5.65" customHeight="1" x14ac:dyDescent="0.2">
      <c r="A1018" s="444"/>
      <c r="B1018" s="445"/>
      <c r="C1018" s="479"/>
      <c r="D1018" s="479"/>
      <c r="E1018" s="479"/>
      <c r="F1018" s="479"/>
      <c r="G1018" s="446"/>
      <c r="H1018" s="445"/>
      <c r="I1018" s="445"/>
      <c r="J1018" s="445"/>
      <c r="K1018" s="447"/>
      <c r="L1018" s="448"/>
      <c r="M1018" s="448"/>
      <c r="N1018" s="445"/>
      <c r="O1018" s="449"/>
      <c r="P1018" s="450"/>
      <c r="Q1018" s="451"/>
      <c r="R1018" s="507"/>
      <c r="S1018" s="508"/>
      <c r="T1018" s="472"/>
      <c r="U1018" s="448"/>
      <c r="W1018" s="448"/>
    </row>
    <row r="1019" spans="1:23" s="458" customFormat="1" ht="5.65" customHeight="1" x14ac:dyDescent="0.2">
      <c r="A1019" s="444"/>
      <c r="B1019" s="445"/>
      <c r="C1019" s="479"/>
      <c r="D1019" s="479"/>
      <c r="E1019" s="479"/>
      <c r="F1019" s="479"/>
      <c r="G1019" s="446"/>
      <c r="H1019" s="445"/>
      <c r="I1019" s="445"/>
      <c r="J1019" s="445"/>
      <c r="K1019" s="447"/>
      <c r="L1019" s="448"/>
      <c r="M1019" s="448"/>
      <c r="N1019" s="445"/>
      <c r="O1019" s="449"/>
      <c r="P1019" s="450"/>
      <c r="Q1019" s="451"/>
      <c r="R1019" s="507"/>
      <c r="S1019" s="508"/>
      <c r="T1019" s="472"/>
      <c r="U1019" s="448"/>
      <c r="W1019" s="448"/>
    </row>
    <row r="1020" spans="1:23" s="458" customFormat="1" ht="5.65" customHeight="1" x14ac:dyDescent="0.2">
      <c r="A1020" s="444"/>
      <c r="B1020" s="445"/>
      <c r="C1020" s="479"/>
      <c r="D1020" s="479"/>
      <c r="E1020" s="479"/>
      <c r="F1020" s="479"/>
      <c r="G1020" s="446"/>
      <c r="H1020" s="445"/>
      <c r="I1020" s="445"/>
      <c r="J1020" s="445"/>
      <c r="K1020" s="447"/>
      <c r="L1020" s="448"/>
      <c r="M1020" s="448"/>
      <c r="N1020" s="445"/>
      <c r="O1020" s="449"/>
      <c r="P1020" s="450"/>
      <c r="Q1020" s="451"/>
      <c r="R1020" s="507"/>
      <c r="S1020" s="508"/>
      <c r="T1020" s="472"/>
      <c r="U1020" s="448"/>
      <c r="W1020" s="448"/>
    </row>
    <row r="1021" spans="1:23" s="458" customFormat="1" ht="5.65" customHeight="1" x14ac:dyDescent="0.2">
      <c r="A1021" s="444"/>
      <c r="B1021" s="445"/>
      <c r="C1021" s="479"/>
      <c r="D1021" s="479"/>
      <c r="E1021" s="479"/>
      <c r="F1021" s="479"/>
      <c r="G1021" s="446"/>
      <c r="H1021" s="445"/>
      <c r="I1021" s="445"/>
      <c r="J1021" s="445"/>
      <c r="K1021" s="447"/>
      <c r="L1021" s="448"/>
      <c r="M1021" s="448"/>
      <c r="N1021" s="445"/>
      <c r="O1021" s="449"/>
      <c r="P1021" s="450"/>
      <c r="Q1021" s="451"/>
      <c r="R1021" s="507"/>
      <c r="S1021" s="508"/>
      <c r="T1021" s="472"/>
      <c r="U1021" s="448"/>
      <c r="W1021" s="448"/>
    </row>
    <row r="1022" spans="1:23" s="458" customFormat="1" ht="5.65" customHeight="1" x14ac:dyDescent="0.2">
      <c r="A1022" s="444"/>
      <c r="B1022" s="445"/>
      <c r="C1022" s="479"/>
      <c r="D1022" s="479"/>
      <c r="E1022" s="479"/>
      <c r="F1022" s="479"/>
      <c r="G1022" s="446"/>
      <c r="H1022" s="445"/>
      <c r="I1022" s="445"/>
      <c r="J1022" s="445"/>
      <c r="K1022" s="447"/>
      <c r="L1022" s="448"/>
      <c r="M1022" s="448"/>
      <c r="N1022" s="445"/>
      <c r="O1022" s="449"/>
      <c r="P1022" s="450"/>
      <c r="Q1022" s="451"/>
      <c r="R1022" s="507"/>
      <c r="S1022" s="508"/>
      <c r="T1022" s="472"/>
      <c r="U1022" s="448"/>
      <c r="W1022" s="448"/>
    </row>
    <row r="1023" spans="1:23" s="458" customFormat="1" ht="5.65" customHeight="1" x14ac:dyDescent="0.2">
      <c r="A1023" s="444"/>
      <c r="B1023" s="445"/>
      <c r="C1023" s="479"/>
      <c r="D1023" s="479"/>
      <c r="E1023" s="479"/>
      <c r="F1023" s="479"/>
      <c r="G1023" s="446"/>
      <c r="H1023" s="445"/>
      <c r="I1023" s="445"/>
      <c r="J1023" s="445"/>
      <c r="K1023" s="447"/>
      <c r="L1023" s="448"/>
      <c r="M1023" s="448"/>
      <c r="N1023" s="445"/>
      <c r="O1023" s="449"/>
      <c r="P1023" s="450"/>
      <c r="Q1023" s="451"/>
      <c r="R1023" s="507"/>
      <c r="S1023" s="508"/>
      <c r="T1023" s="472"/>
      <c r="U1023" s="448"/>
      <c r="W1023" s="448"/>
    </row>
    <row r="1024" spans="1:23" s="458" customFormat="1" ht="5.65" customHeight="1" x14ac:dyDescent="0.2">
      <c r="A1024" s="444"/>
      <c r="B1024" s="445"/>
      <c r="C1024" s="479"/>
      <c r="D1024" s="479"/>
      <c r="E1024" s="479"/>
      <c r="F1024" s="479"/>
      <c r="G1024" s="446"/>
      <c r="H1024" s="445"/>
      <c r="I1024" s="445"/>
      <c r="J1024" s="445"/>
      <c r="K1024" s="447"/>
      <c r="L1024" s="448"/>
      <c r="M1024" s="448"/>
      <c r="N1024" s="445"/>
      <c r="O1024" s="449"/>
      <c r="P1024" s="450"/>
      <c r="Q1024" s="451"/>
      <c r="R1024" s="507"/>
      <c r="S1024" s="508"/>
      <c r="T1024" s="472"/>
      <c r="U1024" s="448"/>
      <c r="W1024" s="448"/>
    </row>
    <row r="1025" spans="1:23" s="458" customFormat="1" ht="5.65" customHeight="1" x14ac:dyDescent="0.2">
      <c r="A1025" s="444"/>
      <c r="B1025" s="445"/>
      <c r="C1025" s="479"/>
      <c r="D1025" s="479"/>
      <c r="E1025" s="479"/>
      <c r="F1025" s="479"/>
      <c r="G1025" s="446"/>
      <c r="H1025" s="445"/>
      <c r="I1025" s="445"/>
      <c r="J1025" s="445"/>
      <c r="K1025" s="447"/>
      <c r="L1025" s="448"/>
      <c r="M1025" s="448"/>
      <c r="N1025" s="445"/>
      <c r="O1025" s="449"/>
      <c r="P1025" s="450"/>
      <c r="Q1025" s="451"/>
      <c r="R1025" s="507"/>
      <c r="S1025" s="508"/>
      <c r="T1025" s="472"/>
      <c r="U1025" s="448"/>
      <c r="W1025" s="448"/>
    </row>
    <row r="1026" spans="1:23" s="458" customFormat="1" ht="5.65" customHeight="1" x14ac:dyDescent="0.2">
      <c r="A1026" s="444"/>
      <c r="B1026" s="445"/>
      <c r="C1026" s="479"/>
      <c r="D1026" s="479"/>
      <c r="E1026" s="479"/>
      <c r="F1026" s="479"/>
      <c r="G1026" s="446"/>
      <c r="H1026" s="445"/>
      <c r="I1026" s="445"/>
      <c r="J1026" s="445"/>
      <c r="K1026" s="447"/>
      <c r="L1026" s="448"/>
      <c r="M1026" s="448"/>
      <c r="N1026" s="445"/>
      <c r="O1026" s="449"/>
      <c r="P1026" s="450"/>
      <c r="Q1026" s="451"/>
      <c r="R1026" s="507"/>
      <c r="S1026" s="508"/>
      <c r="T1026" s="472"/>
      <c r="U1026" s="448"/>
      <c r="W1026" s="448"/>
    </row>
    <row r="1027" spans="1:23" s="458" customFormat="1" ht="5.65" customHeight="1" x14ac:dyDescent="0.2">
      <c r="A1027" s="444"/>
      <c r="B1027" s="445"/>
      <c r="C1027" s="479"/>
      <c r="D1027" s="479"/>
      <c r="E1027" s="479"/>
      <c r="F1027" s="479"/>
      <c r="G1027" s="446"/>
      <c r="H1027" s="445"/>
      <c r="I1027" s="445"/>
      <c r="J1027" s="445"/>
      <c r="K1027" s="447"/>
      <c r="L1027" s="448"/>
      <c r="M1027" s="448"/>
      <c r="N1027" s="445"/>
      <c r="O1027" s="449"/>
      <c r="P1027" s="450"/>
      <c r="Q1027" s="451"/>
      <c r="R1027" s="507"/>
      <c r="S1027" s="508"/>
      <c r="T1027" s="472"/>
      <c r="U1027" s="448"/>
      <c r="W1027" s="448"/>
    </row>
    <row r="1028" spans="1:23" s="458" customFormat="1" ht="5.65" customHeight="1" x14ac:dyDescent="0.2">
      <c r="A1028" s="444"/>
      <c r="B1028" s="445"/>
      <c r="C1028" s="479"/>
      <c r="D1028" s="479"/>
      <c r="E1028" s="479"/>
      <c r="F1028" s="479"/>
      <c r="G1028" s="446"/>
      <c r="H1028" s="445"/>
      <c r="I1028" s="445"/>
      <c r="J1028" s="445"/>
      <c r="K1028" s="447"/>
      <c r="L1028" s="448"/>
      <c r="M1028" s="448"/>
      <c r="N1028" s="445"/>
      <c r="O1028" s="449"/>
      <c r="P1028" s="450"/>
      <c r="Q1028" s="451"/>
      <c r="R1028" s="507"/>
      <c r="S1028" s="508"/>
      <c r="T1028" s="472"/>
      <c r="U1028" s="448"/>
      <c r="W1028" s="448"/>
    </row>
    <row r="1029" spans="1:23" s="458" customFormat="1" ht="5.65" customHeight="1" x14ac:dyDescent="0.2">
      <c r="A1029" s="444"/>
      <c r="B1029" s="445"/>
      <c r="C1029" s="479"/>
      <c r="D1029" s="479"/>
      <c r="E1029" s="479"/>
      <c r="F1029" s="479"/>
      <c r="G1029" s="446"/>
      <c r="H1029" s="445"/>
      <c r="I1029" s="445"/>
      <c r="J1029" s="445"/>
      <c r="K1029" s="447"/>
      <c r="L1029" s="448"/>
      <c r="M1029" s="448"/>
      <c r="N1029" s="445"/>
      <c r="O1029" s="449"/>
      <c r="P1029" s="450"/>
      <c r="Q1029" s="451"/>
      <c r="R1029" s="507"/>
      <c r="S1029" s="508"/>
      <c r="T1029" s="472"/>
      <c r="U1029" s="448"/>
      <c r="W1029" s="448"/>
    </row>
    <row r="1030" spans="1:23" s="458" customFormat="1" ht="5.65" customHeight="1" x14ac:dyDescent="0.2">
      <c r="A1030" s="444"/>
      <c r="B1030" s="445"/>
      <c r="C1030" s="479"/>
      <c r="D1030" s="479"/>
      <c r="E1030" s="479"/>
      <c r="F1030" s="479"/>
      <c r="G1030" s="446"/>
      <c r="H1030" s="445"/>
      <c r="I1030" s="445"/>
      <c r="J1030" s="445"/>
      <c r="K1030" s="447"/>
      <c r="L1030" s="448"/>
      <c r="M1030" s="448"/>
      <c r="N1030" s="445"/>
      <c r="O1030" s="449"/>
      <c r="P1030" s="450"/>
      <c r="Q1030" s="451"/>
      <c r="R1030" s="507"/>
      <c r="S1030" s="508"/>
      <c r="T1030" s="472"/>
      <c r="U1030" s="448"/>
      <c r="W1030" s="448"/>
    </row>
    <row r="1031" spans="1:23" s="458" customFormat="1" ht="5.65" customHeight="1" x14ac:dyDescent="0.2">
      <c r="A1031" s="444"/>
      <c r="B1031" s="445"/>
      <c r="C1031" s="479"/>
      <c r="D1031" s="479"/>
      <c r="E1031" s="479"/>
      <c r="F1031" s="479"/>
      <c r="G1031" s="446"/>
      <c r="H1031" s="445"/>
      <c r="I1031" s="445"/>
      <c r="J1031" s="445"/>
      <c r="K1031" s="447"/>
      <c r="L1031" s="448"/>
      <c r="M1031" s="448"/>
      <c r="N1031" s="445"/>
      <c r="O1031" s="449"/>
      <c r="P1031" s="450"/>
      <c r="Q1031" s="451"/>
      <c r="R1031" s="507"/>
      <c r="S1031" s="508"/>
      <c r="T1031" s="472"/>
      <c r="U1031" s="448"/>
      <c r="W1031" s="448"/>
    </row>
    <row r="1032" spans="1:23" s="458" customFormat="1" ht="5.65" customHeight="1" x14ac:dyDescent="0.2">
      <c r="A1032" s="444"/>
      <c r="B1032" s="445"/>
      <c r="C1032" s="479"/>
      <c r="D1032" s="479"/>
      <c r="E1032" s="479"/>
      <c r="F1032" s="479"/>
      <c r="G1032" s="446"/>
      <c r="H1032" s="445"/>
      <c r="I1032" s="445"/>
      <c r="J1032" s="445"/>
      <c r="K1032" s="447"/>
      <c r="L1032" s="448"/>
      <c r="M1032" s="448"/>
      <c r="N1032" s="445"/>
      <c r="O1032" s="449"/>
      <c r="P1032" s="450"/>
      <c r="Q1032" s="451"/>
      <c r="R1032" s="507"/>
      <c r="S1032" s="508"/>
      <c r="T1032" s="472"/>
      <c r="U1032" s="448"/>
      <c r="W1032" s="448"/>
    </row>
    <row r="1033" spans="1:23" s="458" customFormat="1" ht="5.65" customHeight="1" x14ac:dyDescent="0.2">
      <c r="A1033" s="444"/>
      <c r="B1033" s="445"/>
      <c r="C1033" s="479"/>
      <c r="D1033" s="479"/>
      <c r="E1033" s="479"/>
      <c r="F1033" s="479"/>
      <c r="G1033" s="446"/>
      <c r="H1033" s="445"/>
      <c r="I1033" s="445"/>
      <c r="J1033" s="445"/>
      <c r="K1033" s="447"/>
      <c r="L1033" s="448"/>
      <c r="M1033" s="448"/>
      <c r="N1033" s="445"/>
      <c r="O1033" s="449"/>
      <c r="P1033" s="450"/>
      <c r="Q1033" s="451"/>
      <c r="R1033" s="507"/>
      <c r="S1033" s="508"/>
      <c r="T1033" s="472"/>
      <c r="U1033" s="448"/>
      <c r="W1033" s="448"/>
    </row>
    <row r="1034" spans="1:23" s="458" customFormat="1" ht="5.65" customHeight="1" x14ac:dyDescent="0.2">
      <c r="A1034" s="444"/>
      <c r="B1034" s="445"/>
      <c r="C1034" s="479"/>
      <c r="D1034" s="479"/>
      <c r="E1034" s="479"/>
      <c r="F1034" s="479"/>
      <c r="G1034" s="446"/>
      <c r="H1034" s="445"/>
      <c r="I1034" s="445"/>
      <c r="J1034" s="445"/>
      <c r="K1034" s="447"/>
      <c r="L1034" s="448"/>
      <c r="M1034" s="448"/>
      <c r="N1034" s="445"/>
      <c r="O1034" s="449"/>
      <c r="P1034" s="450"/>
      <c r="Q1034" s="451"/>
      <c r="R1034" s="507"/>
      <c r="S1034" s="508"/>
      <c r="T1034" s="472"/>
      <c r="U1034" s="448"/>
      <c r="W1034" s="448"/>
    </row>
    <row r="1035" spans="1:23" s="458" customFormat="1" ht="5.65" customHeight="1" x14ac:dyDescent="0.2">
      <c r="A1035" s="444"/>
      <c r="B1035" s="445"/>
      <c r="C1035" s="479"/>
      <c r="D1035" s="479"/>
      <c r="E1035" s="479"/>
      <c r="F1035" s="479"/>
      <c r="G1035" s="446"/>
      <c r="H1035" s="445"/>
      <c r="I1035" s="445"/>
      <c r="J1035" s="445"/>
      <c r="K1035" s="447"/>
      <c r="L1035" s="448"/>
      <c r="M1035" s="448"/>
      <c r="N1035" s="445"/>
      <c r="O1035" s="449"/>
      <c r="P1035" s="450"/>
      <c r="Q1035" s="451"/>
      <c r="R1035" s="507"/>
      <c r="S1035" s="508"/>
      <c r="T1035" s="472"/>
      <c r="U1035" s="448"/>
      <c r="W1035" s="448"/>
    </row>
    <row r="1036" spans="1:23" s="458" customFormat="1" ht="5.65" customHeight="1" x14ac:dyDescent="0.2">
      <c r="A1036" s="444"/>
      <c r="B1036" s="445"/>
      <c r="C1036" s="479"/>
      <c r="D1036" s="479"/>
      <c r="E1036" s="479"/>
      <c r="F1036" s="479"/>
      <c r="G1036" s="446"/>
      <c r="H1036" s="445"/>
      <c r="I1036" s="445"/>
      <c r="J1036" s="445"/>
      <c r="K1036" s="447"/>
      <c r="L1036" s="448"/>
      <c r="M1036" s="448"/>
      <c r="N1036" s="445"/>
      <c r="O1036" s="449"/>
      <c r="P1036" s="450"/>
      <c r="Q1036" s="451"/>
      <c r="R1036" s="507"/>
      <c r="S1036" s="508"/>
      <c r="T1036" s="472"/>
      <c r="U1036" s="448"/>
      <c r="W1036" s="448"/>
    </row>
    <row r="1037" spans="1:23" s="458" customFormat="1" ht="5.65" customHeight="1" x14ac:dyDescent="0.2">
      <c r="A1037" s="444"/>
      <c r="B1037" s="445"/>
      <c r="C1037" s="479"/>
      <c r="D1037" s="479"/>
      <c r="E1037" s="479"/>
      <c r="F1037" s="479"/>
      <c r="G1037" s="446"/>
      <c r="H1037" s="445"/>
      <c r="I1037" s="445"/>
      <c r="J1037" s="445"/>
      <c r="K1037" s="447"/>
      <c r="L1037" s="448"/>
      <c r="M1037" s="448"/>
      <c r="N1037" s="445"/>
      <c r="O1037" s="449"/>
      <c r="P1037" s="450"/>
      <c r="Q1037" s="451"/>
      <c r="R1037" s="507"/>
      <c r="S1037" s="508"/>
      <c r="T1037" s="472"/>
      <c r="U1037" s="448"/>
      <c r="W1037" s="448"/>
    </row>
    <row r="1038" spans="1:23" s="458" customFormat="1" ht="5.65" customHeight="1" x14ac:dyDescent="0.2">
      <c r="A1038" s="444"/>
      <c r="B1038" s="445"/>
      <c r="C1038" s="479"/>
      <c r="D1038" s="479"/>
      <c r="E1038" s="479"/>
      <c r="F1038" s="479"/>
      <c r="G1038" s="446"/>
      <c r="H1038" s="445"/>
      <c r="I1038" s="445"/>
      <c r="J1038" s="445"/>
      <c r="K1038" s="447"/>
      <c r="L1038" s="448"/>
      <c r="M1038" s="448"/>
      <c r="N1038" s="445"/>
      <c r="O1038" s="449"/>
      <c r="P1038" s="450"/>
      <c r="Q1038" s="451"/>
      <c r="R1038" s="507"/>
      <c r="S1038" s="508"/>
      <c r="T1038" s="472"/>
      <c r="U1038" s="448"/>
      <c r="W1038" s="448"/>
    </row>
    <row r="1039" spans="1:23" s="458" customFormat="1" ht="5.65" customHeight="1" x14ac:dyDescent="0.2">
      <c r="A1039" s="444"/>
      <c r="B1039" s="445"/>
      <c r="C1039" s="479"/>
      <c r="D1039" s="479"/>
      <c r="E1039" s="479"/>
      <c r="F1039" s="479"/>
      <c r="G1039" s="446"/>
      <c r="H1039" s="445"/>
      <c r="I1039" s="445"/>
      <c r="J1039" s="445"/>
      <c r="K1039" s="447"/>
      <c r="L1039" s="448"/>
      <c r="M1039" s="448"/>
      <c r="N1039" s="445"/>
      <c r="O1039" s="449"/>
      <c r="P1039" s="450"/>
      <c r="Q1039" s="451"/>
      <c r="R1039" s="507"/>
      <c r="S1039" s="508"/>
      <c r="T1039" s="472"/>
      <c r="U1039" s="448"/>
      <c r="W1039" s="448"/>
    </row>
    <row r="1040" spans="1:23" s="458" customFormat="1" ht="5.65" customHeight="1" x14ac:dyDescent="0.2">
      <c r="A1040" s="444"/>
      <c r="B1040" s="445"/>
      <c r="C1040" s="479"/>
      <c r="D1040" s="479"/>
      <c r="E1040" s="479"/>
      <c r="F1040" s="479"/>
      <c r="G1040" s="446"/>
      <c r="H1040" s="445"/>
      <c r="I1040" s="445"/>
      <c r="J1040" s="445"/>
      <c r="K1040" s="447"/>
      <c r="L1040" s="448"/>
      <c r="M1040" s="448"/>
      <c r="N1040" s="445"/>
      <c r="O1040" s="449"/>
      <c r="P1040" s="450"/>
      <c r="Q1040" s="451"/>
      <c r="R1040" s="507"/>
      <c r="S1040" s="508"/>
      <c r="T1040" s="472"/>
      <c r="U1040" s="448"/>
      <c r="W1040" s="448"/>
    </row>
    <row r="1041" spans="1:23" s="458" customFormat="1" ht="5.65" customHeight="1" x14ac:dyDescent="0.2">
      <c r="A1041" s="444"/>
      <c r="B1041" s="445"/>
      <c r="C1041" s="479"/>
      <c r="D1041" s="479"/>
      <c r="E1041" s="479"/>
      <c r="F1041" s="479"/>
      <c r="G1041" s="446"/>
      <c r="H1041" s="445"/>
      <c r="I1041" s="445"/>
      <c r="J1041" s="445"/>
      <c r="K1041" s="447"/>
      <c r="L1041" s="448"/>
      <c r="M1041" s="448"/>
      <c r="N1041" s="445"/>
      <c r="O1041" s="449"/>
      <c r="P1041" s="450"/>
      <c r="Q1041" s="451"/>
      <c r="R1041" s="507"/>
      <c r="S1041" s="508"/>
      <c r="T1041" s="472"/>
      <c r="U1041" s="448"/>
      <c r="W1041" s="448"/>
    </row>
    <row r="1042" spans="1:23" s="458" customFormat="1" ht="5.65" customHeight="1" x14ac:dyDescent="0.2">
      <c r="A1042" s="444"/>
      <c r="B1042" s="445"/>
      <c r="C1042" s="479"/>
      <c r="D1042" s="479"/>
      <c r="E1042" s="479"/>
      <c r="F1042" s="479"/>
      <c r="G1042" s="446"/>
      <c r="H1042" s="445"/>
      <c r="I1042" s="445"/>
      <c r="J1042" s="445"/>
      <c r="K1042" s="447"/>
      <c r="L1042" s="448"/>
      <c r="M1042" s="448"/>
      <c r="N1042" s="445"/>
      <c r="O1042" s="449"/>
      <c r="P1042" s="450"/>
      <c r="Q1042" s="451"/>
      <c r="R1042" s="507"/>
      <c r="S1042" s="508"/>
      <c r="T1042" s="472"/>
      <c r="U1042" s="448"/>
      <c r="W1042" s="448"/>
    </row>
    <row r="1043" spans="1:23" s="458" customFormat="1" ht="5.65" customHeight="1" x14ac:dyDescent="0.2">
      <c r="A1043" s="444"/>
      <c r="B1043" s="445"/>
      <c r="C1043" s="479"/>
      <c r="D1043" s="479"/>
      <c r="E1043" s="479"/>
      <c r="F1043" s="479"/>
      <c r="G1043" s="446"/>
      <c r="H1043" s="445"/>
      <c r="I1043" s="445"/>
      <c r="J1043" s="445"/>
      <c r="K1043" s="447"/>
      <c r="L1043" s="448"/>
      <c r="M1043" s="448"/>
      <c r="N1043" s="445"/>
      <c r="O1043" s="449"/>
      <c r="P1043" s="450"/>
      <c r="Q1043" s="451"/>
      <c r="R1043" s="507"/>
      <c r="S1043" s="508"/>
      <c r="T1043" s="472"/>
      <c r="U1043" s="448"/>
      <c r="W1043" s="448"/>
    </row>
    <row r="1044" spans="1:23" s="458" customFormat="1" ht="5.65" customHeight="1" x14ac:dyDescent="0.2">
      <c r="A1044" s="444"/>
      <c r="B1044" s="445"/>
      <c r="C1044" s="479"/>
      <c r="D1044" s="479"/>
      <c r="E1044" s="479"/>
      <c r="F1044" s="479"/>
      <c r="G1044" s="446"/>
      <c r="H1044" s="445"/>
      <c r="I1044" s="445"/>
      <c r="J1044" s="445"/>
      <c r="K1044" s="447"/>
      <c r="L1044" s="448"/>
      <c r="M1044" s="448"/>
      <c r="N1044" s="445"/>
      <c r="O1044" s="449"/>
      <c r="P1044" s="450"/>
      <c r="Q1044" s="451"/>
      <c r="R1044" s="507"/>
      <c r="S1044" s="508"/>
      <c r="T1044" s="472"/>
      <c r="U1044" s="448"/>
      <c r="W1044" s="448"/>
    </row>
    <row r="1045" spans="1:23" s="458" customFormat="1" ht="5.65" customHeight="1" x14ac:dyDescent="0.2">
      <c r="A1045" s="444"/>
      <c r="B1045" s="445"/>
      <c r="C1045" s="479"/>
      <c r="D1045" s="479"/>
      <c r="E1045" s="479"/>
      <c r="F1045" s="479"/>
      <c r="G1045" s="446"/>
      <c r="H1045" s="445"/>
      <c r="I1045" s="445"/>
      <c r="J1045" s="445"/>
      <c r="K1045" s="447"/>
      <c r="L1045" s="448"/>
      <c r="M1045" s="448"/>
      <c r="N1045" s="445"/>
      <c r="O1045" s="449"/>
      <c r="P1045" s="450"/>
      <c r="Q1045" s="451"/>
      <c r="R1045" s="507"/>
      <c r="S1045" s="508"/>
      <c r="T1045" s="472"/>
      <c r="U1045" s="448"/>
      <c r="W1045" s="448"/>
    </row>
    <row r="1046" spans="1:23" s="458" customFormat="1" ht="5.65" customHeight="1" x14ac:dyDescent="0.2">
      <c r="A1046" s="444"/>
      <c r="B1046" s="445"/>
      <c r="C1046" s="479"/>
      <c r="D1046" s="479"/>
      <c r="E1046" s="479"/>
      <c r="F1046" s="479"/>
      <c r="G1046" s="446"/>
      <c r="H1046" s="445"/>
      <c r="I1046" s="445"/>
      <c r="J1046" s="445"/>
      <c r="K1046" s="447"/>
      <c r="L1046" s="448"/>
      <c r="M1046" s="448"/>
      <c r="N1046" s="445"/>
      <c r="O1046" s="449"/>
      <c r="P1046" s="450"/>
      <c r="Q1046" s="451"/>
      <c r="R1046" s="507"/>
      <c r="S1046" s="508"/>
      <c r="T1046" s="472"/>
      <c r="U1046" s="448"/>
      <c r="W1046" s="448"/>
    </row>
    <row r="1047" spans="1:23" s="458" customFormat="1" ht="5.65" customHeight="1" x14ac:dyDescent="0.2">
      <c r="A1047" s="444"/>
      <c r="B1047" s="445"/>
      <c r="C1047" s="479"/>
      <c r="D1047" s="479"/>
      <c r="E1047" s="479"/>
      <c r="F1047" s="479"/>
      <c r="G1047" s="446"/>
      <c r="H1047" s="445"/>
      <c r="I1047" s="445"/>
      <c r="J1047" s="445"/>
      <c r="K1047" s="447"/>
      <c r="L1047" s="448"/>
      <c r="M1047" s="448"/>
      <c r="N1047" s="445"/>
      <c r="O1047" s="449"/>
      <c r="P1047" s="450"/>
      <c r="Q1047" s="451"/>
      <c r="R1047" s="507"/>
      <c r="S1047" s="508"/>
      <c r="T1047" s="472"/>
      <c r="U1047" s="448"/>
      <c r="W1047" s="448"/>
    </row>
    <row r="1048" spans="1:23" s="458" customFormat="1" ht="5.65" customHeight="1" x14ac:dyDescent="0.2">
      <c r="A1048" s="444"/>
      <c r="B1048" s="445"/>
      <c r="C1048" s="479"/>
      <c r="D1048" s="479"/>
      <c r="E1048" s="479"/>
      <c r="F1048" s="479"/>
      <c r="G1048" s="446"/>
      <c r="H1048" s="445"/>
      <c r="I1048" s="445"/>
      <c r="J1048" s="445"/>
      <c r="K1048" s="447"/>
      <c r="L1048" s="448"/>
      <c r="M1048" s="448"/>
      <c r="N1048" s="445"/>
      <c r="O1048" s="449"/>
      <c r="P1048" s="450"/>
      <c r="Q1048" s="451"/>
      <c r="R1048" s="507"/>
      <c r="S1048" s="508"/>
      <c r="T1048" s="472"/>
      <c r="U1048" s="448"/>
      <c r="W1048" s="448"/>
    </row>
    <row r="1049" spans="1:23" s="458" customFormat="1" ht="5.65" customHeight="1" x14ac:dyDescent="0.2">
      <c r="A1049" s="444"/>
      <c r="B1049" s="445"/>
      <c r="C1049" s="479"/>
      <c r="D1049" s="479"/>
      <c r="E1049" s="479"/>
      <c r="F1049" s="479"/>
      <c r="G1049" s="446"/>
      <c r="H1049" s="445"/>
      <c r="I1049" s="445"/>
      <c r="J1049" s="445"/>
      <c r="K1049" s="447"/>
      <c r="L1049" s="448"/>
      <c r="M1049" s="448"/>
      <c r="N1049" s="445"/>
      <c r="O1049" s="449"/>
      <c r="P1049" s="450"/>
      <c r="Q1049" s="451"/>
      <c r="R1049" s="507"/>
      <c r="S1049" s="508"/>
      <c r="T1049" s="472"/>
      <c r="U1049" s="448"/>
      <c r="W1049" s="448"/>
    </row>
    <row r="1050" spans="1:23" s="458" customFormat="1" ht="5.65" customHeight="1" x14ac:dyDescent="0.2">
      <c r="A1050" s="444"/>
      <c r="B1050" s="445"/>
      <c r="C1050" s="479"/>
      <c r="D1050" s="479"/>
      <c r="E1050" s="479"/>
      <c r="F1050" s="479"/>
      <c r="G1050" s="446"/>
      <c r="H1050" s="445"/>
      <c r="I1050" s="445"/>
      <c r="J1050" s="445"/>
      <c r="K1050" s="447"/>
      <c r="L1050" s="448"/>
      <c r="M1050" s="448"/>
      <c r="N1050" s="445"/>
      <c r="O1050" s="449"/>
      <c r="P1050" s="450"/>
      <c r="Q1050" s="451"/>
      <c r="R1050" s="507"/>
      <c r="S1050" s="508"/>
      <c r="T1050" s="472"/>
      <c r="U1050" s="448"/>
      <c r="W1050" s="448"/>
    </row>
    <row r="1051" spans="1:23" s="458" customFormat="1" ht="5.65" customHeight="1" x14ac:dyDescent="0.2">
      <c r="A1051" s="444"/>
      <c r="B1051" s="445"/>
      <c r="C1051" s="479"/>
      <c r="D1051" s="479"/>
      <c r="E1051" s="479"/>
      <c r="F1051" s="479"/>
      <c r="G1051" s="446"/>
      <c r="H1051" s="445"/>
      <c r="I1051" s="445"/>
      <c r="J1051" s="445"/>
      <c r="K1051" s="447"/>
      <c r="L1051" s="448"/>
      <c r="M1051" s="448"/>
      <c r="N1051" s="445"/>
      <c r="O1051" s="449"/>
      <c r="P1051" s="450"/>
      <c r="Q1051" s="451"/>
      <c r="R1051" s="507"/>
      <c r="S1051" s="508"/>
      <c r="T1051" s="472"/>
      <c r="U1051" s="448"/>
      <c r="W1051" s="448"/>
    </row>
    <row r="1052" spans="1:23" s="458" customFormat="1" ht="5.65" customHeight="1" x14ac:dyDescent="0.2">
      <c r="A1052" s="444"/>
      <c r="B1052" s="445"/>
      <c r="C1052" s="479"/>
      <c r="D1052" s="479"/>
      <c r="E1052" s="479"/>
      <c r="F1052" s="479"/>
      <c r="G1052" s="446"/>
      <c r="H1052" s="445"/>
      <c r="I1052" s="445"/>
      <c r="J1052" s="445"/>
      <c r="K1052" s="447"/>
      <c r="L1052" s="448"/>
      <c r="M1052" s="448"/>
      <c r="N1052" s="445"/>
      <c r="O1052" s="449"/>
      <c r="P1052" s="450"/>
      <c r="Q1052" s="451"/>
      <c r="R1052" s="507"/>
      <c r="S1052" s="508"/>
      <c r="T1052" s="472"/>
      <c r="U1052" s="448"/>
      <c r="W1052" s="448"/>
    </row>
    <row r="1053" spans="1:23" s="458" customFormat="1" ht="5.65" customHeight="1" x14ac:dyDescent="0.2">
      <c r="A1053" s="444"/>
      <c r="B1053" s="445"/>
      <c r="C1053" s="479"/>
      <c r="D1053" s="479"/>
      <c r="E1053" s="479"/>
      <c r="F1053" s="479"/>
      <c r="G1053" s="446"/>
      <c r="H1053" s="445"/>
      <c r="I1053" s="445"/>
      <c r="J1053" s="445"/>
      <c r="K1053" s="447"/>
      <c r="L1053" s="448"/>
      <c r="M1053" s="448"/>
      <c r="N1053" s="445"/>
      <c r="O1053" s="449"/>
      <c r="P1053" s="450"/>
      <c r="Q1053" s="451"/>
      <c r="R1053" s="507"/>
      <c r="S1053" s="508"/>
      <c r="T1053" s="472"/>
      <c r="U1053" s="448"/>
      <c r="W1053" s="448"/>
    </row>
    <row r="1054" spans="1:23" s="458" customFormat="1" ht="5.65" customHeight="1" x14ac:dyDescent="0.2">
      <c r="A1054" s="444"/>
      <c r="B1054" s="445"/>
      <c r="C1054" s="479"/>
      <c r="D1054" s="479"/>
      <c r="E1054" s="479"/>
      <c r="F1054" s="479"/>
      <c r="G1054" s="446"/>
      <c r="H1054" s="445"/>
      <c r="I1054" s="445"/>
      <c r="J1054" s="445"/>
      <c r="K1054" s="447"/>
      <c r="L1054" s="448"/>
      <c r="M1054" s="448"/>
      <c r="N1054" s="445"/>
      <c r="O1054" s="449"/>
      <c r="P1054" s="450"/>
      <c r="Q1054" s="451"/>
      <c r="R1054" s="507"/>
      <c r="S1054" s="508"/>
      <c r="T1054" s="472"/>
      <c r="U1054" s="448"/>
      <c r="W1054" s="448"/>
    </row>
    <row r="1055" spans="1:23" s="458" customFormat="1" ht="5.65" customHeight="1" x14ac:dyDescent="0.2">
      <c r="A1055" s="444"/>
      <c r="B1055" s="445"/>
      <c r="C1055" s="479"/>
      <c r="D1055" s="479"/>
      <c r="E1055" s="479"/>
      <c r="F1055" s="479"/>
      <c r="G1055" s="446"/>
      <c r="H1055" s="445"/>
      <c r="I1055" s="445"/>
      <c r="J1055" s="445"/>
      <c r="K1055" s="447"/>
      <c r="L1055" s="448"/>
      <c r="M1055" s="448"/>
      <c r="N1055" s="445"/>
      <c r="O1055" s="449"/>
      <c r="P1055" s="450"/>
      <c r="Q1055" s="451"/>
      <c r="R1055" s="507"/>
      <c r="S1055" s="508"/>
      <c r="T1055" s="472"/>
      <c r="U1055" s="448"/>
      <c r="W1055" s="448"/>
    </row>
    <row r="1056" spans="1:23" s="458" customFormat="1" ht="5.65" customHeight="1" x14ac:dyDescent="0.2">
      <c r="A1056" s="444"/>
      <c r="B1056" s="445"/>
      <c r="C1056" s="479"/>
      <c r="D1056" s="479"/>
      <c r="E1056" s="479"/>
      <c r="F1056" s="479"/>
      <c r="G1056" s="446"/>
      <c r="H1056" s="445"/>
      <c r="I1056" s="445"/>
      <c r="J1056" s="445"/>
      <c r="K1056" s="447"/>
      <c r="L1056" s="448"/>
      <c r="M1056" s="448"/>
      <c r="N1056" s="445"/>
      <c r="O1056" s="449"/>
      <c r="P1056" s="450"/>
      <c r="Q1056" s="451"/>
      <c r="R1056" s="507"/>
      <c r="S1056" s="508"/>
      <c r="T1056" s="472"/>
      <c r="U1056" s="448"/>
      <c r="W1056" s="448"/>
    </row>
    <row r="1057" spans="1:23" s="458" customFormat="1" ht="5.65" customHeight="1" x14ac:dyDescent="0.2">
      <c r="A1057" s="444"/>
      <c r="B1057" s="445"/>
      <c r="C1057" s="479"/>
      <c r="D1057" s="479"/>
      <c r="E1057" s="479"/>
      <c r="F1057" s="479"/>
      <c r="G1057" s="446"/>
      <c r="H1057" s="445"/>
      <c r="I1057" s="445"/>
      <c r="J1057" s="445"/>
      <c r="K1057" s="447"/>
      <c r="L1057" s="448"/>
      <c r="M1057" s="448"/>
      <c r="N1057" s="445"/>
      <c r="O1057" s="449"/>
      <c r="P1057" s="450"/>
      <c r="Q1057" s="451"/>
      <c r="R1057" s="507"/>
      <c r="S1057" s="508"/>
      <c r="T1057" s="472"/>
      <c r="U1057" s="448"/>
      <c r="W1057" s="448"/>
    </row>
    <row r="1058" spans="1:23" s="458" customFormat="1" ht="5.65" customHeight="1" x14ac:dyDescent="0.2">
      <c r="A1058" s="444"/>
      <c r="B1058" s="445"/>
      <c r="C1058" s="479"/>
      <c r="D1058" s="479"/>
      <c r="E1058" s="479"/>
      <c r="F1058" s="479"/>
      <c r="G1058" s="446"/>
      <c r="H1058" s="445"/>
      <c r="I1058" s="445"/>
      <c r="J1058" s="445"/>
      <c r="K1058" s="447"/>
      <c r="L1058" s="448"/>
      <c r="M1058" s="448"/>
      <c r="N1058" s="445"/>
      <c r="O1058" s="449"/>
      <c r="P1058" s="450"/>
      <c r="Q1058" s="451"/>
      <c r="R1058" s="507"/>
      <c r="S1058" s="508"/>
      <c r="T1058" s="472"/>
      <c r="U1058" s="448"/>
      <c r="W1058" s="448"/>
    </row>
    <row r="1059" spans="1:23" s="458" customFormat="1" ht="5.65" customHeight="1" x14ac:dyDescent="0.2">
      <c r="A1059" s="444"/>
      <c r="B1059" s="445"/>
      <c r="C1059" s="479"/>
      <c r="D1059" s="479"/>
      <c r="E1059" s="479"/>
      <c r="F1059" s="479"/>
      <c r="G1059" s="446"/>
      <c r="H1059" s="445"/>
      <c r="I1059" s="445"/>
      <c r="J1059" s="445"/>
      <c r="K1059" s="447"/>
      <c r="L1059" s="448"/>
      <c r="M1059" s="448"/>
      <c r="N1059" s="445"/>
      <c r="O1059" s="449"/>
      <c r="P1059" s="450"/>
      <c r="Q1059" s="451"/>
      <c r="R1059" s="507"/>
      <c r="S1059" s="508"/>
      <c r="T1059" s="472"/>
      <c r="U1059" s="448"/>
      <c r="W1059" s="448"/>
    </row>
    <row r="1060" spans="1:23" s="458" customFormat="1" ht="5.65" customHeight="1" x14ac:dyDescent="0.2">
      <c r="A1060" s="444"/>
      <c r="B1060" s="445"/>
      <c r="C1060" s="479"/>
      <c r="D1060" s="479"/>
      <c r="E1060" s="479"/>
      <c r="F1060" s="479"/>
      <c r="G1060" s="446"/>
      <c r="H1060" s="445"/>
      <c r="I1060" s="445"/>
      <c r="J1060" s="445"/>
      <c r="K1060" s="447"/>
      <c r="L1060" s="448"/>
      <c r="M1060" s="448"/>
      <c r="N1060" s="445"/>
      <c r="O1060" s="449"/>
      <c r="P1060" s="450"/>
      <c r="Q1060" s="451"/>
      <c r="R1060" s="507"/>
      <c r="S1060" s="508"/>
      <c r="T1060" s="472"/>
      <c r="U1060" s="448"/>
      <c r="W1060" s="448"/>
    </row>
    <row r="1061" spans="1:23" s="458" customFormat="1" ht="5.65" customHeight="1" x14ac:dyDescent="0.2">
      <c r="A1061" s="444"/>
      <c r="B1061" s="445"/>
      <c r="C1061" s="479"/>
      <c r="D1061" s="479"/>
      <c r="E1061" s="479"/>
      <c r="F1061" s="479"/>
      <c r="G1061" s="446"/>
      <c r="H1061" s="445"/>
      <c r="I1061" s="445"/>
      <c r="J1061" s="445"/>
      <c r="K1061" s="447"/>
      <c r="L1061" s="448"/>
      <c r="M1061" s="448"/>
      <c r="N1061" s="445"/>
      <c r="O1061" s="449"/>
      <c r="P1061" s="450"/>
      <c r="Q1061" s="451"/>
      <c r="R1061" s="507"/>
      <c r="S1061" s="508"/>
      <c r="T1061" s="472"/>
      <c r="U1061" s="448"/>
      <c r="W1061" s="448"/>
    </row>
    <row r="1062" spans="1:23" s="458" customFormat="1" ht="5.65" customHeight="1" x14ac:dyDescent="0.2">
      <c r="A1062" s="444"/>
      <c r="B1062" s="445"/>
      <c r="C1062" s="479"/>
      <c r="D1062" s="479"/>
      <c r="E1062" s="479"/>
      <c r="F1062" s="479"/>
      <c r="G1062" s="446"/>
      <c r="H1062" s="445"/>
      <c r="I1062" s="445"/>
      <c r="J1062" s="445"/>
      <c r="K1062" s="447"/>
      <c r="L1062" s="448"/>
      <c r="M1062" s="448"/>
      <c r="N1062" s="445"/>
      <c r="O1062" s="449"/>
      <c r="P1062" s="450"/>
      <c r="Q1062" s="451"/>
      <c r="R1062" s="507"/>
      <c r="S1062" s="508"/>
      <c r="T1062" s="472"/>
      <c r="U1062" s="448"/>
      <c r="W1062" s="448"/>
    </row>
    <row r="1063" spans="1:23" s="458" customFormat="1" ht="5.65" customHeight="1" x14ac:dyDescent="0.2">
      <c r="A1063" s="444"/>
      <c r="B1063" s="445"/>
      <c r="C1063" s="479"/>
      <c r="D1063" s="479"/>
      <c r="E1063" s="479"/>
      <c r="F1063" s="479"/>
      <c r="G1063" s="446"/>
      <c r="H1063" s="445"/>
      <c r="I1063" s="445"/>
      <c r="J1063" s="445"/>
      <c r="K1063" s="447"/>
      <c r="L1063" s="448"/>
      <c r="M1063" s="448"/>
      <c r="N1063" s="445"/>
      <c r="O1063" s="449"/>
      <c r="P1063" s="450"/>
      <c r="Q1063" s="451"/>
      <c r="R1063" s="507"/>
      <c r="S1063" s="508"/>
      <c r="T1063" s="472"/>
      <c r="U1063" s="448"/>
      <c r="W1063" s="448"/>
    </row>
    <row r="1064" spans="1:23" s="458" customFormat="1" ht="5.65" customHeight="1" x14ac:dyDescent="0.2">
      <c r="A1064" s="444"/>
      <c r="B1064" s="445"/>
      <c r="C1064" s="479"/>
      <c r="D1064" s="479"/>
      <c r="E1064" s="479"/>
      <c r="F1064" s="479"/>
      <c r="G1064" s="446"/>
      <c r="H1064" s="445"/>
      <c r="I1064" s="445"/>
      <c r="J1064" s="445"/>
      <c r="K1064" s="447"/>
      <c r="L1064" s="448"/>
      <c r="M1064" s="448"/>
      <c r="N1064" s="445"/>
      <c r="O1064" s="449"/>
      <c r="P1064" s="450"/>
      <c r="Q1064" s="451"/>
      <c r="R1064" s="507"/>
      <c r="S1064" s="508"/>
      <c r="T1064" s="472"/>
      <c r="U1064" s="448"/>
      <c r="W1064" s="448"/>
    </row>
    <row r="1065" spans="1:23" s="458" customFormat="1" ht="5.65" customHeight="1" x14ac:dyDescent="0.2">
      <c r="A1065" s="444"/>
      <c r="B1065" s="445"/>
      <c r="C1065" s="479"/>
      <c r="D1065" s="479"/>
      <c r="E1065" s="479"/>
      <c r="F1065" s="479"/>
      <c r="G1065" s="446"/>
      <c r="H1065" s="445"/>
      <c r="I1065" s="445"/>
      <c r="J1065" s="445"/>
      <c r="K1065" s="447"/>
      <c r="L1065" s="448"/>
      <c r="M1065" s="448"/>
      <c r="N1065" s="445"/>
      <c r="O1065" s="449"/>
      <c r="P1065" s="450"/>
      <c r="Q1065" s="451"/>
      <c r="R1065" s="507"/>
      <c r="S1065" s="508"/>
      <c r="T1065" s="472"/>
      <c r="U1065" s="448"/>
      <c r="W1065" s="448"/>
    </row>
    <row r="1066" spans="1:23" s="458" customFormat="1" ht="5.65" customHeight="1" x14ac:dyDescent="0.2">
      <c r="A1066" s="444"/>
      <c r="B1066" s="445"/>
      <c r="C1066" s="479"/>
      <c r="D1066" s="479"/>
      <c r="E1066" s="479"/>
      <c r="F1066" s="479"/>
      <c r="G1066" s="446"/>
      <c r="H1066" s="445"/>
      <c r="I1066" s="445"/>
      <c r="J1066" s="445"/>
      <c r="K1066" s="447"/>
      <c r="L1066" s="448"/>
      <c r="M1066" s="448"/>
      <c r="N1066" s="445"/>
      <c r="O1066" s="449"/>
      <c r="P1066" s="450"/>
      <c r="Q1066" s="451"/>
      <c r="R1066" s="507"/>
      <c r="S1066" s="508"/>
      <c r="T1066" s="472"/>
      <c r="U1066" s="448"/>
      <c r="W1066" s="448"/>
    </row>
    <row r="1067" spans="1:23" s="458" customFormat="1" ht="5.65" customHeight="1" x14ac:dyDescent="0.2">
      <c r="A1067" s="444"/>
      <c r="B1067" s="445"/>
      <c r="C1067" s="479"/>
      <c r="D1067" s="479"/>
      <c r="E1067" s="479"/>
      <c r="F1067" s="479"/>
      <c r="G1067" s="446"/>
      <c r="H1067" s="445"/>
      <c r="I1067" s="445"/>
      <c r="J1067" s="445"/>
      <c r="K1067" s="447"/>
      <c r="L1067" s="448"/>
      <c r="M1067" s="448"/>
      <c r="N1067" s="445"/>
      <c r="O1067" s="449"/>
      <c r="P1067" s="450"/>
      <c r="Q1067" s="451"/>
      <c r="R1067" s="507"/>
      <c r="S1067" s="508"/>
      <c r="T1067" s="472"/>
      <c r="U1067" s="448"/>
      <c r="W1067" s="448"/>
    </row>
    <row r="1068" spans="1:23" s="458" customFormat="1" ht="5.65" customHeight="1" x14ac:dyDescent="0.2">
      <c r="A1068" s="444"/>
      <c r="B1068" s="445"/>
      <c r="C1068" s="479"/>
      <c r="D1068" s="479"/>
      <c r="E1068" s="479"/>
      <c r="F1068" s="479"/>
      <c r="G1068" s="446"/>
      <c r="H1068" s="445"/>
      <c r="I1068" s="445"/>
      <c r="J1068" s="445"/>
      <c r="K1068" s="447"/>
      <c r="L1068" s="448"/>
      <c r="M1068" s="448"/>
      <c r="N1068" s="445"/>
      <c r="O1068" s="449"/>
      <c r="P1068" s="450"/>
      <c r="Q1068" s="451"/>
      <c r="R1068" s="507"/>
      <c r="S1068" s="508"/>
      <c r="T1068" s="472"/>
      <c r="U1068" s="448"/>
      <c r="W1068" s="448"/>
    </row>
    <row r="1069" spans="1:23" s="458" customFormat="1" ht="5.65" customHeight="1" x14ac:dyDescent="0.2">
      <c r="A1069" s="444"/>
      <c r="B1069" s="445"/>
      <c r="C1069" s="479"/>
      <c r="D1069" s="479"/>
      <c r="E1069" s="479"/>
      <c r="F1069" s="479"/>
      <c r="G1069" s="446"/>
      <c r="H1069" s="445"/>
      <c r="I1069" s="445"/>
      <c r="J1069" s="445"/>
      <c r="K1069" s="447"/>
      <c r="L1069" s="448"/>
      <c r="M1069" s="448"/>
      <c r="N1069" s="445"/>
      <c r="O1069" s="449"/>
      <c r="P1069" s="450"/>
      <c r="Q1069" s="451"/>
      <c r="R1069" s="507"/>
      <c r="S1069" s="508"/>
      <c r="T1069" s="472"/>
      <c r="U1069" s="448"/>
      <c r="W1069" s="448"/>
    </row>
    <row r="1070" spans="1:23" s="458" customFormat="1" ht="5.65" customHeight="1" x14ac:dyDescent="0.2">
      <c r="A1070" s="444"/>
      <c r="B1070" s="445"/>
      <c r="C1070" s="479"/>
      <c r="D1070" s="479"/>
      <c r="E1070" s="479"/>
      <c r="F1070" s="479"/>
      <c r="G1070" s="446"/>
      <c r="H1070" s="445"/>
      <c r="I1070" s="445"/>
      <c r="J1070" s="445"/>
      <c r="K1070" s="447"/>
      <c r="L1070" s="448"/>
      <c r="M1070" s="448"/>
      <c r="N1070" s="445"/>
      <c r="O1070" s="449"/>
      <c r="P1070" s="450"/>
      <c r="Q1070" s="451"/>
      <c r="R1070" s="507"/>
      <c r="S1070" s="508"/>
      <c r="T1070" s="472"/>
      <c r="U1070" s="448"/>
      <c r="W1070" s="448"/>
    </row>
    <row r="1071" spans="1:23" s="458" customFormat="1" ht="5.65" customHeight="1" x14ac:dyDescent="0.2">
      <c r="A1071" s="444"/>
      <c r="B1071" s="445"/>
      <c r="C1071" s="479"/>
      <c r="D1071" s="479"/>
      <c r="E1071" s="479"/>
      <c r="F1071" s="479"/>
      <c r="G1071" s="446"/>
      <c r="H1071" s="445"/>
      <c r="I1071" s="445"/>
      <c r="J1071" s="445"/>
      <c r="K1071" s="447"/>
      <c r="L1071" s="448"/>
      <c r="M1071" s="448"/>
      <c r="N1071" s="445"/>
      <c r="O1071" s="449"/>
      <c r="P1071" s="450"/>
      <c r="Q1071" s="451"/>
      <c r="R1071" s="507"/>
      <c r="S1071" s="508"/>
      <c r="T1071" s="472"/>
      <c r="U1071" s="448"/>
      <c r="W1071" s="448"/>
    </row>
    <row r="1072" spans="1:23" s="458" customFormat="1" ht="5.65" customHeight="1" x14ac:dyDescent="0.2">
      <c r="A1072" s="444"/>
      <c r="B1072" s="445"/>
      <c r="C1072" s="479"/>
      <c r="D1072" s="479"/>
      <c r="E1072" s="479"/>
      <c r="F1072" s="479"/>
      <c r="G1072" s="446"/>
      <c r="H1072" s="445"/>
      <c r="I1072" s="445"/>
      <c r="J1072" s="445"/>
      <c r="K1072" s="447"/>
      <c r="L1072" s="448"/>
      <c r="M1072" s="448"/>
      <c r="N1072" s="445"/>
      <c r="O1072" s="449"/>
      <c r="P1072" s="450"/>
      <c r="Q1072" s="451"/>
      <c r="R1072" s="507"/>
      <c r="S1072" s="508"/>
      <c r="T1072" s="472"/>
      <c r="U1072" s="448"/>
      <c r="W1072" s="448"/>
    </row>
    <row r="1073" spans="1:23" s="458" customFormat="1" ht="5.65" customHeight="1" x14ac:dyDescent="0.2">
      <c r="A1073" s="444"/>
      <c r="B1073" s="445"/>
      <c r="C1073" s="479"/>
      <c r="D1073" s="479"/>
      <c r="E1073" s="479"/>
      <c r="F1073" s="479"/>
      <c r="G1073" s="446"/>
      <c r="H1073" s="445"/>
      <c r="I1073" s="445"/>
      <c r="J1073" s="445"/>
      <c r="K1073" s="447"/>
      <c r="L1073" s="448"/>
      <c r="M1073" s="448"/>
      <c r="N1073" s="445"/>
      <c r="O1073" s="449"/>
      <c r="P1073" s="450"/>
      <c r="Q1073" s="451"/>
      <c r="R1073" s="507"/>
      <c r="S1073" s="508"/>
      <c r="T1073" s="472"/>
      <c r="U1073" s="448"/>
      <c r="W1073" s="448"/>
    </row>
    <row r="1074" spans="1:23" s="458" customFormat="1" ht="5.65" customHeight="1" x14ac:dyDescent="0.2">
      <c r="A1074" s="444"/>
      <c r="B1074" s="445"/>
      <c r="C1074" s="479"/>
      <c r="D1074" s="479"/>
      <c r="E1074" s="479"/>
      <c r="F1074" s="479"/>
      <c r="G1074" s="446"/>
      <c r="H1074" s="445"/>
      <c r="I1074" s="445"/>
      <c r="J1074" s="445"/>
      <c r="K1074" s="447"/>
      <c r="L1074" s="448"/>
      <c r="M1074" s="448"/>
      <c r="N1074" s="445"/>
      <c r="O1074" s="449"/>
      <c r="P1074" s="450"/>
      <c r="Q1074" s="451"/>
      <c r="R1074" s="507"/>
      <c r="S1074" s="508"/>
      <c r="T1074" s="472"/>
      <c r="U1074" s="448"/>
      <c r="W1074" s="448"/>
    </row>
    <row r="1075" spans="1:23" s="458" customFormat="1" ht="5.65" customHeight="1" x14ac:dyDescent="0.2">
      <c r="A1075" s="444"/>
      <c r="B1075" s="445"/>
      <c r="C1075" s="479"/>
      <c r="D1075" s="479"/>
      <c r="E1075" s="479"/>
      <c r="F1075" s="479"/>
      <c r="G1075" s="446"/>
      <c r="H1075" s="445"/>
      <c r="I1075" s="445"/>
      <c r="J1075" s="445"/>
      <c r="K1075" s="447"/>
      <c r="L1075" s="448"/>
      <c r="M1075" s="448"/>
      <c r="N1075" s="445"/>
      <c r="O1075" s="449"/>
      <c r="P1075" s="450"/>
      <c r="Q1075" s="451"/>
      <c r="R1075" s="507"/>
      <c r="S1075" s="508"/>
      <c r="T1075" s="472"/>
      <c r="U1075" s="448"/>
      <c r="W1075" s="448"/>
    </row>
    <row r="1076" spans="1:23" s="458" customFormat="1" ht="5.65" customHeight="1" x14ac:dyDescent="0.2">
      <c r="A1076" s="444"/>
      <c r="B1076" s="445"/>
      <c r="C1076" s="479"/>
      <c r="D1076" s="479"/>
      <c r="E1076" s="479"/>
      <c r="F1076" s="479"/>
      <c r="G1076" s="446"/>
      <c r="H1076" s="445"/>
      <c r="I1076" s="445"/>
      <c r="J1076" s="445"/>
      <c r="K1076" s="447"/>
      <c r="L1076" s="448"/>
      <c r="M1076" s="448"/>
      <c r="N1076" s="445"/>
      <c r="O1076" s="449"/>
      <c r="P1076" s="450"/>
      <c r="Q1076" s="451"/>
      <c r="R1076" s="507"/>
      <c r="S1076" s="508"/>
      <c r="T1076" s="472"/>
      <c r="U1076" s="448"/>
      <c r="W1076" s="448"/>
    </row>
    <row r="1077" spans="1:23" s="458" customFormat="1" ht="5.65" customHeight="1" x14ac:dyDescent="0.2">
      <c r="A1077" s="444"/>
      <c r="B1077" s="445"/>
      <c r="C1077" s="479"/>
      <c r="D1077" s="479"/>
      <c r="E1077" s="479"/>
      <c r="F1077" s="479"/>
      <c r="G1077" s="446"/>
      <c r="H1077" s="445"/>
      <c r="I1077" s="445"/>
      <c r="J1077" s="445"/>
      <c r="K1077" s="447"/>
      <c r="L1077" s="448"/>
      <c r="M1077" s="448"/>
      <c r="N1077" s="445"/>
      <c r="O1077" s="449"/>
      <c r="P1077" s="450"/>
      <c r="Q1077" s="451"/>
      <c r="R1077" s="507"/>
      <c r="S1077" s="508"/>
      <c r="T1077" s="472"/>
      <c r="U1077" s="448"/>
      <c r="W1077" s="448"/>
    </row>
    <row r="1078" spans="1:23" s="458" customFormat="1" ht="5.65" customHeight="1" x14ac:dyDescent="0.2">
      <c r="A1078" s="444"/>
      <c r="B1078" s="445"/>
      <c r="C1078" s="479"/>
      <c r="D1078" s="479"/>
      <c r="E1078" s="479"/>
      <c r="F1078" s="479"/>
      <c r="G1078" s="446"/>
      <c r="H1078" s="445"/>
      <c r="I1078" s="445"/>
      <c r="J1078" s="445"/>
      <c r="K1078" s="447"/>
      <c r="L1078" s="448"/>
      <c r="M1078" s="448"/>
      <c r="N1078" s="445"/>
      <c r="O1078" s="449"/>
      <c r="P1078" s="450"/>
      <c r="Q1078" s="451"/>
      <c r="R1078" s="507"/>
      <c r="S1078" s="508"/>
      <c r="T1078" s="472"/>
      <c r="U1078" s="448"/>
      <c r="W1078" s="448"/>
    </row>
    <row r="1079" spans="1:23" s="458" customFormat="1" ht="5.65" customHeight="1" x14ac:dyDescent="0.2">
      <c r="A1079" s="444"/>
      <c r="B1079" s="445"/>
      <c r="C1079" s="479"/>
      <c r="D1079" s="479"/>
      <c r="E1079" s="479"/>
      <c r="F1079" s="479"/>
      <c r="G1079" s="446"/>
      <c r="H1079" s="445"/>
      <c r="I1079" s="445"/>
      <c r="J1079" s="445"/>
      <c r="K1079" s="447"/>
      <c r="L1079" s="448"/>
      <c r="M1079" s="448"/>
      <c r="N1079" s="445"/>
      <c r="O1079" s="449"/>
      <c r="P1079" s="450"/>
      <c r="Q1079" s="451"/>
      <c r="R1079" s="507"/>
      <c r="S1079" s="508"/>
      <c r="T1079" s="472"/>
      <c r="U1079" s="448"/>
      <c r="W1079" s="448"/>
    </row>
    <row r="1080" spans="1:23" s="458" customFormat="1" ht="5.65" customHeight="1" x14ac:dyDescent="0.2">
      <c r="A1080" s="444"/>
      <c r="B1080" s="445"/>
      <c r="C1080" s="479"/>
      <c r="D1080" s="479"/>
      <c r="E1080" s="479"/>
      <c r="F1080" s="479"/>
      <c r="G1080" s="446"/>
      <c r="H1080" s="445"/>
      <c r="I1080" s="445"/>
      <c r="J1080" s="445"/>
      <c r="K1080" s="447"/>
      <c r="L1080" s="448"/>
      <c r="M1080" s="448"/>
      <c r="N1080" s="445"/>
      <c r="O1080" s="449"/>
      <c r="P1080" s="450"/>
      <c r="Q1080" s="451"/>
      <c r="R1080" s="507"/>
      <c r="S1080" s="508"/>
      <c r="T1080" s="472"/>
      <c r="U1080" s="448"/>
      <c r="W1080" s="448"/>
    </row>
    <row r="1081" spans="1:23" s="458" customFormat="1" ht="5.65" customHeight="1" x14ac:dyDescent="0.2">
      <c r="A1081" s="444"/>
      <c r="B1081" s="445"/>
      <c r="C1081" s="479"/>
      <c r="D1081" s="479"/>
      <c r="E1081" s="479"/>
      <c r="F1081" s="479"/>
      <c r="G1081" s="446"/>
      <c r="H1081" s="445"/>
      <c r="I1081" s="445"/>
      <c r="J1081" s="445"/>
      <c r="K1081" s="447"/>
      <c r="L1081" s="448"/>
      <c r="M1081" s="448"/>
      <c r="N1081" s="445"/>
      <c r="O1081" s="449"/>
      <c r="P1081" s="450"/>
      <c r="Q1081" s="451"/>
      <c r="R1081" s="507"/>
      <c r="S1081" s="508"/>
      <c r="T1081" s="472"/>
      <c r="U1081" s="448"/>
      <c r="W1081" s="448"/>
    </row>
    <row r="1082" spans="1:23" s="458" customFormat="1" ht="5.65" customHeight="1" x14ac:dyDescent="0.2">
      <c r="A1082" s="444"/>
      <c r="B1082" s="445"/>
      <c r="C1082" s="479"/>
      <c r="D1082" s="479"/>
      <c r="E1082" s="479"/>
      <c r="F1082" s="479"/>
      <c r="G1082" s="446"/>
      <c r="H1082" s="445"/>
      <c r="I1082" s="445"/>
      <c r="J1082" s="445"/>
      <c r="K1082" s="447"/>
      <c r="L1082" s="448"/>
      <c r="M1082" s="448"/>
      <c r="N1082" s="445"/>
      <c r="O1082" s="449"/>
      <c r="P1082" s="450"/>
      <c r="Q1082" s="451"/>
      <c r="R1082" s="507"/>
      <c r="S1082" s="508"/>
      <c r="T1082" s="472"/>
      <c r="U1082" s="448"/>
      <c r="W1082" s="448"/>
    </row>
    <row r="1083" spans="1:23" s="458" customFormat="1" ht="5.65" customHeight="1" x14ac:dyDescent="0.2">
      <c r="A1083" s="444"/>
      <c r="B1083" s="445"/>
      <c r="C1083" s="479"/>
      <c r="D1083" s="479"/>
      <c r="E1083" s="479"/>
      <c r="F1083" s="479"/>
      <c r="G1083" s="446"/>
      <c r="H1083" s="445"/>
      <c r="I1083" s="445"/>
      <c r="J1083" s="445"/>
      <c r="K1083" s="447"/>
      <c r="L1083" s="448"/>
      <c r="M1083" s="448"/>
      <c r="N1083" s="445"/>
      <c r="O1083" s="449"/>
      <c r="P1083" s="450"/>
      <c r="Q1083" s="451"/>
      <c r="R1083" s="507"/>
      <c r="S1083" s="508"/>
      <c r="T1083" s="472"/>
      <c r="U1083" s="448"/>
      <c r="W1083" s="448"/>
    </row>
    <row r="1084" spans="1:23" s="458" customFormat="1" ht="5.65" customHeight="1" x14ac:dyDescent="0.2">
      <c r="A1084" s="444"/>
      <c r="B1084" s="445"/>
      <c r="C1084" s="479"/>
      <c r="D1084" s="479"/>
      <c r="E1084" s="479"/>
      <c r="F1084" s="479"/>
      <c r="G1084" s="446"/>
      <c r="H1084" s="445"/>
      <c r="I1084" s="445"/>
      <c r="J1084" s="445"/>
      <c r="K1084" s="447"/>
      <c r="L1084" s="448"/>
      <c r="M1084" s="448"/>
      <c r="N1084" s="445"/>
      <c r="O1084" s="449"/>
      <c r="P1084" s="450"/>
      <c r="Q1084" s="451"/>
      <c r="R1084" s="507"/>
      <c r="S1084" s="508"/>
      <c r="T1084" s="472"/>
      <c r="U1084" s="448"/>
      <c r="W1084" s="448"/>
    </row>
    <row r="1085" spans="1:23" s="458" customFormat="1" ht="5.65" customHeight="1" x14ac:dyDescent="0.2">
      <c r="A1085" s="444"/>
      <c r="B1085" s="445"/>
      <c r="C1085" s="479"/>
      <c r="D1085" s="479"/>
      <c r="E1085" s="479"/>
      <c r="F1085" s="479"/>
      <c r="G1085" s="446"/>
      <c r="H1085" s="445"/>
      <c r="I1085" s="445"/>
      <c r="J1085" s="445"/>
      <c r="K1085" s="447"/>
      <c r="L1085" s="448"/>
      <c r="M1085" s="448"/>
      <c r="N1085" s="445"/>
      <c r="O1085" s="449"/>
      <c r="P1085" s="450"/>
      <c r="Q1085" s="451"/>
      <c r="R1085" s="507"/>
      <c r="S1085" s="508"/>
      <c r="T1085" s="472"/>
      <c r="U1085" s="448"/>
      <c r="W1085" s="448"/>
    </row>
    <row r="1086" spans="1:23" s="458" customFormat="1" ht="5.65" customHeight="1" x14ac:dyDescent="0.2">
      <c r="A1086" s="444"/>
      <c r="B1086" s="445"/>
      <c r="C1086" s="479"/>
      <c r="D1086" s="479"/>
      <c r="E1086" s="479"/>
      <c r="F1086" s="479"/>
      <c r="G1086" s="446"/>
      <c r="H1086" s="445"/>
      <c r="I1086" s="445"/>
      <c r="J1086" s="445"/>
      <c r="K1086" s="447"/>
      <c r="L1086" s="448"/>
      <c r="M1086" s="448"/>
      <c r="N1086" s="445"/>
      <c r="O1086" s="449"/>
      <c r="P1086" s="450"/>
      <c r="Q1086" s="451"/>
      <c r="R1086" s="507"/>
      <c r="S1086" s="508"/>
      <c r="T1086" s="472"/>
      <c r="U1086" s="448"/>
      <c r="W1086" s="448"/>
    </row>
    <row r="1087" spans="1:23" s="458" customFormat="1" ht="5.65" customHeight="1" x14ac:dyDescent="0.2">
      <c r="A1087" s="444"/>
      <c r="B1087" s="445"/>
      <c r="C1087" s="479"/>
      <c r="D1087" s="479"/>
      <c r="E1087" s="479"/>
      <c r="F1087" s="479"/>
      <c r="G1087" s="446"/>
      <c r="H1087" s="445"/>
      <c r="I1087" s="445"/>
      <c r="J1087" s="445"/>
      <c r="K1087" s="447"/>
      <c r="L1087" s="448"/>
      <c r="M1087" s="448"/>
      <c r="N1087" s="445"/>
      <c r="O1087" s="449"/>
      <c r="P1087" s="450"/>
      <c r="Q1087" s="451"/>
      <c r="R1087" s="507"/>
      <c r="S1087" s="508"/>
      <c r="T1087" s="472"/>
      <c r="U1087" s="448"/>
      <c r="W1087" s="448"/>
    </row>
    <row r="1088" spans="1:23" s="458" customFormat="1" ht="5.65" customHeight="1" x14ac:dyDescent="0.2">
      <c r="A1088" s="444"/>
      <c r="B1088" s="445"/>
      <c r="C1088" s="479"/>
      <c r="D1088" s="479"/>
      <c r="E1088" s="479"/>
      <c r="F1088" s="479"/>
      <c r="G1088" s="446"/>
      <c r="H1088" s="445"/>
      <c r="I1088" s="445"/>
      <c r="J1088" s="445"/>
      <c r="K1088" s="447"/>
      <c r="L1088" s="448"/>
      <c r="M1088" s="448"/>
      <c r="N1088" s="445"/>
      <c r="O1088" s="449"/>
      <c r="P1088" s="450"/>
      <c r="Q1088" s="451"/>
      <c r="R1088" s="507"/>
      <c r="S1088" s="508"/>
      <c r="T1088" s="472"/>
      <c r="U1088" s="448"/>
      <c r="W1088" s="448"/>
    </row>
    <row r="1089" spans="1:23" s="458" customFormat="1" ht="5.65" customHeight="1" x14ac:dyDescent="0.2">
      <c r="A1089" s="444"/>
      <c r="B1089" s="445"/>
      <c r="C1089" s="479"/>
      <c r="D1089" s="479"/>
      <c r="E1089" s="479"/>
      <c r="F1089" s="479"/>
      <c r="G1089" s="446"/>
      <c r="H1089" s="445"/>
      <c r="I1089" s="445"/>
      <c r="J1089" s="445"/>
      <c r="K1089" s="447"/>
      <c r="L1089" s="448"/>
      <c r="M1089" s="448"/>
      <c r="N1089" s="445"/>
      <c r="O1089" s="449"/>
      <c r="P1089" s="450"/>
      <c r="Q1089" s="451"/>
      <c r="R1089" s="507"/>
      <c r="S1089" s="508"/>
      <c r="T1089" s="472"/>
      <c r="U1089" s="448"/>
      <c r="W1089" s="448"/>
    </row>
    <row r="1090" spans="1:23" s="458" customFormat="1" ht="5.65" customHeight="1" x14ac:dyDescent="0.2">
      <c r="A1090" s="444"/>
      <c r="B1090" s="445"/>
      <c r="C1090" s="479"/>
      <c r="D1090" s="479"/>
      <c r="E1090" s="479"/>
      <c r="F1090" s="479"/>
      <c r="G1090" s="446"/>
      <c r="H1090" s="445"/>
      <c r="I1090" s="445"/>
      <c r="J1090" s="445"/>
      <c r="K1090" s="447"/>
      <c r="L1090" s="448"/>
      <c r="M1090" s="448"/>
      <c r="N1090" s="445"/>
      <c r="O1090" s="449"/>
      <c r="P1090" s="450"/>
      <c r="Q1090" s="451"/>
      <c r="R1090" s="507"/>
      <c r="S1090" s="508"/>
      <c r="T1090" s="472"/>
      <c r="U1090" s="448"/>
      <c r="W1090" s="448"/>
    </row>
    <row r="1091" spans="1:23" s="458" customFormat="1" ht="5.65" customHeight="1" x14ac:dyDescent="0.2">
      <c r="A1091" s="444"/>
      <c r="B1091" s="445"/>
      <c r="C1091" s="479"/>
      <c r="D1091" s="479"/>
      <c r="E1091" s="479"/>
      <c r="F1091" s="479"/>
      <c r="G1091" s="446"/>
      <c r="H1091" s="445"/>
      <c r="I1091" s="445"/>
      <c r="J1091" s="445"/>
      <c r="K1091" s="447"/>
      <c r="L1091" s="448"/>
      <c r="M1091" s="448"/>
      <c r="N1091" s="445"/>
      <c r="O1091" s="449"/>
      <c r="P1091" s="450"/>
      <c r="Q1091" s="451"/>
      <c r="R1091" s="507"/>
      <c r="S1091" s="508"/>
      <c r="T1091" s="472"/>
      <c r="U1091" s="448"/>
      <c r="W1091" s="448"/>
    </row>
    <row r="1092" spans="1:23" s="458" customFormat="1" ht="5.65" customHeight="1" x14ac:dyDescent="0.2">
      <c r="A1092" s="444"/>
      <c r="B1092" s="445"/>
      <c r="C1092" s="479"/>
      <c r="D1092" s="479"/>
      <c r="E1092" s="479"/>
      <c r="F1092" s="479"/>
      <c r="G1092" s="446"/>
      <c r="H1092" s="445"/>
      <c r="I1092" s="445"/>
      <c r="J1092" s="445"/>
      <c r="K1092" s="447"/>
      <c r="L1092" s="448"/>
      <c r="M1092" s="448"/>
      <c r="N1092" s="445"/>
      <c r="O1092" s="449"/>
      <c r="P1092" s="450"/>
      <c r="Q1092" s="451"/>
      <c r="R1092" s="507"/>
      <c r="S1092" s="508"/>
      <c r="T1092" s="472"/>
      <c r="U1092" s="448"/>
      <c r="W1092" s="448"/>
    </row>
    <row r="1093" spans="1:23" s="458" customFormat="1" ht="5.65" customHeight="1" x14ac:dyDescent="0.2">
      <c r="A1093" s="444"/>
      <c r="B1093" s="445"/>
      <c r="C1093" s="479"/>
      <c r="D1093" s="479"/>
      <c r="E1093" s="479"/>
      <c r="F1093" s="479"/>
      <c r="G1093" s="446"/>
      <c r="H1093" s="445"/>
      <c r="I1093" s="445"/>
      <c r="J1093" s="445"/>
      <c r="K1093" s="447"/>
      <c r="L1093" s="448"/>
      <c r="M1093" s="448"/>
      <c r="N1093" s="445"/>
      <c r="O1093" s="449"/>
      <c r="P1093" s="450"/>
      <c r="Q1093" s="451"/>
      <c r="R1093" s="507"/>
      <c r="S1093" s="508"/>
      <c r="T1093" s="472"/>
      <c r="U1093" s="448"/>
      <c r="W1093" s="448"/>
    </row>
    <row r="1094" spans="1:23" s="458" customFormat="1" ht="5.65" customHeight="1" x14ac:dyDescent="0.2">
      <c r="A1094" s="444"/>
      <c r="B1094" s="445"/>
      <c r="C1094" s="479"/>
      <c r="D1094" s="479"/>
      <c r="E1094" s="479"/>
      <c r="F1094" s="479"/>
      <c r="G1094" s="446"/>
      <c r="H1094" s="445"/>
      <c r="I1094" s="445"/>
      <c r="J1094" s="445"/>
      <c r="K1094" s="447"/>
      <c r="L1094" s="448"/>
      <c r="M1094" s="448"/>
      <c r="N1094" s="445"/>
      <c r="O1094" s="449"/>
      <c r="P1094" s="450"/>
      <c r="Q1094" s="451"/>
      <c r="R1094" s="507"/>
      <c r="S1094" s="508"/>
      <c r="T1094" s="472"/>
      <c r="U1094" s="448"/>
      <c r="W1094" s="448"/>
    </row>
    <row r="1095" spans="1:23" s="458" customFormat="1" ht="5.65" customHeight="1" x14ac:dyDescent="0.2">
      <c r="A1095" s="444"/>
      <c r="B1095" s="445"/>
      <c r="C1095" s="479"/>
      <c r="D1095" s="479"/>
      <c r="E1095" s="479"/>
      <c r="F1095" s="479"/>
      <c r="G1095" s="446"/>
      <c r="H1095" s="445"/>
      <c r="I1095" s="445"/>
      <c r="J1095" s="445"/>
      <c r="K1095" s="447"/>
      <c r="L1095" s="448"/>
      <c r="M1095" s="448"/>
      <c r="N1095" s="445"/>
      <c r="O1095" s="449"/>
      <c r="P1095" s="450"/>
      <c r="Q1095" s="451"/>
      <c r="R1095" s="507"/>
      <c r="S1095" s="508"/>
      <c r="T1095" s="472"/>
      <c r="U1095" s="448"/>
      <c r="W1095" s="448"/>
    </row>
    <row r="1096" spans="1:23" s="458" customFormat="1" ht="5.65" customHeight="1" x14ac:dyDescent="0.2">
      <c r="A1096" s="444"/>
      <c r="B1096" s="445"/>
      <c r="C1096" s="479"/>
      <c r="D1096" s="479"/>
      <c r="E1096" s="479"/>
      <c r="F1096" s="479"/>
      <c r="G1096" s="446"/>
      <c r="H1096" s="445"/>
      <c r="I1096" s="445"/>
      <c r="J1096" s="445"/>
      <c r="K1096" s="447"/>
      <c r="L1096" s="448"/>
      <c r="M1096" s="448"/>
      <c r="N1096" s="445"/>
      <c r="O1096" s="449"/>
      <c r="P1096" s="450"/>
      <c r="Q1096" s="451"/>
      <c r="R1096" s="507"/>
      <c r="S1096" s="508"/>
      <c r="T1096" s="472"/>
      <c r="U1096" s="448"/>
      <c r="W1096" s="448"/>
    </row>
    <row r="1097" spans="1:23" s="458" customFormat="1" ht="5.65" customHeight="1" x14ac:dyDescent="0.2">
      <c r="A1097" s="444"/>
      <c r="B1097" s="445"/>
      <c r="C1097" s="479"/>
      <c r="D1097" s="479"/>
      <c r="E1097" s="479"/>
      <c r="F1097" s="479"/>
      <c r="G1097" s="446"/>
      <c r="H1097" s="445"/>
      <c r="I1097" s="445"/>
      <c r="J1097" s="445"/>
      <c r="K1097" s="447"/>
      <c r="L1097" s="448"/>
      <c r="M1097" s="448"/>
      <c r="N1097" s="445"/>
      <c r="O1097" s="449"/>
      <c r="P1097" s="450"/>
      <c r="Q1097" s="451"/>
      <c r="R1097" s="507"/>
      <c r="S1097" s="508"/>
      <c r="T1097" s="472"/>
      <c r="U1097" s="448"/>
      <c r="W1097" s="448"/>
    </row>
    <row r="1098" spans="1:23" s="458" customFormat="1" ht="5.65" customHeight="1" x14ac:dyDescent="0.2">
      <c r="A1098" s="444"/>
      <c r="B1098" s="445"/>
      <c r="C1098" s="479"/>
      <c r="D1098" s="479"/>
      <c r="E1098" s="479"/>
      <c r="F1098" s="479"/>
      <c r="G1098" s="446"/>
      <c r="H1098" s="445"/>
      <c r="I1098" s="445"/>
      <c r="J1098" s="445"/>
      <c r="K1098" s="447"/>
      <c r="L1098" s="448"/>
      <c r="M1098" s="448"/>
      <c r="N1098" s="445"/>
      <c r="O1098" s="449"/>
      <c r="P1098" s="450"/>
      <c r="Q1098" s="451"/>
      <c r="R1098" s="507"/>
      <c r="S1098" s="508"/>
      <c r="T1098" s="472"/>
      <c r="U1098" s="448"/>
      <c r="W1098" s="448"/>
    </row>
    <row r="1099" spans="1:23" s="458" customFormat="1" ht="5.65" customHeight="1" x14ac:dyDescent="0.2">
      <c r="A1099" s="444"/>
      <c r="B1099" s="445"/>
      <c r="C1099" s="479"/>
      <c r="D1099" s="479"/>
      <c r="E1099" s="479"/>
      <c r="F1099" s="479"/>
      <c r="G1099" s="446"/>
      <c r="H1099" s="445"/>
      <c r="I1099" s="445"/>
      <c r="J1099" s="445"/>
      <c r="K1099" s="447"/>
      <c r="L1099" s="448"/>
      <c r="M1099" s="448"/>
      <c r="N1099" s="445"/>
      <c r="O1099" s="449"/>
      <c r="P1099" s="450"/>
      <c r="Q1099" s="451"/>
      <c r="R1099" s="507"/>
      <c r="S1099" s="508"/>
      <c r="T1099" s="472"/>
      <c r="U1099" s="448"/>
      <c r="W1099" s="448"/>
    </row>
    <row r="1100" spans="1:23" s="458" customFormat="1" ht="5.65" customHeight="1" x14ac:dyDescent="0.2">
      <c r="A1100" s="444"/>
      <c r="B1100" s="445"/>
      <c r="C1100" s="479"/>
      <c r="D1100" s="479"/>
      <c r="E1100" s="479"/>
      <c r="F1100" s="479"/>
      <c r="G1100" s="446"/>
      <c r="H1100" s="445"/>
      <c r="I1100" s="445"/>
      <c r="J1100" s="445"/>
      <c r="K1100" s="447"/>
      <c r="L1100" s="448"/>
      <c r="M1100" s="448"/>
      <c r="N1100" s="445"/>
      <c r="O1100" s="449"/>
      <c r="P1100" s="450"/>
      <c r="Q1100" s="451"/>
      <c r="R1100" s="507"/>
      <c r="S1100" s="508"/>
      <c r="T1100" s="472"/>
      <c r="U1100" s="448"/>
      <c r="W1100" s="448"/>
    </row>
    <row r="1101" spans="1:23" s="458" customFormat="1" ht="5.65" customHeight="1" x14ac:dyDescent="0.2">
      <c r="A1101" s="444"/>
      <c r="B1101" s="445"/>
      <c r="C1101" s="479"/>
      <c r="D1101" s="479"/>
      <c r="E1101" s="479"/>
      <c r="F1101" s="479"/>
      <c r="G1101" s="446"/>
      <c r="H1101" s="445"/>
      <c r="I1101" s="445"/>
      <c r="J1101" s="445"/>
      <c r="K1101" s="447"/>
      <c r="L1101" s="448"/>
      <c r="M1101" s="448"/>
      <c r="N1101" s="445"/>
      <c r="O1101" s="449"/>
      <c r="P1101" s="450"/>
      <c r="Q1101" s="451"/>
      <c r="R1101" s="507"/>
      <c r="S1101" s="508"/>
      <c r="T1101" s="472"/>
      <c r="U1101" s="448"/>
      <c r="W1101" s="448"/>
    </row>
    <row r="1102" spans="1:23" s="458" customFormat="1" ht="5.65" customHeight="1" x14ac:dyDescent="0.2">
      <c r="A1102" s="444"/>
      <c r="B1102" s="445"/>
      <c r="C1102" s="479"/>
      <c r="D1102" s="479"/>
      <c r="E1102" s="479"/>
      <c r="F1102" s="479"/>
      <c r="G1102" s="446"/>
      <c r="H1102" s="445"/>
      <c r="I1102" s="445"/>
      <c r="J1102" s="445"/>
      <c r="K1102" s="447"/>
      <c r="L1102" s="448"/>
      <c r="M1102" s="448"/>
      <c r="N1102" s="445"/>
      <c r="O1102" s="449"/>
      <c r="P1102" s="450"/>
      <c r="Q1102" s="451"/>
      <c r="R1102" s="507"/>
      <c r="S1102" s="508"/>
      <c r="T1102" s="472"/>
      <c r="U1102" s="448"/>
      <c r="W1102" s="448"/>
    </row>
    <row r="1103" spans="1:23" s="458" customFormat="1" ht="5.65" customHeight="1" x14ac:dyDescent="0.2">
      <c r="A1103" s="444"/>
      <c r="B1103" s="445"/>
      <c r="C1103" s="479"/>
      <c r="D1103" s="479"/>
      <c r="E1103" s="479"/>
      <c r="F1103" s="479"/>
      <c r="G1103" s="446"/>
      <c r="H1103" s="445"/>
      <c r="I1103" s="445"/>
      <c r="J1103" s="445"/>
      <c r="K1103" s="447"/>
      <c r="L1103" s="448"/>
      <c r="M1103" s="448"/>
      <c r="N1103" s="445"/>
      <c r="O1103" s="449"/>
      <c r="P1103" s="450"/>
      <c r="Q1103" s="451"/>
      <c r="R1103" s="507"/>
      <c r="S1103" s="508"/>
      <c r="T1103" s="472"/>
      <c r="U1103" s="448"/>
      <c r="W1103" s="448"/>
    </row>
    <row r="1104" spans="1:23" s="458" customFormat="1" ht="5.65" customHeight="1" x14ac:dyDescent="0.2">
      <c r="A1104" s="444"/>
      <c r="B1104" s="445"/>
      <c r="C1104" s="479"/>
      <c r="D1104" s="479"/>
      <c r="E1104" s="479"/>
      <c r="F1104" s="479"/>
      <c r="G1104" s="446"/>
      <c r="H1104" s="445"/>
      <c r="I1104" s="445"/>
      <c r="J1104" s="445"/>
      <c r="K1104" s="447"/>
      <c r="L1104" s="448"/>
      <c r="M1104" s="448"/>
      <c r="N1104" s="445"/>
      <c r="O1104" s="449"/>
      <c r="P1104" s="450"/>
      <c r="Q1104" s="451"/>
      <c r="R1104" s="507"/>
      <c r="S1104" s="508"/>
      <c r="T1104" s="472"/>
      <c r="U1104" s="448"/>
      <c r="W1104" s="448"/>
    </row>
    <row r="1105" spans="1:23" s="458" customFormat="1" ht="5.65" customHeight="1" x14ac:dyDescent="0.2">
      <c r="A1105" s="444"/>
      <c r="B1105" s="445"/>
      <c r="C1105" s="479"/>
      <c r="D1105" s="479"/>
      <c r="E1105" s="479"/>
      <c r="F1105" s="479"/>
      <c r="G1105" s="446"/>
      <c r="H1105" s="445"/>
      <c r="I1105" s="445"/>
      <c r="J1105" s="445"/>
      <c r="K1105" s="447"/>
      <c r="L1105" s="448"/>
      <c r="M1105" s="448"/>
      <c r="N1105" s="445"/>
      <c r="O1105" s="449"/>
      <c r="P1105" s="450"/>
      <c r="Q1105" s="451"/>
      <c r="R1105" s="507"/>
      <c r="S1105" s="508"/>
      <c r="T1105" s="472"/>
      <c r="U1105" s="448"/>
      <c r="W1105" s="448"/>
    </row>
    <row r="1106" spans="1:23" s="458" customFormat="1" ht="5.65" customHeight="1" x14ac:dyDescent="0.2">
      <c r="A1106" s="444"/>
      <c r="B1106" s="445"/>
      <c r="C1106" s="479"/>
      <c r="D1106" s="479"/>
      <c r="E1106" s="479"/>
      <c r="F1106" s="479"/>
      <c r="G1106" s="446"/>
      <c r="H1106" s="445"/>
      <c r="I1106" s="445"/>
      <c r="J1106" s="445"/>
      <c r="K1106" s="447"/>
      <c r="L1106" s="448"/>
      <c r="M1106" s="448"/>
      <c r="N1106" s="445"/>
      <c r="O1106" s="449"/>
      <c r="P1106" s="450"/>
      <c r="Q1106" s="451"/>
      <c r="R1106" s="507"/>
      <c r="S1106" s="508"/>
      <c r="T1106" s="472"/>
      <c r="U1106" s="448"/>
      <c r="W1106" s="448"/>
    </row>
    <row r="1107" spans="1:23" s="458" customFormat="1" ht="5.65" customHeight="1" x14ac:dyDescent="0.2">
      <c r="A1107" s="444"/>
      <c r="B1107" s="445"/>
      <c r="C1107" s="479"/>
      <c r="D1107" s="479"/>
      <c r="E1107" s="479"/>
      <c r="F1107" s="479"/>
      <c r="G1107" s="446"/>
      <c r="H1107" s="445"/>
      <c r="I1107" s="445"/>
      <c r="J1107" s="445"/>
      <c r="K1107" s="447"/>
      <c r="L1107" s="448"/>
      <c r="M1107" s="448"/>
      <c r="N1107" s="445"/>
      <c r="O1107" s="449"/>
      <c r="P1107" s="450"/>
      <c r="Q1107" s="451"/>
      <c r="R1107" s="507"/>
      <c r="S1107" s="508"/>
      <c r="T1107" s="472"/>
      <c r="U1107" s="448"/>
      <c r="W1107" s="448"/>
    </row>
    <row r="1108" spans="1:23" s="458" customFormat="1" ht="5.65" customHeight="1" x14ac:dyDescent="0.2">
      <c r="A1108" s="444"/>
      <c r="B1108" s="445"/>
      <c r="C1108" s="479"/>
      <c r="D1108" s="479"/>
      <c r="E1108" s="479"/>
      <c r="F1108" s="479"/>
      <c r="G1108" s="446"/>
      <c r="H1108" s="445"/>
      <c r="I1108" s="445"/>
      <c r="J1108" s="445"/>
      <c r="K1108" s="447"/>
      <c r="L1108" s="448"/>
      <c r="M1108" s="448"/>
      <c r="N1108" s="445"/>
      <c r="O1108" s="449"/>
      <c r="P1108" s="450"/>
      <c r="Q1108" s="451"/>
      <c r="R1108" s="507"/>
      <c r="S1108" s="508"/>
      <c r="T1108" s="472"/>
      <c r="U1108" s="448"/>
      <c r="W1108" s="448"/>
    </row>
    <row r="1109" spans="1:23" s="458" customFormat="1" ht="5.65" customHeight="1" x14ac:dyDescent="0.2">
      <c r="A1109" s="444"/>
      <c r="B1109" s="445"/>
      <c r="C1109" s="479"/>
      <c r="D1109" s="479"/>
      <c r="E1109" s="479"/>
      <c r="F1109" s="479"/>
      <c r="G1109" s="446"/>
      <c r="H1109" s="445"/>
      <c r="I1109" s="445"/>
      <c r="J1109" s="445"/>
      <c r="K1109" s="447"/>
      <c r="L1109" s="448"/>
      <c r="M1109" s="448"/>
      <c r="N1109" s="445"/>
      <c r="O1109" s="449"/>
      <c r="P1109" s="450"/>
      <c r="Q1109" s="451"/>
      <c r="R1109" s="507"/>
      <c r="S1109" s="508"/>
      <c r="T1109" s="472"/>
      <c r="U1109" s="448"/>
      <c r="W1109" s="448"/>
    </row>
    <row r="1110" spans="1:23" s="458" customFormat="1" ht="5.65" customHeight="1" x14ac:dyDescent="0.2">
      <c r="A1110" s="444"/>
      <c r="B1110" s="445"/>
      <c r="C1110" s="479"/>
      <c r="D1110" s="479"/>
      <c r="E1110" s="479"/>
      <c r="F1110" s="479"/>
      <c r="G1110" s="446"/>
      <c r="H1110" s="445"/>
      <c r="I1110" s="445"/>
      <c r="J1110" s="445"/>
      <c r="K1110" s="447"/>
      <c r="L1110" s="448"/>
      <c r="M1110" s="448"/>
      <c r="N1110" s="445"/>
      <c r="O1110" s="449"/>
      <c r="P1110" s="450"/>
      <c r="Q1110" s="451"/>
      <c r="R1110" s="507"/>
      <c r="S1110" s="508"/>
      <c r="T1110" s="472"/>
      <c r="U1110" s="448"/>
      <c r="W1110" s="448"/>
    </row>
    <row r="1111" spans="1:23" s="458" customFormat="1" ht="5.65" customHeight="1" x14ac:dyDescent="0.2">
      <c r="A1111" s="444"/>
      <c r="B1111" s="445"/>
      <c r="C1111" s="479"/>
      <c r="D1111" s="479"/>
      <c r="E1111" s="479"/>
      <c r="F1111" s="479"/>
      <c r="G1111" s="446"/>
      <c r="H1111" s="445"/>
      <c r="I1111" s="445"/>
      <c r="J1111" s="445"/>
      <c r="K1111" s="447"/>
      <c r="L1111" s="448"/>
      <c r="M1111" s="448"/>
      <c r="N1111" s="445"/>
      <c r="O1111" s="449"/>
      <c r="P1111" s="450"/>
      <c r="Q1111" s="451"/>
      <c r="R1111" s="507"/>
      <c r="S1111" s="508"/>
      <c r="T1111" s="472"/>
      <c r="U1111" s="448"/>
      <c r="W1111" s="448"/>
    </row>
    <row r="1112" spans="1:23" s="458" customFormat="1" ht="5.65" customHeight="1" x14ac:dyDescent="0.2">
      <c r="A1112" s="444"/>
      <c r="B1112" s="445"/>
      <c r="C1112" s="479"/>
      <c r="D1112" s="479"/>
      <c r="E1112" s="479"/>
      <c r="F1112" s="479"/>
      <c r="G1112" s="446"/>
      <c r="H1112" s="445"/>
      <c r="I1112" s="445"/>
      <c r="J1112" s="445"/>
      <c r="K1112" s="447"/>
      <c r="L1112" s="448"/>
      <c r="M1112" s="448"/>
      <c r="N1112" s="445"/>
      <c r="O1112" s="449"/>
      <c r="P1112" s="450"/>
      <c r="Q1112" s="451"/>
      <c r="R1112" s="507"/>
      <c r="S1112" s="508"/>
      <c r="T1112" s="472"/>
      <c r="U1112" s="448"/>
      <c r="W1112" s="448"/>
    </row>
    <row r="1113" spans="1:23" s="458" customFormat="1" ht="5.65" customHeight="1" x14ac:dyDescent="0.2">
      <c r="A1113" s="444"/>
      <c r="B1113" s="445"/>
      <c r="C1113" s="479"/>
      <c r="D1113" s="479"/>
      <c r="E1113" s="479"/>
      <c r="F1113" s="479"/>
      <c r="G1113" s="446"/>
      <c r="H1113" s="445"/>
      <c r="I1113" s="445"/>
      <c r="J1113" s="445"/>
      <c r="K1113" s="447"/>
      <c r="L1113" s="448"/>
      <c r="M1113" s="448"/>
      <c r="N1113" s="445"/>
      <c r="O1113" s="449"/>
      <c r="P1113" s="450"/>
      <c r="Q1113" s="451"/>
      <c r="R1113" s="507"/>
      <c r="S1113" s="508"/>
      <c r="T1113" s="472"/>
      <c r="U1113" s="448"/>
      <c r="W1113" s="448"/>
    </row>
    <row r="1114" spans="1:23" s="458" customFormat="1" ht="5.65" customHeight="1" x14ac:dyDescent="0.2">
      <c r="A1114" s="444"/>
      <c r="B1114" s="445"/>
      <c r="C1114" s="479"/>
      <c r="D1114" s="479"/>
      <c r="E1114" s="479"/>
      <c r="F1114" s="479"/>
      <c r="G1114" s="446"/>
      <c r="H1114" s="445"/>
      <c r="I1114" s="445"/>
      <c r="J1114" s="445"/>
      <c r="K1114" s="447"/>
      <c r="L1114" s="448"/>
      <c r="M1114" s="448"/>
      <c r="N1114" s="445"/>
      <c r="O1114" s="449"/>
      <c r="P1114" s="450"/>
      <c r="Q1114" s="451"/>
      <c r="R1114" s="507"/>
      <c r="S1114" s="508"/>
      <c r="T1114" s="472"/>
      <c r="U1114" s="448"/>
      <c r="W1114" s="448"/>
    </row>
    <row r="1115" spans="1:23" s="458" customFormat="1" ht="5.65" customHeight="1" x14ac:dyDescent="0.2">
      <c r="A1115" s="444"/>
      <c r="B1115" s="445"/>
      <c r="C1115" s="479"/>
      <c r="D1115" s="479"/>
      <c r="E1115" s="479"/>
      <c r="F1115" s="479"/>
      <c r="G1115" s="446"/>
      <c r="H1115" s="445"/>
      <c r="I1115" s="445"/>
      <c r="J1115" s="445"/>
      <c r="K1115" s="447"/>
      <c r="L1115" s="448"/>
      <c r="M1115" s="448"/>
      <c r="N1115" s="445"/>
      <c r="O1115" s="449"/>
      <c r="P1115" s="450"/>
      <c r="Q1115" s="451"/>
      <c r="R1115" s="507"/>
      <c r="S1115" s="508"/>
      <c r="T1115" s="472"/>
      <c r="U1115" s="448"/>
      <c r="W1115" s="448"/>
    </row>
    <row r="1116" spans="1:23" s="458" customFormat="1" ht="5.65" customHeight="1" x14ac:dyDescent="0.2">
      <c r="A1116" s="444"/>
      <c r="B1116" s="445"/>
      <c r="C1116" s="479"/>
      <c r="D1116" s="479"/>
      <c r="E1116" s="479"/>
      <c r="F1116" s="479"/>
      <c r="G1116" s="446"/>
      <c r="H1116" s="445"/>
      <c r="I1116" s="445"/>
      <c r="J1116" s="445"/>
      <c r="K1116" s="447"/>
      <c r="L1116" s="448"/>
      <c r="M1116" s="448"/>
      <c r="N1116" s="445"/>
      <c r="O1116" s="449"/>
      <c r="P1116" s="450"/>
      <c r="Q1116" s="451"/>
      <c r="R1116" s="507"/>
      <c r="S1116" s="508"/>
      <c r="T1116" s="472"/>
      <c r="U1116" s="448"/>
      <c r="W1116" s="448"/>
    </row>
    <row r="1117" spans="1:23" s="458" customFormat="1" ht="5.65" customHeight="1" x14ac:dyDescent="0.2">
      <c r="A1117" s="444"/>
      <c r="B1117" s="445"/>
      <c r="C1117" s="479"/>
      <c r="D1117" s="479"/>
      <c r="E1117" s="479"/>
      <c r="F1117" s="479"/>
      <c r="G1117" s="446"/>
      <c r="H1117" s="445"/>
      <c r="I1117" s="445"/>
      <c r="J1117" s="445"/>
      <c r="K1117" s="447"/>
      <c r="L1117" s="448"/>
      <c r="M1117" s="448"/>
      <c r="N1117" s="445"/>
      <c r="O1117" s="449"/>
      <c r="P1117" s="450"/>
      <c r="Q1117" s="451"/>
      <c r="R1117" s="507"/>
      <c r="S1117" s="508"/>
      <c r="T1117" s="472"/>
      <c r="U1117" s="448"/>
      <c r="W1117" s="448"/>
    </row>
    <row r="1118" spans="1:23" s="458" customFormat="1" ht="5.65" customHeight="1" x14ac:dyDescent="0.2">
      <c r="A1118" s="444"/>
      <c r="B1118" s="445"/>
      <c r="C1118" s="479"/>
      <c r="D1118" s="479"/>
      <c r="E1118" s="479"/>
      <c r="F1118" s="479"/>
      <c r="G1118" s="446"/>
      <c r="H1118" s="445"/>
      <c r="I1118" s="445"/>
      <c r="J1118" s="445"/>
      <c r="K1118" s="447"/>
      <c r="L1118" s="448"/>
      <c r="M1118" s="448"/>
      <c r="N1118" s="445"/>
      <c r="O1118" s="449"/>
      <c r="P1118" s="450"/>
      <c r="Q1118" s="451"/>
      <c r="R1118" s="507"/>
      <c r="S1118" s="508"/>
      <c r="T1118" s="472"/>
      <c r="U1118" s="448"/>
      <c r="W1118" s="448"/>
    </row>
    <row r="1119" spans="1:23" s="458" customFormat="1" ht="5.65" customHeight="1" x14ac:dyDescent="0.2">
      <c r="A1119" s="444"/>
      <c r="B1119" s="445"/>
      <c r="C1119" s="479"/>
      <c r="D1119" s="479"/>
      <c r="E1119" s="479"/>
      <c r="F1119" s="479"/>
      <c r="G1119" s="446"/>
      <c r="H1119" s="445"/>
      <c r="I1119" s="445"/>
      <c r="J1119" s="445"/>
      <c r="K1119" s="447"/>
      <c r="L1119" s="448"/>
      <c r="M1119" s="448"/>
      <c r="N1119" s="445"/>
      <c r="O1119" s="449"/>
      <c r="P1119" s="450"/>
      <c r="Q1119" s="451"/>
      <c r="R1119" s="507"/>
      <c r="S1119" s="508"/>
      <c r="T1119" s="472"/>
      <c r="U1119" s="448"/>
      <c r="W1119" s="448"/>
    </row>
    <row r="1120" spans="1:23" s="458" customFormat="1" ht="5.65" customHeight="1" x14ac:dyDescent="0.2">
      <c r="A1120" s="444"/>
      <c r="B1120" s="445"/>
      <c r="C1120" s="479"/>
      <c r="D1120" s="479"/>
      <c r="E1120" s="479"/>
      <c r="F1120" s="479"/>
      <c r="G1120" s="446"/>
      <c r="H1120" s="445"/>
      <c r="I1120" s="445"/>
      <c r="J1120" s="445"/>
      <c r="K1120" s="447"/>
      <c r="L1120" s="448"/>
      <c r="M1120" s="448"/>
      <c r="N1120" s="445"/>
      <c r="O1120" s="449"/>
      <c r="P1120" s="450"/>
      <c r="Q1120" s="451"/>
      <c r="R1120" s="507"/>
      <c r="S1120" s="508"/>
      <c r="T1120" s="472"/>
      <c r="U1120" s="448"/>
      <c r="W1120" s="448"/>
    </row>
    <row r="1121" spans="1:23" s="458" customFormat="1" ht="5.65" customHeight="1" x14ac:dyDescent="0.2">
      <c r="A1121" s="444"/>
      <c r="B1121" s="445"/>
      <c r="C1121" s="479"/>
      <c r="D1121" s="479"/>
      <c r="E1121" s="479"/>
      <c r="F1121" s="479"/>
      <c r="G1121" s="446"/>
      <c r="H1121" s="445"/>
      <c r="I1121" s="445"/>
      <c r="J1121" s="445"/>
      <c r="K1121" s="447"/>
      <c r="L1121" s="448"/>
      <c r="M1121" s="448"/>
      <c r="N1121" s="445"/>
      <c r="O1121" s="449"/>
      <c r="P1121" s="450"/>
      <c r="Q1121" s="451"/>
      <c r="R1121" s="507"/>
      <c r="S1121" s="508"/>
      <c r="T1121" s="472"/>
      <c r="U1121" s="448"/>
      <c r="W1121" s="448"/>
    </row>
    <row r="1122" spans="1:23" s="458" customFormat="1" ht="5.65" customHeight="1" x14ac:dyDescent="0.2">
      <c r="A1122" s="444"/>
      <c r="B1122" s="445"/>
      <c r="C1122" s="479"/>
      <c r="D1122" s="479"/>
      <c r="E1122" s="479"/>
      <c r="F1122" s="479"/>
      <c r="G1122" s="446"/>
      <c r="H1122" s="445"/>
      <c r="I1122" s="445"/>
      <c r="J1122" s="445"/>
      <c r="K1122" s="447"/>
      <c r="L1122" s="448"/>
      <c r="M1122" s="448"/>
      <c r="N1122" s="445"/>
      <c r="O1122" s="449"/>
      <c r="P1122" s="450"/>
      <c r="Q1122" s="451"/>
      <c r="R1122" s="507"/>
      <c r="S1122" s="508"/>
      <c r="T1122" s="472"/>
      <c r="U1122" s="448"/>
      <c r="W1122" s="448"/>
    </row>
    <row r="1123" spans="1:23" s="458" customFormat="1" ht="5.65" customHeight="1" x14ac:dyDescent="0.2">
      <c r="A1123" s="444"/>
      <c r="B1123" s="445"/>
      <c r="C1123" s="479"/>
      <c r="D1123" s="479"/>
      <c r="E1123" s="479"/>
      <c r="F1123" s="479"/>
      <c r="G1123" s="446"/>
      <c r="H1123" s="445"/>
      <c r="I1123" s="445"/>
      <c r="J1123" s="445"/>
      <c r="K1123" s="447"/>
      <c r="L1123" s="448"/>
      <c r="M1123" s="448"/>
      <c r="N1123" s="445"/>
      <c r="O1123" s="449"/>
      <c r="P1123" s="450"/>
      <c r="Q1123" s="451"/>
      <c r="R1123" s="507"/>
      <c r="S1123" s="508"/>
      <c r="T1123" s="472"/>
      <c r="U1123" s="448"/>
      <c r="W1123" s="448"/>
    </row>
    <row r="1124" spans="1:23" s="458" customFormat="1" ht="5.65" customHeight="1" x14ac:dyDescent="0.2">
      <c r="A1124" s="444"/>
      <c r="B1124" s="445"/>
      <c r="C1124" s="479"/>
      <c r="D1124" s="479"/>
      <c r="E1124" s="479"/>
      <c r="F1124" s="479"/>
      <c r="G1124" s="446"/>
      <c r="H1124" s="445"/>
      <c r="I1124" s="445"/>
      <c r="J1124" s="445"/>
      <c r="K1124" s="447"/>
      <c r="L1124" s="448"/>
      <c r="M1124" s="448"/>
      <c r="N1124" s="445"/>
      <c r="O1124" s="449"/>
      <c r="P1124" s="450"/>
      <c r="Q1124" s="451"/>
      <c r="R1124" s="507"/>
      <c r="S1124" s="508"/>
      <c r="T1124" s="472"/>
      <c r="U1124" s="448"/>
      <c r="W1124" s="448"/>
    </row>
    <row r="1125" spans="1:23" s="458" customFormat="1" ht="5.65" customHeight="1" x14ac:dyDescent="0.2">
      <c r="A1125" s="444"/>
      <c r="B1125" s="445"/>
      <c r="C1125" s="479"/>
      <c r="D1125" s="479"/>
      <c r="E1125" s="479"/>
      <c r="F1125" s="479"/>
      <c r="G1125" s="446"/>
      <c r="H1125" s="445"/>
      <c r="I1125" s="445"/>
      <c r="J1125" s="445"/>
      <c r="K1125" s="447"/>
      <c r="L1125" s="448"/>
      <c r="M1125" s="448"/>
      <c r="N1125" s="445"/>
      <c r="O1125" s="449"/>
      <c r="P1125" s="450"/>
      <c r="Q1125" s="451"/>
      <c r="R1125" s="507"/>
      <c r="S1125" s="508"/>
      <c r="T1125" s="472"/>
      <c r="U1125" s="448"/>
      <c r="W1125" s="448"/>
    </row>
    <row r="1126" spans="1:23" s="458" customFormat="1" ht="5.65" customHeight="1" x14ac:dyDescent="0.2">
      <c r="A1126" s="444"/>
      <c r="B1126" s="445"/>
      <c r="C1126" s="479"/>
      <c r="D1126" s="479"/>
      <c r="E1126" s="479"/>
      <c r="F1126" s="479"/>
      <c r="G1126" s="446"/>
      <c r="H1126" s="445"/>
      <c r="I1126" s="445"/>
      <c r="J1126" s="445"/>
      <c r="K1126" s="447"/>
      <c r="L1126" s="448"/>
      <c r="M1126" s="448"/>
      <c r="N1126" s="445"/>
      <c r="O1126" s="449"/>
      <c r="P1126" s="450"/>
      <c r="Q1126" s="451"/>
      <c r="R1126" s="507"/>
      <c r="S1126" s="508"/>
      <c r="T1126" s="472"/>
      <c r="U1126" s="448"/>
      <c r="W1126" s="448"/>
    </row>
    <row r="1127" spans="1:23" s="458" customFormat="1" ht="5.65" customHeight="1" x14ac:dyDescent="0.2">
      <c r="A1127" s="444"/>
      <c r="B1127" s="445"/>
      <c r="C1127" s="479"/>
      <c r="D1127" s="479"/>
      <c r="E1127" s="479"/>
      <c r="F1127" s="479"/>
      <c r="G1127" s="446"/>
      <c r="H1127" s="445"/>
      <c r="I1127" s="445"/>
      <c r="J1127" s="445"/>
      <c r="K1127" s="447"/>
      <c r="L1127" s="448"/>
      <c r="M1127" s="448"/>
      <c r="N1127" s="445"/>
      <c r="O1127" s="449"/>
      <c r="P1127" s="450"/>
      <c r="Q1127" s="451"/>
      <c r="R1127" s="507"/>
      <c r="S1127" s="508"/>
      <c r="T1127" s="472"/>
      <c r="U1127" s="448"/>
      <c r="W1127" s="448"/>
    </row>
    <row r="1128" spans="1:23" s="458" customFormat="1" ht="5.65" customHeight="1" x14ac:dyDescent="0.2">
      <c r="A1128" s="444"/>
      <c r="B1128" s="445"/>
      <c r="C1128" s="479"/>
      <c r="D1128" s="479"/>
      <c r="E1128" s="479"/>
      <c r="F1128" s="479"/>
      <c r="G1128" s="446"/>
      <c r="H1128" s="445"/>
      <c r="I1128" s="445"/>
      <c r="J1128" s="445"/>
      <c r="K1128" s="447"/>
      <c r="L1128" s="448"/>
      <c r="M1128" s="448"/>
      <c r="N1128" s="445"/>
      <c r="O1128" s="449"/>
      <c r="P1128" s="450"/>
      <c r="Q1128" s="451"/>
      <c r="R1128" s="507"/>
      <c r="S1128" s="508"/>
      <c r="T1128" s="472"/>
      <c r="U1128" s="448"/>
      <c r="W1128" s="448"/>
    </row>
    <row r="1129" spans="1:23" s="458" customFormat="1" ht="5.65" customHeight="1" x14ac:dyDescent="0.2">
      <c r="A1129" s="444"/>
      <c r="B1129" s="445"/>
      <c r="C1129" s="479"/>
      <c r="D1129" s="479"/>
      <c r="E1129" s="479"/>
      <c r="F1129" s="479"/>
      <c r="G1129" s="446"/>
      <c r="H1129" s="445"/>
      <c r="I1129" s="445"/>
      <c r="J1129" s="445"/>
      <c r="K1129" s="447"/>
      <c r="L1129" s="448"/>
      <c r="M1129" s="448"/>
      <c r="N1129" s="445"/>
      <c r="O1129" s="449"/>
      <c r="P1129" s="450"/>
      <c r="Q1129" s="451"/>
      <c r="R1129" s="507"/>
      <c r="S1129" s="508"/>
      <c r="T1129" s="472"/>
      <c r="U1129" s="448"/>
      <c r="W1129" s="448"/>
    </row>
    <row r="1130" spans="1:23" s="458" customFormat="1" ht="5.65" customHeight="1" x14ac:dyDescent="0.2">
      <c r="A1130" s="444"/>
      <c r="B1130" s="445"/>
      <c r="C1130" s="479"/>
      <c r="D1130" s="479"/>
      <c r="E1130" s="479"/>
      <c r="F1130" s="479"/>
      <c r="G1130" s="446"/>
      <c r="H1130" s="445"/>
      <c r="I1130" s="445"/>
      <c r="J1130" s="445"/>
      <c r="K1130" s="447"/>
      <c r="L1130" s="448"/>
      <c r="M1130" s="448"/>
      <c r="N1130" s="445"/>
      <c r="O1130" s="449"/>
      <c r="P1130" s="450"/>
      <c r="Q1130" s="451"/>
      <c r="R1130" s="507"/>
      <c r="S1130" s="508"/>
      <c r="T1130" s="472"/>
      <c r="U1130" s="448"/>
      <c r="W1130" s="448"/>
    </row>
    <row r="1131" spans="1:23" s="458" customFormat="1" ht="5.65" customHeight="1" x14ac:dyDescent="0.2">
      <c r="A1131" s="444"/>
      <c r="B1131" s="445"/>
      <c r="C1131" s="479"/>
      <c r="D1131" s="479"/>
      <c r="E1131" s="479"/>
      <c r="F1131" s="479"/>
      <c r="G1131" s="446"/>
      <c r="H1131" s="445"/>
      <c r="I1131" s="445"/>
      <c r="J1131" s="445"/>
      <c r="K1131" s="447"/>
      <c r="L1131" s="448"/>
      <c r="M1131" s="448"/>
      <c r="N1131" s="445"/>
      <c r="O1131" s="449"/>
      <c r="P1131" s="450"/>
      <c r="Q1131" s="451"/>
      <c r="R1131" s="507"/>
      <c r="S1131" s="508"/>
      <c r="T1131" s="472"/>
      <c r="U1131" s="448"/>
      <c r="W1131" s="448"/>
    </row>
    <row r="1132" spans="1:23" s="458" customFormat="1" ht="5.65" customHeight="1" x14ac:dyDescent="0.2">
      <c r="A1132" s="444"/>
      <c r="B1132" s="445"/>
      <c r="C1132" s="479"/>
      <c r="D1132" s="479"/>
      <c r="E1132" s="479"/>
      <c r="F1132" s="479"/>
      <c r="G1132" s="446"/>
      <c r="H1132" s="445"/>
      <c r="I1132" s="445"/>
      <c r="J1132" s="445"/>
      <c r="K1132" s="447"/>
      <c r="L1132" s="448"/>
      <c r="M1132" s="448"/>
      <c r="N1132" s="445"/>
      <c r="O1132" s="449"/>
      <c r="P1132" s="450"/>
      <c r="Q1132" s="451"/>
      <c r="R1132" s="507"/>
      <c r="S1132" s="508"/>
      <c r="T1132" s="472"/>
      <c r="U1132" s="448"/>
      <c r="W1132" s="448"/>
    </row>
    <row r="1133" spans="1:23" s="458" customFormat="1" ht="5.65" customHeight="1" x14ac:dyDescent="0.2">
      <c r="A1133" s="444"/>
      <c r="B1133" s="445"/>
      <c r="C1133" s="479"/>
      <c r="D1133" s="479"/>
      <c r="E1133" s="479"/>
      <c r="F1133" s="479"/>
      <c r="G1133" s="446"/>
      <c r="H1133" s="445"/>
      <c r="I1133" s="445"/>
      <c r="J1133" s="445"/>
      <c r="K1133" s="447"/>
      <c r="L1133" s="448"/>
      <c r="M1133" s="448"/>
      <c r="N1133" s="445"/>
      <c r="O1133" s="449"/>
      <c r="P1133" s="450"/>
      <c r="Q1133" s="451"/>
      <c r="R1133" s="507"/>
      <c r="S1133" s="508"/>
      <c r="T1133" s="472"/>
      <c r="U1133" s="448"/>
      <c r="W1133" s="448"/>
    </row>
    <row r="1134" spans="1:23" s="458" customFormat="1" ht="5.65" customHeight="1" x14ac:dyDescent="0.2">
      <c r="A1134" s="444"/>
      <c r="B1134" s="445"/>
      <c r="C1134" s="479"/>
      <c r="D1134" s="479"/>
      <c r="E1134" s="479"/>
      <c r="F1134" s="479"/>
      <c r="G1134" s="446"/>
      <c r="H1134" s="445"/>
      <c r="I1134" s="445"/>
      <c r="J1134" s="445"/>
      <c r="K1134" s="447"/>
      <c r="L1134" s="448"/>
      <c r="M1134" s="448"/>
      <c r="N1134" s="445"/>
      <c r="O1134" s="449"/>
      <c r="P1134" s="450"/>
      <c r="Q1134" s="451"/>
      <c r="R1134" s="507"/>
      <c r="S1134" s="508"/>
      <c r="T1134" s="472"/>
      <c r="U1134" s="448"/>
      <c r="W1134" s="448"/>
    </row>
    <row r="1135" spans="1:23" s="458" customFormat="1" ht="5.65" customHeight="1" x14ac:dyDescent="0.2">
      <c r="A1135" s="444"/>
      <c r="B1135" s="445"/>
      <c r="C1135" s="479"/>
      <c r="D1135" s="479"/>
      <c r="E1135" s="479"/>
      <c r="F1135" s="479"/>
      <c r="G1135" s="446"/>
      <c r="H1135" s="445"/>
      <c r="I1135" s="445"/>
      <c r="J1135" s="445"/>
      <c r="K1135" s="447"/>
      <c r="L1135" s="448"/>
      <c r="M1135" s="448"/>
      <c r="N1135" s="445"/>
      <c r="O1135" s="449"/>
      <c r="P1135" s="450"/>
      <c r="Q1135" s="451"/>
      <c r="R1135" s="507"/>
      <c r="S1135" s="508"/>
      <c r="T1135" s="472"/>
      <c r="U1135" s="448"/>
      <c r="W1135" s="448"/>
    </row>
    <row r="1136" spans="1:23" s="458" customFormat="1" ht="5.65" customHeight="1" x14ac:dyDescent="0.2">
      <c r="A1136" s="444"/>
      <c r="B1136" s="445"/>
      <c r="C1136" s="479"/>
      <c r="D1136" s="479"/>
      <c r="E1136" s="479"/>
      <c r="F1136" s="479"/>
      <c r="G1136" s="446"/>
      <c r="H1136" s="445"/>
      <c r="I1136" s="445"/>
      <c r="J1136" s="445"/>
      <c r="K1136" s="447"/>
      <c r="L1136" s="448"/>
      <c r="M1136" s="448"/>
      <c r="N1136" s="445"/>
      <c r="O1136" s="449"/>
      <c r="P1136" s="450"/>
      <c r="Q1136" s="451"/>
      <c r="R1136" s="507"/>
      <c r="S1136" s="508"/>
      <c r="T1136" s="472"/>
      <c r="U1136" s="448"/>
      <c r="W1136" s="448"/>
    </row>
    <row r="1137" spans="1:23" s="458" customFormat="1" ht="5.65" customHeight="1" x14ac:dyDescent="0.2">
      <c r="A1137" s="444"/>
      <c r="B1137" s="445"/>
      <c r="C1137" s="479"/>
      <c r="D1137" s="479"/>
      <c r="E1137" s="479"/>
      <c r="F1137" s="479"/>
      <c r="G1137" s="446"/>
      <c r="H1137" s="445"/>
      <c r="I1137" s="445"/>
      <c r="J1137" s="445"/>
      <c r="K1137" s="447"/>
      <c r="L1137" s="448"/>
      <c r="M1137" s="448"/>
      <c r="N1137" s="445"/>
      <c r="O1137" s="449"/>
      <c r="P1137" s="450"/>
      <c r="Q1137" s="451"/>
      <c r="R1137" s="507"/>
      <c r="S1137" s="508"/>
      <c r="T1137" s="472"/>
      <c r="U1137" s="448"/>
      <c r="W1137" s="448"/>
    </row>
    <row r="1138" spans="1:23" s="458" customFormat="1" ht="5.65" customHeight="1" x14ac:dyDescent="0.2">
      <c r="A1138" s="444"/>
      <c r="B1138" s="445"/>
      <c r="C1138" s="479"/>
      <c r="D1138" s="479"/>
      <c r="E1138" s="479"/>
      <c r="F1138" s="479"/>
      <c r="G1138" s="446"/>
      <c r="H1138" s="445"/>
      <c r="I1138" s="445"/>
      <c r="J1138" s="445"/>
      <c r="K1138" s="447"/>
      <c r="L1138" s="448"/>
      <c r="M1138" s="448"/>
      <c r="N1138" s="445"/>
      <c r="O1138" s="449"/>
      <c r="P1138" s="450"/>
      <c r="Q1138" s="451"/>
      <c r="R1138" s="507"/>
      <c r="S1138" s="508"/>
      <c r="T1138" s="472"/>
      <c r="U1138" s="448"/>
      <c r="W1138" s="448"/>
    </row>
    <row r="1139" spans="1:23" s="458" customFormat="1" ht="5.65" customHeight="1" x14ac:dyDescent="0.2">
      <c r="A1139" s="444"/>
      <c r="B1139" s="445"/>
      <c r="C1139" s="479"/>
      <c r="D1139" s="479"/>
      <c r="E1139" s="479"/>
      <c r="F1139" s="479"/>
      <c r="G1139" s="446"/>
      <c r="H1139" s="445"/>
      <c r="I1139" s="445"/>
      <c r="J1139" s="445"/>
      <c r="K1139" s="447"/>
      <c r="L1139" s="448"/>
      <c r="M1139" s="448"/>
      <c r="N1139" s="445"/>
      <c r="O1139" s="449"/>
      <c r="P1139" s="450"/>
      <c r="Q1139" s="451"/>
      <c r="R1139" s="507"/>
      <c r="S1139" s="508"/>
      <c r="T1139" s="472"/>
      <c r="U1139" s="448"/>
      <c r="W1139" s="448"/>
    </row>
    <row r="1140" spans="1:23" s="458" customFormat="1" ht="5.65" customHeight="1" x14ac:dyDescent="0.2">
      <c r="A1140" s="444"/>
      <c r="B1140" s="445"/>
      <c r="C1140" s="479"/>
      <c r="D1140" s="479"/>
      <c r="E1140" s="479"/>
      <c r="F1140" s="479"/>
      <c r="G1140" s="446"/>
      <c r="H1140" s="445"/>
      <c r="I1140" s="445"/>
      <c r="J1140" s="445"/>
      <c r="K1140" s="447"/>
      <c r="L1140" s="448"/>
      <c r="M1140" s="448"/>
      <c r="N1140" s="445"/>
      <c r="O1140" s="449"/>
      <c r="P1140" s="450"/>
      <c r="Q1140" s="451"/>
      <c r="R1140" s="507"/>
      <c r="S1140" s="508"/>
      <c r="T1140" s="472"/>
      <c r="U1140" s="448"/>
      <c r="W1140" s="448"/>
    </row>
    <row r="1141" spans="1:23" s="458" customFormat="1" ht="5.65" customHeight="1" x14ac:dyDescent="0.2">
      <c r="A1141" s="444"/>
      <c r="B1141" s="445"/>
      <c r="C1141" s="479"/>
      <c r="D1141" s="479"/>
      <c r="E1141" s="479"/>
      <c r="F1141" s="479"/>
      <c r="G1141" s="446"/>
      <c r="H1141" s="445"/>
      <c r="I1141" s="445"/>
      <c r="J1141" s="445"/>
      <c r="K1141" s="447"/>
      <c r="L1141" s="448"/>
      <c r="M1141" s="448"/>
      <c r="N1141" s="445"/>
      <c r="O1141" s="449"/>
      <c r="P1141" s="450"/>
      <c r="Q1141" s="451"/>
      <c r="R1141" s="507"/>
      <c r="S1141" s="508"/>
      <c r="T1141" s="472"/>
      <c r="U1141" s="448"/>
      <c r="W1141" s="448"/>
    </row>
    <row r="1142" spans="1:23" s="458" customFormat="1" ht="5.65" customHeight="1" x14ac:dyDescent="0.2">
      <c r="A1142" s="444"/>
      <c r="B1142" s="445"/>
      <c r="C1142" s="479"/>
      <c r="D1142" s="479"/>
      <c r="E1142" s="479"/>
      <c r="F1142" s="479"/>
      <c r="G1142" s="446"/>
      <c r="H1142" s="445"/>
      <c r="I1142" s="445"/>
      <c r="J1142" s="445"/>
      <c r="K1142" s="447"/>
      <c r="L1142" s="448"/>
      <c r="M1142" s="448"/>
      <c r="N1142" s="445"/>
      <c r="O1142" s="449"/>
      <c r="P1142" s="450"/>
      <c r="Q1142" s="451"/>
      <c r="R1142" s="507"/>
      <c r="S1142" s="508"/>
      <c r="T1142" s="472"/>
      <c r="U1142" s="448"/>
      <c r="W1142" s="448"/>
    </row>
    <row r="1143" spans="1:23" s="458" customFormat="1" ht="5.65" customHeight="1" x14ac:dyDescent="0.2">
      <c r="A1143" s="444"/>
      <c r="B1143" s="445"/>
      <c r="C1143" s="479"/>
      <c r="D1143" s="479"/>
      <c r="E1143" s="479"/>
      <c r="F1143" s="479"/>
      <c r="G1143" s="446"/>
      <c r="H1143" s="445"/>
      <c r="I1143" s="445"/>
      <c r="J1143" s="445"/>
      <c r="K1143" s="447"/>
      <c r="L1143" s="448"/>
      <c r="M1143" s="448"/>
      <c r="N1143" s="445"/>
      <c r="O1143" s="449"/>
      <c r="P1143" s="450"/>
      <c r="Q1143" s="451"/>
      <c r="R1143" s="507"/>
      <c r="S1143" s="508"/>
      <c r="T1143" s="472"/>
      <c r="U1143" s="448"/>
      <c r="W1143" s="448"/>
    </row>
    <row r="1144" spans="1:23" s="458" customFormat="1" ht="5.65" customHeight="1" x14ac:dyDescent="0.2">
      <c r="A1144" s="444"/>
      <c r="B1144" s="445"/>
      <c r="C1144" s="479"/>
      <c r="D1144" s="479"/>
      <c r="E1144" s="479"/>
      <c r="F1144" s="479"/>
      <c r="G1144" s="446"/>
      <c r="H1144" s="445"/>
      <c r="I1144" s="445"/>
      <c r="J1144" s="445"/>
      <c r="K1144" s="447"/>
      <c r="L1144" s="448"/>
      <c r="M1144" s="448"/>
      <c r="N1144" s="445"/>
      <c r="O1144" s="449"/>
      <c r="P1144" s="450"/>
      <c r="Q1144" s="451"/>
      <c r="R1144" s="507"/>
      <c r="S1144" s="508"/>
      <c r="T1144" s="472"/>
      <c r="U1144" s="448"/>
      <c r="W1144" s="448"/>
    </row>
    <row r="1145" spans="1:23" s="458" customFormat="1" ht="5.65" customHeight="1" x14ac:dyDescent="0.2">
      <c r="A1145" s="444"/>
      <c r="B1145" s="445"/>
      <c r="C1145" s="479"/>
      <c r="D1145" s="479"/>
      <c r="E1145" s="479"/>
      <c r="F1145" s="479"/>
      <c r="G1145" s="446"/>
      <c r="H1145" s="445"/>
      <c r="I1145" s="445"/>
      <c r="J1145" s="445"/>
      <c r="K1145" s="447"/>
      <c r="L1145" s="448"/>
      <c r="M1145" s="448"/>
      <c r="N1145" s="445"/>
      <c r="O1145" s="449"/>
      <c r="P1145" s="450"/>
      <c r="Q1145" s="451"/>
      <c r="R1145" s="507"/>
      <c r="S1145" s="508"/>
      <c r="T1145" s="472"/>
      <c r="U1145" s="448"/>
      <c r="W1145" s="448"/>
    </row>
    <row r="1146" spans="1:23" s="458" customFormat="1" ht="5.65" customHeight="1" x14ac:dyDescent="0.2">
      <c r="A1146" s="444"/>
      <c r="B1146" s="445"/>
      <c r="C1146" s="479"/>
      <c r="D1146" s="479"/>
      <c r="E1146" s="479"/>
      <c r="F1146" s="479"/>
      <c r="G1146" s="446"/>
      <c r="H1146" s="445"/>
      <c r="I1146" s="445"/>
      <c r="J1146" s="445"/>
      <c r="K1146" s="447"/>
      <c r="L1146" s="448"/>
      <c r="M1146" s="448"/>
      <c r="N1146" s="445"/>
      <c r="O1146" s="449"/>
      <c r="P1146" s="450"/>
      <c r="Q1146" s="451"/>
      <c r="R1146" s="507"/>
      <c r="S1146" s="508"/>
      <c r="T1146" s="472"/>
      <c r="U1146" s="448"/>
      <c r="W1146" s="448"/>
    </row>
    <row r="1147" spans="1:23" s="458" customFormat="1" ht="5.65" customHeight="1" x14ac:dyDescent="0.2">
      <c r="A1147" s="444"/>
      <c r="B1147" s="445"/>
      <c r="C1147" s="479"/>
      <c r="D1147" s="479"/>
      <c r="E1147" s="479"/>
      <c r="F1147" s="479"/>
      <c r="G1147" s="446"/>
      <c r="H1147" s="445"/>
      <c r="I1147" s="445"/>
      <c r="J1147" s="445"/>
      <c r="K1147" s="447"/>
      <c r="L1147" s="448"/>
      <c r="M1147" s="448"/>
      <c r="N1147" s="445"/>
      <c r="O1147" s="449"/>
      <c r="P1147" s="450"/>
      <c r="Q1147" s="451"/>
      <c r="R1147" s="507"/>
      <c r="S1147" s="508"/>
      <c r="T1147" s="472"/>
      <c r="U1147" s="448"/>
      <c r="W1147" s="448"/>
    </row>
    <row r="1148" spans="1:23" s="458" customFormat="1" ht="5.65" customHeight="1" x14ac:dyDescent="0.2">
      <c r="A1148" s="444"/>
      <c r="B1148" s="445"/>
      <c r="C1148" s="479"/>
      <c r="D1148" s="479"/>
      <c r="E1148" s="479"/>
      <c r="F1148" s="479"/>
      <c r="G1148" s="446"/>
      <c r="H1148" s="445"/>
      <c r="I1148" s="445"/>
      <c r="J1148" s="445"/>
      <c r="K1148" s="447"/>
      <c r="L1148" s="448"/>
      <c r="M1148" s="448"/>
      <c r="N1148" s="445"/>
      <c r="O1148" s="449"/>
      <c r="P1148" s="450"/>
      <c r="Q1148" s="451"/>
      <c r="R1148" s="507"/>
      <c r="S1148" s="508"/>
      <c r="T1148" s="472"/>
      <c r="U1148" s="448"/>
      <c r="W1148" s="448"/>
    </row>
    <row r="1149" spans="1:23" s="458" customFormat="1" ht="5.65" customHeight="1" x14ac:dyDescent="0.2">
      <c r="A1149" s="444"/>
      <c r="B1149" s="445"/>
      <c r="C1149" s="479"/>
      <c r="D1149" s="479"/>
      <c r="E1149" s="479"/>
      <c r="F1149" s="479"/>
      <c r="G1149" s="446"/>
      <c r="H1149" s="445"/>
      <c r="I1149" s="445"/>
      <c r="J1149" s="445"/>
      <c r="K1149" s="447"/>
      <c r="L1149" s="448"/>
      <c r="M1149" s="448"/>
      <c r="N1149" s="445"/>
      <c r="O1149" s="449"/>
      <c r="P1149" s="450"/>
      <c r="Q1149" s="451"/>
      <c r="R1149" s="507"/>
      <c r="S1149" s="508"/>
      <c r="T1149" s="472"/>
      <c r="U1149" s="448"/>
      <c r="W1149" s="448"/>
    </row>
    <row r="1150" spans="1:23" s="458" customFormat="1" ht="5.65" customHeight="1" x14ac:dyDescent="0.2">
      <c r="A1150" s="444"/>
      <c r="B1150" s="445"/>
      <c r="C1150" s="479"/>
      <c r="D1150" s="479"/>
      <c r="E1150" s="479"/>
      <c r="F1150" s="479"/>
      <c r="G1150" s="446"/>
      <c r="H1150" s="445"/>
      <c r="I1150" s="445"/>
      <c r="J1150" s="445"/>
      <c r="K1150" s="447"/>
      <c r="L1150" s="448"/>
      <c r="M1150" s="448"/>
      <c r="N1150" s="445"/>
      <c r="O1150" s="449"/>
      <c r="P1150" s="450"/>
      <c r="Q1150" s="451"/>
      <c r="R1150" s="507"/>
      <c r="S1150" s="508"/>
      <c r="T1150" s="472"/>
      <c r="U1150" s="448"/>
      <c r="W1150" s="448"/>
    </row>
    <row r="1151" spans="1:23" s="458" customFormat="1" ht="5.65" customHeight="1" x14ac:dyDescent="0.2">
      <c r="A1151" s="444"/>
      <c r="B1151" s="445"/>
      <c r="C1151" s="479"/>
      <c r="D1151" s="479"/>
      <c r="E1151" s="479"/>
      <c r="F1151" s="479"/>
      <c r="G1151" s="446"/>
      <c r="H1151" s="445"/>
      <c r="I1151" s="445"/>
      <c r="J1151" s="445"/>
      <c r="K1151" s="447"/>
      <c r="L1151" s="448"/>
      <c r="M1151" s="448"/>
      <c r="N1151" s="445"/>
      <c r="O1151" s="449"/>
      <c r="P1151" s="450"/>
      <c r="Q1151" s="451"/>
      <c r="R1151" s="507"/>
      <c r="S1151" s="508"/>
      <c r="T1151" s="472"/>
      <c r="U1151" s="448"/>
      <c r="W1151" s="448"/>
    </row>
    <row r="1152" spans="1:23" s="458" customFormat="1" ht="5.65" customHeight="1" x14ac:dyDescent="0.2">
      <c r="A1152" s="444"/>
      <c r="B1152" s="445"/>
      <c r="C1152" s="479"/>
      <c r="D1152" s="479"/>
      <c r="E1152" s="479"/>
      <c r="F1152" s="479"/>
      <c r="G1152" s="446"/>
      <c r="H1152" s="445"/>
      <c r="I1152" s="445"/>
      <c r="J1152" s="445"/>
      <c r="K1152" s="447"/>
      <c r="L1152" s="448"/>
      <c r="M1152" s="448"/>
      <c r="N1152" s="445"/>
      <c r="O1152" s="449"/>
      <c r="P1152" s="450"/>
      <c r="Q1152" s="451"/>
      <c r="R1152" s="507"/>
      <c r="S1152" s="508"/>
      <c r="T1152" s="472"/>
      <c r="U1152" s="448"/>
      <c r="W1152" s="448"/>
    </row>
    <row r="1153" spans="1:23" s="458" customFormat="1" ht="5.65" customHeight="1" x14ac:dyDescent="0.2">
      <c r="A1153" s="444"/>
      <c r="B1153" s="445"/>
      <c r="C1153" s="479"/>
      <c r="D1153" s="479"/>
      <c r="E1153" s="479"/>
      <c r="F1153" s="479"/>
      <c r="G1153" s="446"/>
      <c r="H1153" s="445"/>
      <c r="I1153" s="445"/>
      <c r="J1153" s="445"/>
      <c r="K1153" s="447"/>
      <c r="L1153" s="448"/>
      <c r="M1153" s="448"/>
      <c r="N1153" s="445"/>
      <c r="O1153" s="449"/>
      <c r="P1153" s="450"/>
      <c r="Q1153" s="451"/>
      <c r="R1153" s="507"/>
      <c r="S1153" s="508"/>
      <c r="T1153" s="472"/>
      <c r="U1153" s="448"/>
      <c r="W1153" s="448"/>
    </row>
    <row r="1154" spans="1:23" s="458" customFormat="1" ht="5.65" customHeight="1" x14ac:dyDescent="0.2">
      <c r="A1154" s="444"/>
      <c r="B1154" s="445"/>
      <c r="C1154" s="479"/>
      <c r="D1154" s="479"/>
      <c r="E1154" s="479"/>
      <c r="F1154" s="479"/>
      <c r="G1154" s="446"/>
      <c r="H1154" s="445"/>
      <c r="I1154" s="445"/>
      <c r="J1154" s="445"/>
      <c r="K1154" s="447"/>
      <c r="L1154" s="448"/>
      <c r="M1154" s="448"/>
      <c r="N1154" s="445"/>
      <c r="O1154" s="449"/>
      <c r="P1154" s="450"/>
      <c r="Q1154" s="451"/>
      <c r="R1154" s="507"/>
      <c r="S1154" s="508"/>
      <c r="T1154" s="472"/>
      <c r="U1154" s="448"/>
      <c r="W1154" s="448"/>
    </row>
    <row r="1155" spans="1:23" s="458" customFormat="1" ht="5.65" customHeight="1" x14ac:dyDescent="0.2">
      <c r="A1155" s="444"/>
      <c r="B1155" s="445"/>
      <c r="C1155" s="479"/>
      <c r="D1155" s="479"/>
      <c r="E1155" s="479"/>
      <c r="F1155" s="479"/>
      <c r="G1155" s="446"/>
      <c r="H1155" s="445"/>
      <c r="I1155" s="445"/>
      <c r="J1155" s="445"/>
      <c r="K1155" s="447"/>
      <c r="L1155" s="448"/>
      <c r="M1155" s="448"/>
      <c r="N1155" s="445"/>
      <c r="O1155" s="449"/>
      <c r="P1155" s="450"/>
      <c r="Q1155" s="451"/>
      <c r="R1155" s="507"/>
      <c r="S1155" s="508"/>
      <c r="T1155" s="472"/>
      <c r="U1155" s="448"/>
      <c r="W1155" s="448"/>
    </row>
    <row r="1156" spans="1:23" s="458" customFormat="1" ht="5.65" customHeight="1" x14ac:dyDescent="0.2">
      <c r="A1156" s="444"/>
      <c r="B1156" s="445"/>
      <c r="C1156" s="479"/>
      <c r="D1156" s="479"/>
      <c r="E1156" s="479"/>
      <c r="F1156" s="479"/>
      <c r="G1156" s="446"/>
      <c r="H1156" s="445"/>
      <c r="I1156" s="445"/>
      <c r="J1156" s="445"/>
      <c r="K1156" s="447"/>
      <c r="L1156" s="448"/>
      <c r="M1156" s="448"/>
      <c r="N1156" s="445"/>
      <c r="O1156" s="449"/>
      <c r="P1156" s="450"/>
      <c r="Q1156" s="451"/>
      <c r="R1156" s="507"/>
      <c r="S1156" s="508"/>
      <c r="T1156" s="472"/>
      <c r="U1156" s="448"/>
      <c r="W1156" s="448"/>
    </row>
    <row r="1157" spans="1:23" s="458" customFormat="1" ht="5.65" customHeight="1" x14ac:dyDescent="0.2">
      <c r="A1157" s="444"/>
      <c r="B1157" s="445"/>
      <c r="C1157" s="479"/>
      <c r="D1157" s="479"/>
      <c r="E1157" s="479"/>
      <c r="F1157" s="479"/>
      <c r="G1157" s="446"/>
      <c r="H1157" s="445"/>
      <c r="I1157" s="445"/>
      <c r="J1157" s="445"/>
      <c r="K1157" s="447"/>
      <c r="L1157" s="448"/>
      <c r="M1157" s="448"/>
      <c r="N1157" s="445"/>
      <c r="O1157" s="449"/>
      <c r="P1157" s="450"/>
      <c r="Q1157" s="451"/>
      <c r="R1157" s="507"/>
      <c r="S1157" s="508"/>
      <c r="T1157" s="472"/>
      <c r="U1157" s="448"/>
      <c r="W1157" s="448"/>
    </row>
    <row r="1158" spans="1:23" s="458" customFormat="1" ht="5.65" customHeight="1" x14ac:dyDescent="0.2">
      <c r="A1158" s="444"/>
      <c r="B1158" s="445"/>
      <c r="C1158" s="479"/>
      <c r="D1158" s="479"/>
      <c r="E1158" s="479"/>
      <c r="F1158" s="479"/>
      <c r="G1158" s="446"/>
      <c r="H1158" s="445"/>
      <c r="I1158" s="445"/>
      <c r="J1158" s="445"/>
      <c r="K1158" s="447"/>
      <c r="L1158" s="448"/>
      <c r="M1158" s="448"/>
      <c r="N1158" s="445"/>
      <c r="O1158" s="449"/>
      <c r="P1158" s="450"/>
      <c r="Q1158" s="451"/>
      <c r="R1158" s="507"/>
      <c r="S1158" s="508"/>
      <c r="T1158" s="472"/>
      <c r="U1158" s="448"/>
      <c r="W1158" s="448"/>
    </row>
    <row r="1159" spans="1:23" s="458" customFormat="1" ht="5.65" customHeight="1" x14ac:dyDescent="0.2">
      <c r="A1159" s="444"/>
      <c r="B1159" s="445"/>
      <c r="C1159" s="479"/>
      <c r="D1159" s="479"/>
      <c r="E1159" s="479"/>
      <c r="F1159" s="479"/>
      <c r="G1159" s="446"/>
      <c r="H1159" s="445"/>
      <c r="I1159" s="445"/>
      <c r="J1159" s="445"/>
      <c r="K1159" s="447"/>
      <c r="L1159" s="448"/>
      <c r="M1159" s="448"/>
      <c r="N1159" s="445"/>
      <c r="O1159" s="449"/>
      <c r="P1159" s="450"/>
      <c r="Q1159" s="451"/>
      <c r="R1159" s="507"/>
      <c r="S1159" s="508"/>
      <c r="T1159" s="472"/>
      <c r="U1159" s="448"/>
      <c r="W1159" s="448"/>
    </row>
    <row r="1160" spans="1:23" s="458" customFormat="1" ht="5.65" customHeight="1" x14ac:dyDescent="0.2">
      <c r="A1160" s="444"/>
      <c r="B1160" s="445"/>
      <c r="C1160" s="479"/>
      <c r="D1160" s="479"/>
      <c r="E1160" s="479"/>
      <c r="F1160" s="479"/>
      <c r="G1160" s="446"/>
      <c r="H1160" s="445"/>
      <c r="I1160" s="445"/>
      <c r="J1160" s="445"/>
      <c r="K1160" s="447"/>
      <c r="L1160" s="448"/>
      <c r="M1160" s="448"/>
      <c r="N1160" s="445"/>
      <c r="O1160" s="449"/>
      <c r="P1160" s="450"/>
      <c r="Q1160" s="451"/>
      <c r="R1160" s="507"/>
      <c r="S1160" s="508"/>
      <c r="T1160" s="472"/>
      <c r="U1160" s="448"/>
      <c r="W1160" s="448"/>
    </row>
    <row r="1161" spans="1:23" s="458" customFormat="1" ht="5.65" customHeight="1" x14ac:dyDescent="0.2">
      <c r="A1161" s="444"/>
      <c r="B1161" s="445"/>
      <c r="C1161" s="479"/>
      <c r="D1161" s="479"/>
      <c r="E1161" s="479"/>
      <c r="F1161" s="479"/>
      <c r="G1161" s="446"/>
      <c r="H1161" s="445"/>
      <c r="I1161" s="445"/>
      <c r="J1161" s="445"/>
      <c r="K1161" s="447"/>
      <c r="L1161" s="448"/>
      <c r="M1161" s="448"/>
      <c r="N1161" s="445"/>
      <c r="O1161" s="449"/>
      <c r="P1161" s="450"/>
      <c r="Q1161" s="451"/>
      <c r="R1161" s="507"/>
      <c r="S1161" s="508"/>
      <c r="T1161" s="472"/>
      <c r="U1161" s="448"/>
      <c r="W1161" s="448"/>
    </row>
    <row r="1162" spans="1:23" s="458" customFormat="1" ht="5.65" customHeight="1" x14ac:dyDescent="0.2">
      <c r="A1162" s="444"/>
      <c r="B1162" s="445"/>
      <c r="C1162" s="479"/>
      <c r="D1162" s="479"/>
      <c r="E1162" s="479"/>
      <c r="F1162" s="479"/>
      <c r="G1162" s="446"/>
      <c r="H1162" s="445"/>
      <c r="I1162" s="445"/>
      <c r="J1162" s="445"/>
      <c r="K1162" s="447"/>
      <c r="L1162" s="448"/>
      <c r="M1162" s="448"/>
      <c r="N1162" s="445"/>
      <c r="O1162" s="449"/>
      <c r="P1162" s="450"/>
      <c r="Q1162" s="451"/>
      <c r="R1162" s="507"/>
      <c r="S1162" s="508"/>
      <c r="T1162" s="472"/>
      <c r="U1162" s="448"/>
      <c r="W1162" s="448"/>
    </row>
    <row r="1163" spans="1:23" s="458" customFormat="1" ht="5.65" customHeight="1" x14ac:dyDescent="0.2">
      <c r="A1163" s="444"/>
      <c r="B1163" s="445"/>
      <c r="C1163" s="479"/>
      <c r="D1163" s="479"/>
      <c r="E1163" s="479"/>
      <c r="F1163" s="479"/>
      <c r="G1163" s="446"/>
      <c r="H1163" s="445"/>
      <c r="I1163" s="445"/>
      <c r="J1163" s="445"/>
      <c r="K1163" s="447"/>
      <c r="L1163" s="448"/>
      <c r="M1163" s="448"/>
      <c r="N1163" s="445"/>
      <c r="O1163" s="449"/>
      <c r="P1163" s="450"/>
      <c r="Q1163" s="451"/>
      <c r="R1163" s="507"/>
      <c r="S1163" s="508"/>
      <c r="T1163" s="472"/>
      <c r="U1163" s="448"/>
      <c r="W1163" s="448"/>
    </row>
    <row r="1164" spans="1:23" s="458" customFormat="1" ht="5.65" customHeight="1" x14ac:dyDescent="0.2">
      <c r="A1164" s="444"/>
      <c r="B1164" s="445"/>
      <c r="C1164" s="479"/>
      <c r="D1164" s="479"/>
      <c r="E1164" s="479"/>
      <c r="F1164" s="479"/>
      <c r="G1164" s="446"/>
      <c r="H1164" s="445"/>
      <c r="I1164" s="445"/>
      <c r="J1164" s="445"/>
      <c r="K1164" s="447"/>
      <c r="L1164" s="448"/>
      <c r="M1164" s="448"/>
      <c r="N1164" s="445"/>
      <c r="O1164" s="449"/>
      <c r="P1164" s="450"/>
      <c r="Q1164" s="451"/>
      <c r="R1164" s="507"/>
      <c r="S1164" s="508"/>
      <c r="T1164" s="472"/>
      <c r="U1164" s="448"/>
      <c r="W1164" s="448"/>
    </row>
    <row r="1165" spans="1:23" s="458" customFormat="1" ht="5.65" customHeight="1" x14ac:dyDescent="0.2">
      <c r="A1165" s="444"/>
      <c r="B1165" s="445"/>
      <c r="C1165" s="479"/>
      <c r="D1165" s="479"/>
      <c r="E1165" s="479"/>
      <c r="F1165" s="479"/>
      <c r="G1165" s="446"/>
      <c r="H1165" s="445"/>
      <c r="I1165" s="445"/>
      <c r="J1165" s="445"/>
      <c r="K1165" s="447"/>
      <c r="L1165" s="448"/>
      <c r="M1165" s="448"/>
      <c r="N1165" s="445"/>
      <c r="O1165" s="449"/>
      <c r="P1165" s="450"/>
      <c r="Q1165" s="451"/>
      <c r="R1165" s="507"/>
      <c r="S1165" s="508"/>
      <c r="T1165" s="472"/>
      <c r="U1165" s="448"/>
      <c r="W1165" s="448"/>
    </row>
    <row r="1166" spans="1:23" s="458" customFormat="1" ht="5.65" customHeight="1" x14ac:dyDescent="0.2">
      <c r="A1166" s="444"/>
      <c r="B1166" s="445"/>
      <c r="C1166" s="479"/>
      <c r="D1166" s="479"/>
      <c r="E1166" s="479"/>
      <c r="F1166" s="479"/>
      <c r="G1166" s="446"/>
      <c r="H1166" s="445"/>
      <c r="I1166" s="445"/>
      <c r="J1166" s="445"/>
      <c r="K1166" s="447"/>
      <c r="L1166" s="448"/>
      <c r="M1166" s="448"/>
      <c r="N1166" s="445"/>
      <c r="O1166" s="449"/>
      <c r="P1166" s="450"/>
      <c r="Q1166" s="451"/>
      <c r="R1166" s="507"/>
      <c r="S1166" s="508"/>
      <c r="T1166" s="472"/>
      <c r="U1166" s="448"/>
      <c r="W1166" s="448"/>
    </row>
    <row r="1167" spans="1:23" s="458" customFormat="1" ht="5.65" customHeight="1" x14ac:dyDescent="0.2">
      <c r="A1167" s="444"/>
      <c r="B1167" s="445"/>
      <c r="C1167" s="479"/>
      <c r="D1167" s="479"/>
      <c r="E1167" s="479"/>
      <c r="F1167" s="479"/>
      <c r="G1167" s="446"/>
      <c r="H1167" s="445"/>
      <c r="I1167" s="445"/>
      <c r="J1167" s="445"/>
      <c r="K1167" s="447"/>
      <c r="L1167" s="448"/>
      <c r="M1167" s="448"/>
      <c r="N1167" s="445"/>
      <c r="O1167" s="449"/>
      <c r="P1167" s="450"/>
      <c r="Q1167" s="451"/>
      <c r="R1167" s="507"/>
      <c r="S1167" s="508"/>
      <c r="T1167" s="472"/>
      <c r="U1167" s="448"/>
      <c r="W1167" s="448"/>
    </row>
    <row r="1168" spans="1:23" s="458" customFormat="1" ht="5.65" customHeight="1" x14ac:dyDescent="0.2">
      <c r="A1168" s="444"/>
      <c r="B1168" s="445"/>
      <c r="C1168" s="479"/>
      <c r="D1168" s="479"/>
      <c r="E1168" s="479"/>
      <c r="F1168" s="479"/>
      <c r="G1168" s="446"/>
      <c r="H1168" s="445"/>
      <c r="I1168" s="445"/>
      <c r="J1168" s="445"/>
      <c r="K1168" s="447"/>
      <c r="L1168" s="448"/>
      <c r="M1168" s="448"/>
      <c r="N1168" s="445"/>
      <c r="O1168" s="449"/>
      <c r="P1168" s="450"/>
      <c r="Q1168" s="451"/>
      <c r="R1168" s="507"/>
      <c r="S1168" s="508"/>
      <c r="T1168" s="472"/>
      <c r="U1168" s="448"/>
      <c r="W1168" s="448"/>
    </row>
    <row r="1169" spans="1:23" s="458" customFormat="1" ht="5.65" customHeight="1" x14ac:dyDescent="0.2">
      <c r="A1169" s="444"/>
      <c r="B1169" s="445"/>
      <c r="C1169" s="479"/>
      <c r="D1169" s="479"/>
      <c r="E1169" s="479"/>
      <c r="F1169" s="479"/>
      <c r="G1169" s="446"/>
      <c r="H1169" s="445"/>
      <c r="I1169" s="445"/>
      <c r="J1169" s="445"/>
      <c r="K1169" s="447"/>
      <c r="L1169" s="448"/>
      <c r="M1169" s="448"/>
      <c r="N1169" s="445"/>
      <c r="O1169" s="449"/>
      <c r="P1169" s="450"/>
      <c r="Q1169" s="451"/>
      <c r="R1169" s="507"/>
      <c r="S1169" s="508"/>
      <c r="T1169" s="472"/>
      <c r="U1169" s="448"/>
      <c r="W1169" s="448"/>
    </row>
    <row r="1170" spans="1:23" s="458" customFormat="1" ht="5.65" customHeight="1" x14ac:dyDescent="0.2">
      <c r="A1170" s="444"/>
      <c r="B1170" s="445"/>
      <c r="C1170" s="479"/>
      <c r="D1170" s="479"/>
      <c r="E1170" s="479"/>
      <c r="F1170" s="479"/>
      <c r="G1170" s="446"/>
      <c r="H1170" s="445"/>
      <c r="I1170" s="445"/>
      <c r="J1170" s="445"/>
      <c r="K1170" s="447"/>
      <c r="L1170" s="448"/>
      <c r="M1170" s="448"/>
      <c r="N1170" s="445"/>
      <c r="O1170" s="449"/>
      <c r="P1170" s="450"/>
      <c r="Q1170" s="451"/>
      <c r="R1170" s="507"/>
      <c r="S1170" s="508"/>
      <c r="T1170" s="472"/>
      <c r="U1170" s="448"/>
      <c r="W1170" s="448"/>
    </row>
    <row r="1171" spans="1:23" s="458" customFormat="1" ht="5.65" customHeight="1" x14ac:dyDescent="0.2">
      <c r="A1171" s="444"/>
      <c r="B1171" s="445"/>
      <c r="C1171" s="479"/>
      <c r="D1171" s="479"/>
      <c r="E1171" s="479"/>
      <c r="F1171" s="479"/>
      <c r="G1171" s="446"/>
      <c r="H1171" s="445"/>
      <c r="I1171" s="445"/>
      <c r="J1171" s="445"/>
      <c r="K1171" s="447"/>
      <c r="L1171" s="448"/>
      <c r="M1171" s="448"/>
      <c r="N1171" s="445"/>
      <c r="O1171" s="449"/>
      <c r="P1171" s="450"/>
      <c r="Q1171" s="451"/>
      <c r="R1171" s="507"/>
      <c r="S1171" s="508"/>
      <c r="T1171" s="472"/>
      <c r="U1171" s="448"/>
      <c r="W1171" s="448"/>
    </row>
    <row r="1172" spans="1:23" s="458" customFormat="1" ht="5.65" customHeight="1" x14ac:dyDescent="0.2">
      <c r="A1172" s="444"/>
      <c r="B1172" s="445"/>
      <c r="C1172" s="479"/>
      <c r="D1172" s="479"/>
      <c r="E1172" s="479"/>
      <c r="F1172" s="479"/>
      <c r="G1172" s="446"/>
      <c r="H1172" s="445"/>
      <c r="I1172" s="445"/>
      <c r="J1172" s="445"/>
      <c r="K1172" s="447"/>
      <c r="L1172" s="448"/>
      <c r="M1172" s="448"/>
      <c r="N1172" s="445"/>
      <c r="O1172" s="449"/>
      <c r="P1172" s="450"/>
      <c r="Q1172" s="451"/>
      <c r="R1172" s="507"/>
      <c r="S1172" s="508"/>
      <c r="T1172" s="472"/>
      <c r="U1172" s="448"/>
      <c r="W1172" s="448"/>
    </row>
    <row r="1173" spans="1:23" s="458" customFormat="1" ht="5.65" customHeight="1" x14ac:dyDescent="0.2">
      <c r="A1173" s="444"/>
      <c r="B1173" s="445"/>
      <c r="C1173" s="479"/>
      <c r="D1173" s="479"/>
      <c r="E1173" s="479"/>
      <c r="F1173" s="479"/>
      <c r="G1173" s="446"/>
      <c r="H1173" s="445"/>
      <c r="I1173" s="445"/>
      <c r="J1173" s="445"/>
      <c r="K1173" s="447"/>
      <c r="L1173" s="448"/>
      <c r="M1173" s="448"/>
      <c r="N1173" s="445"/>
      <c r="O1173" s="449"/>
      <c r="P1173" s="450"/>
      <c r="Q1173" s="451"/>
      <c r="R1173" s="507"/>
      <c r="S1173" s="508"/>
      <c r="T1173" s="472"/>
      <c r="U1173" s="448"/>
      <c r="W1173" s="448"/>
    </row>
    <row r="1174" spans="1:23" s="458" customFormat="1" ht="5.65" customHeight="1" x14ac:dyDescent="0.2">
      <c r="A1174" s="444"/>
      <c r="B1174" s="445"/>
      <c r="C1174" s="479"/>
      <c r="D1174" s="479"/>
      <c r="E1174" s="479"/>
      <c r="F1174" s="479"/>
      <c r="G1174" s="446"/>
      <c r="H1174" s="445"/>
      <c r="I1174" s="445"/>
      <c r="J1174" s="445"/>
      <c r="K1174" s="447"/>
      <c r="L1174" s="448"/>
      <c r="M1174" s="448"/>
      <c r="N1174" s="445"/>
      <c r="O1174" s="449"/>
      <c r="P1174" s="450"/>
      <c r="Q1174" s="451"/>
      <c r="R1174" s="507"/>
      <c r="S1174" s="508"/>
      <c r="T1174" s="472"/>
      <c r="U1174" s="448"/>
      <c r="W1174" s="448"/>
    </row>
    <row r="1175" spans="1:23" s="458" customFormat="1" ht="5.65" customHeight="1" x14ac:dyDescent="0.2">
      <c r="A1175" s="444"/>
      <c r="B1175" s="445"/>
      <c r="C1175" s="479"/>
      <c r="D1175" s="479"/>
      <c r="E1175" s="479"/>
      <c r="F1175" s="479"/>
      <c r="G1175" s="446"/>
      <c r="H1175" s="445"/>
      <c r="I1175" s="445"/>
      <c r="J1175" s="445"/>
      <c r="K1175" s="447"/>
      <c r="L1175" s="448"/>
      <c r="M1175" s="448"/>
      <c r="N1175" s="445"/>
      <c r="O1175" s="449"/>
      <c r="P1175" s="450"/>
      <c r="Q1175" s="451"/>
      <c r="R1175" s="507"/>
      <c r="S1175" s="508"/>
      <c r="T1175" s="472"/>
      <c r="U1175" s="448"/>
      <c r="W1175" s="448"/>
    </row>
    <row r="1176" spans="1:23" s="458" customFormat="1" ht="5.65" customHeight="1" x14ac:dyDescent="0.2">
      <c r="A1176" s="444"/>
      <c r="B1176" s="445"/>
      <c r="C1176" s="479"/>
      <c r="D1176" s="479"/>
      <c r="E1176" s="479"/>
      <c r="F1176" s="479"/>
      <c r="G1176" s="446"/>
      <c r="H1176" s="445"/>
      <c r="I1176" s="445"/>
      <c r="J1176" s="445"/>
      <c r="K1176" s="447"/>
      <c r="L1176" s="448"/>
      <c r="M1176" s="448"/>
      <c r="N1176" s="445"/>
      <c r="O1176" s="449"/>
      <c r="P1176" s="450"/>
      <c r="Q1176" s="451"/>
      <c r="R1176" s="507"/>
      <c r="S1176" s="508"/>
      <c r="T1176" s="472"/>
      <c r="U1176" s="448"/>
      <c r="W1176" s="448"/>
    </row>
    <row r="1177" spans="1:23" s="458" customFormat="1" ht="5.65" customHeight="1" x14ac:dyDescent="0.2">
      <c r="A1177" s="444"/>
      <c r="B1177" s="445"/>
      <c r="C1177" s="479"/>
      <c r="D1177" s="479"/>
      <c r="E1177" s="479"/>
      <c r="F1177" s="479"/>
      <c r="G1177" s="446"/>
      <c r="H1177" s="445"/>
      <c r="I1177" s="445"/>
      <c r="J1177" s="445"/>
      <c r="K1177" s="447"/>
      <c r="L1177" s="448"/>
      <c r="M1177" s="448"/>
      <c r="N1177" s="445"/>
      <c r="O1177" s="449"/>
      <c r="P1177" s="450"/>
      <c r="Q1177" s="451"/>
      <c r="R1177" s="507"/>
      <c r="S1177" s="508"/>
      <c r="T1177" s="472"/>
      <c r="U1177" s="448"/>
      <c r="W1177" s="448"/>
    </row>
    <row r="1178" spans="1:23" s="458" customFormat="1" ht="5.65" customHeight="1" x14ac:dyDescent="0.2">
      <c r="A1178" s="444"/>
      <c r="B1178" s="445"/>
      <c r="C1178" s="479"/>
      <c r="D1178" s="479"/>
      <c r="E1178" s="479"/>
      <c r="F1178" s="479"/>
      <c r="G1178" s="446"/>
      <c r="H1178" s="445"/>
      <c r="I1178" s="445"/>
      <c r="J1178" s="445"/>
      <c r="K1178" s="447"/>
      <c r="L1178" s="448"/>
      <c r="M1178" s="448"/>
      <c r="N1178" s="445"/>
      <c r="O1178" s="449"/>
      <c r="P1178" s="450"/>
      <c r="Q1178" s="451"/>
      <c r="R1178" s="507"/>
      <c r="S1178" s="508"/>
      <c r="T1178" s="472"/>
      <c r="U1178" s="448"/>
      <c r="W1178" s="448"/>
    </row>
    <row r="1179" spans="1:23" s="458" customFormat="1" ht="5.65" customHeight="1" x14ac:dyDescent="0.2">
      <c r="A1179" s="444"/>
      <c r="B1179" s="445"/>
      <c r="C1179" s="479"/>
      <c r="D1179" s="479"/>
      <c r="E1179" s="479"/>
      <c r="F1179" s="479"/>
      <c r="G1179" s="446"/>
      <c r="H1179" s="445"/>
      <c r="I1179" s="445"/>
      <c r="J1179" s="445"/>
      <c r="K1179" s="447"/>
      <c r="L1179" s="448"/>
      <c r="M1179" s="448"/>
      <c r="N1179" s="445"/>
      <c r="O1179" s="449"/>
      <c r="P1179" s="450"/>
      <c r="Q1179" s="451"/>
      <c r="R1179" s="507"/>
      <c r="S1179" s="508"/>
      <c r="T1179" s="472"/>
      <c r="U1179" s="448"/>
      <c r="W1179" s="448"/>
    </row>
    <row r="1180" spans="1:23" s="458" customFormat="1" ht="5.65" customHeight="1" x14ac:dyDescent="0.2">
      <c r="A1180" s="444"/>
      <c r="B1180" s="445"/>
      <c r="C1180" s="479"/>
      <c r="D1180" s="479"/>
      <c r="E1180" s="479"/>
      <c r="F1180" s="479"/>
      <c r="G1180" s="446"/>
      <c r="H1180" s="445"/>
      <c r="I1180" s="445"/>
      <c r="J1180" s="445"/>
      <c r="K1180" s="447"/>
      <c r="L1180" s="448"/>
      <c r="M1180" s="448"/>
      <c r="N1180" s="445"/>
      <c r="O1180" s="449"/>
      <c r="P1180" s="450"/>
      <c r="Q1180" s="451"/>
      <c r="R1180" s="507"/>
      <c r="S1180" s="508"/>
      <c r="T1180" s="472"/>
      <c r="U1180" s="448"/>
      <c r="W1180" s="448"/>
    </row>
    <row r="1181" spans="1:23" s="458" customFormat="1" ht="5.65" customHeight="1" x14ac:dyDescent="0.2">
      <c r="A1181" s="444"/>
      <c r="B1181" s="445"/>
      <c r="C1181" s="479"/>
      <c r="D1181" s="479"/>
      <c r="E1181" s="479"/>
      <c r="F1181" s="479"/>
      <c r="G1181" s="446"/>
      <c r="H1181" s="445"/>
      <c r="I1181" s="445"/>
      <c r="J1181" s="445"/>
      <c r="K1181" s="447"/>
      <c r="L1181" s="448"/>
      <c r="M1181" s="448"/>
      <c r="N1181" s="445"/>
      <c r="O1181" s="449"/>
      <c r="P1181" s="450"/>
      <c r="Q1181" s="451"/>
      <c r="R1181" s="507"/>
      <c r="S1181" s="508"/>
      <c r="T1181" s="472"/>
      <c r="U1181" s="448"/>
      <c r="W1181" s="448"/>
    </row>
    <row r="1182" spans="1:23" s="458" customFormat="1" ht="5.65" customHeight="1" x14ac:dyDescent="0.2">
      <c r="A1182" s="444"/>
      <c r="B1182" s="445"/>
      <c r="C1182" s="479"/>
      <c r="D1182" s="479"/>
      <c r="E1182" s="479"/>
      <c r="F1182" s="479"/>
      <c r="G1182" s="446"/>
      <c r="H1182" s="445"/>
      <c r="I1182" s="445"/>
      <c r="J1182" s="445"/>
      <c r="K1182" s="447"/>
      <c r="L1182" s="448"/>
      <c r="M1182" s="448"/>
      <c r="N1182" s="445"/>
      <c r="O1182" s="449"/>
      <c r="P1182" s="450"/>
      <c r="Q1182" s="451"/>
      <c r="R1182" s="507"/>
      <c r="S1182" s="508"/>
      <c r="T1182" s="472"/>
      <c r="U1182" s="448"/>
      <c r="W1182" s="448"/>
    </row>
    <row r="1183" spans="1:23" s="458" customFormat="1" ht="5.65" customHeight="1" x14ac:dyDescent="0.2">
      <c r="A1183" s="444"/>
      <c r="B1183" s="445"/>
      <c r="C1183" s="479"/>
      <c r="D1183" s="479"/>
      <c r="E1183" s="479"/>
      <c r="F1183" s="479"/>
      <c r="G1183" s="446"/>
      <c r="H1183" s="445"/>
      <c r="I1183" s="445"/>
      <c r="J1183" s="445"/>
      <c r="K1183" s="447"/>
      <c r="L1183" s="448"/>
      <c r="M1183" s="448"/>
      <c r="N1183" s="445"/>
      <c r="O1183" s="449"/>
      <c r="P1183" s="450"/>
      <c r="Q1183" s="451"/>
      <c r="R1183" s="507"/>
      <c r="S1183" s="508"/>
      <c r="T1183" s="472"/>
      <c r="U1183" s="448"/>
      <c r="W1183" s="448"/>
    </row>
    <row r="1184" spans="1:23" s="458" customFormat="1" ht="5.65" customHeight="1" x14ac:dyDescent="0.2">
      <c r="A1184" s="444"/>
      <c r="B1184" s="445"/>
      <c r="C1184" s="479"/>
      <c r="D1184" s="479"/>
      <c r="E1184" s="479"/>
      <c r="F1184" s="479"/>
      <c r="G1184" s="446"/>
      <c r="H1184" s="445"/>
      <c r="I1184" s="445"/>
      <c r="J1184" s="445"/>
      <c r="K1184" s="447"/>
      <c r="L1184" s="448"/>
      <c r="M1184" s="448"/>
      <c r="N1184" s="445"/>
      <c r="O1184" s="449"/>
      <c r="P1184" s="450"/>
      <c r="Q1184" s="451"/>
      <c r="R1184" s="507"/>
      <c r="S1184" s="508"/>
      <c r="T1184" s="472"/>
      <c r="U1184" s="448"/>
      <c r="W1184" s="448"/>
    </row>
    <row r="1185" spans="1:23" s="458" customFormat="1" ht="5.65" customHeight="1" x14ac:dyDescent="0.2">
      <c r="A1185" s="444"/>
      <c r="B1185" s="445"/>
      <c r="C1185" s="479"/>
      <c r="D1185" s="479"/>
      <c r="E1185" s="479"/>
      <c r="F1185" s="479"/>
      <c r="G1185" s="446"/>
      <c r="H1185" s="445"/>
      <c r="I1185" s="445"/>
      <c r="J1185" s="445"/>
      <c r="K1185" s="447"/>
      <c r="L1185" s="448"/>
      <c r="M1185" s="448"/>
      <c r="N1185" s="445"/>
      <c r="O1185" s="449"/>
      <c r="P1185" s="450"/>
      <c r="Q1185" s="451"/>
      <c r="R1185" s="507"/>
      <c r="S1185" s="508"/>
      <c r="T1185" s="472"/>
      <c r="U1185" s="448"/>
      <c r="W1185" s="448"/>
    </row>
    <row r="1186" spans="1:23" s="458" customFormat="1" ht="5.65" customHeight="1" x14ac:dyDescent="0.2">
      <c r="A1186" s="444"/>
      <c r="B1186" s="445"/>
      <c r="C1186" s="479"/>
      <c r="D1186" s="479"/>
      <c r="E1186" s="479"/>
      <c r="F1186" s="479"/>
      <c r="G1186" s="446"/>
      <c r="H1186" s="445"/>
      <c r="I1186" s="445"/>
      <c r="J1186" s="445"/>
      <c r="K1186" s="447"/>
      <c r="L1186" s="448"/>
      <c r="M1186" s="448"/>
      <c r="N1186" s="445"/>
      <c r="O1186" s="449"/>
      <c r="P1186" s="450"/>
      <c r="Q1186" s="451"/>
      <c r="R1186" s="507"/>
      <c r="S1186" s="508"/>
      <c r="T1186" s="472"/>
      <c r="U1186" s="448"/>
      <c r="W1186" s="448"/>
    </row>
    <row r="1187" spans="1:23" s="458" customFormat="1" ht="5.65" customHeight="1" x14ac:dyDescent="0.2">
      <c r="A1187" s="444"/>
      <c r="B1187" s="445"/>
      <c r="C1187" s="479"/>
      <c r="D1187" s="479"/>
      <c r="E1187" s="479"/>
      <c r="F1187" s="479"/>
      <c r="G1187" s="446"/>
      <c r="H1187" s="445"/>
      <c r="I1187" s="445"/>
      <c r="J1187" s="445"/>
      <c r="K1187" s="447"/>
      <c r="L1187" s="448"/>
      <c r="M1187" s="448"/>
      <c r="N1187" s="445"/>
      <c r="O1187" s="449"/>
      <c r="P1187" s="450"/>
      <c r="Q1187" s="451"/>
      <c r="R1187" s="507"/>
      <c r="S1187" s="508"/>
      <c r="T1187" s="472"/>
      <c r="U1187" s="448"/>
      <c r="W1187" s="448"/>
    </row>
    <row r="1188" spans="1:23" s="458" customFormat="1" ht="5.65" customHeight="1" x14ac:dyDescent="0.2">
      <c r="A1188" s="444"/>
      <c r="B1188" s="445"/>
      <c r="C1188" s="479"/>
      <c r="D1188" s="479"/>
      <c r="E1188" s="479"/>
      <c r="F1188" s="479"/>
      <c r="G1188" s="446"/>
      <c r="H1188" s="445"/>
      <c r="I1188" s="445"/>
      <c r="J1188" s="445"/>
      <c r="K1188" s="447"/>
      <c r="L1188" s="448"/>
      <c r="M1188" s="448"/>
      <c r="N1188" s="445"/>
      <c r="O1188" s="449"/>
      <c r="P1188" s="450"/>
      <c r="Q1188" s="451"/>
      <c r="R1188" s="507"/>
      <c r="S1188" s="508"/>
      <c r="T1188" s="472"/>
      <c r="U1188" s="448"/>
      <c r="W1188" s="448"/>
    </row>
    <row r="1189" spans="1:23" s="458" customFormat="1" ht="5.65" customHeight="1" x14ac:dyDescent="0.2">
      <c r="A1189" s="444"/>
      <c r="B1189" s="445"/>
      <c r="C1189" s="479"/>
      <c r="D1189" s="479"/>
      <c r="E1189" s="479"/>
      <c r="F1189" s="479"/>
      <c r="G1189" s="446"/>
      <c r="H1189" s="445"/>
      <c r="I1189" s="445"/>
      <c r="J1189" s="445"/>
      <c r="K1189" s="447"/>
      <c r="L1189" s="448"/>
      <c r="M1189" s="448"/>
      <c r="N1189" s="445"/>
      <c r="O1189" s="449"/>
      <c r="P1189" s="450"/>
      <c r="Q1189" s="451"/>
      <c r="R1189" s="507"/>
      <c r="S1189" s="508"/>
      <c r="T1189" s="472"/>
      <c r="U1189" s="448"/>
      <c r="W1189" s="448"/>
    </row>
    <row r="1190" spans="1:23" s="458" customFormat="1" ht="5.65" customHeight="1" x14ac:dyDescent="0.2">
      <c r="A1190" s="444"/>
      <c r="B1190" s="445"/>
      <c r="C1190" s="479"/>
      <c r="D1190" s="479"/>
      <c r="E1190" s="479"/>
      <c r="F1190" s="479"/>
      <c r="G1190" s="446"/>
      <c r="H1190" s="445"/>
      <c r="I1190" s="445"/>
      <c r="J1190" s="445"/>
      <c r="K1190" s="447"/>
      <c r="L1190" s="448"/>
      <c r="M1190" s="448"/>
      <c r="N1190" s="445"/>
      <c r="O1190" s="449"/>
      <c r="P1190" s="450"/>
      <c r="Q1190" s="451"/>
      <c r="R1190" s="507"/>
      <c r="S1190" s="508"/>
      <c r="T1190" s="472"/>
      <c r="U1190" s="448"/>
      <c r="W1190" s="448"/>
    </row>
    <row r="1191" spans="1:23" s="458" customFormat="1" ht="5.65" customHeight="1" x14ac:dyDescent="0.2">
      <c r="A1191" s="444"/>
      <c r="B1191" s="445"/>
      <c r="C1191" s="479"/>
      <c r="D1191" s="479"/>
      <c r="E1191" s="479"/>
      <c r="F1191" s="479"/>
      <c r="G1191" s="446"/>
      <c r="H1191" s="445"/>
      <c r="I1191" s="445"/>
      <c r="J1191" s="445"/>
      <c r="K1191" s="447"/>
      <c r="L1191" s="448"/>
      <c r="M1191" s="448"/>
      <c r="N1191" s="445"/>
      <c r="O1191" s="449"/>
      <c r="P1191" s="450"/>
      <c r="Q1191" s="451"/>
      <c r="R1191" s="507"/>
      <c r="S1191" s="508"/>
      <c r="T1191" s="472"/>
      <c r="U1191" s="448"/>
      <c r="W1191" s="448"/>
    </row>
    <row r="1192" spans="1:23" s="458" customFormat="1" ht="5.65" customHeight="1" x14ac:dyDescent="0.2">
      <c r="A1192" s="444"/>
      <c r="B1192" s="445"/>
      <c r="C1192" s="479"/>
      <c r="D1192" s="479"/>
      <c r="E1192" s="479"/>
      <c r="F1192" s="479"/>
      <c r="G1192" s="446"/>
      <c r="H1192" s="445"/>
      <c r="I1192" s="445"/>
      <c r="J1192" s="445"/>
      <c r="K1192" s="447"/>
      <c r="L1192" s="448"/>
      <c r="M1192" s="448"/>
      <c r="N1192" s="445"/>
      <c r="O1192" s="449"/>
      <c r="P1192" s="450"/>
      <c r="Q1192" s="451"/>
      <c r="R1192" s="507"/>
      <c r="S1192" s="508"/>
      <c r="T1192" s="472"/>
      <c r="U1192" s="448"/>
      <c r="W1192" s="448"/>
    </row>
    <row r="1193" spans="1:23" s="458" customFormat="1" ht="5.65" customHeight="1" x14ac:dyDescent="0.2">
      <c r="A1193" s="444"/>
      <c r="B1193" s="445"/>
      <c r="C1193" s="479"/>
      <c r="D1193" s="479"/>
      <c r="E1193" s="479"/>
      <c r="F1193" s="479"/>
      <c r="G1193" s="446"/>
      <c r="H1193" s="445"/>
      <c r="I1193" s="445"/>
      <c r="J1193" s="445"/>
      <c r="K1193" s="447"/>
      <c r="L1193" s="448"/>
      <c r="M1193" s="448"/>
      <c r="N1193" s="445"/>
      <c r="O1193" s="449"/>
      <c r="P1193" s="450"/>
      <c r="Q1193" s="451"/>
      <c r="R1193" s="507"/>
      <c r="S1193" s="508"/>
      <c r="T1193" s="472"/>
      <c r="U1193" s="448"/>
      <c r="W1193" s="448"/>
    </row>
    <row r="1194" spans="1:23" s="458" customFormat="1" ht="5.65" customHeight="1" x14ac:dyDescent="0.2">
      <c r="A1194" s="444"/>
      <c r="B1194" s="445"/>
      <c r="C1194" s="479"/>
      <c r="D1194" s="479"/>
      <c r="E1194" s="479"/>
      <c r="F1194" s="479"/>
      <c r="G1194" s="446"/>
      <c r="H1194" s="445"/>
      <c r="I1194" s="445"/>
      <c r="J1194" s="445"/>
      <c r="K1194" s="447"/>
      <c r="L1194" s="448"/>
      <c r="M1194" s="448"/>
      <c r="N1194" s="445"/>
      <c r="O1194" s="449"/>
      <c r="P1194" s="450"/>
      <c r="Q1194" s="451"/>
      <c r="R1194" s="507"/>
      <c r="S1194" s="508"/>
      <c r="T1194" s="472"/>
      <c r="U1194" s="448"/>
      <c r="W1194" s="448"/>
    </row>
    <row r="1195" spans="1:23" s="458" customFormat="1" ht="5.65" customHeight="1" x14ac:dyDescent="0.2">
      <c r="A1195" s="444"/>
      <c r="B1195" s="445"/>
      <c r="C1195" s="479"/>
      <c r="D1195" s="479"/>
      <c r="E1195" s="479"/>
      <c r="F1195" s="479"/>
      <c r="G1195" s="446"/>
      <c r="H1195" s="445"/>
      <c r="I1195" s="445"/>
      <c r="J1195" s="445"/>
      <c r="K1195" s="447"/>
      <c r="L1195" s="448"/>
      <c r="M1195" s="448"/>
      <c r="N1195" s="445"/>
      <c r="O1195" s="449"/>
      <c r="P1195" s="450"/>
      <c r="Q1195" s="451"/>
      <c r="R1195" s="507"/>
      <c r="S1195" s="508"/>
      <c r="T1195" s="472"/>
      <c r="U1195" s="448"/>
      <c r="W1195" s="448"/>
    </row>
    <row r="1196" spans="1:23" s="458" customFormat="1" ht="5.65" customHeight="1" x14ac:dyDescent="0.2">
      <c r="A1196" s="444"/>
      <c r="B1196" s="445"/>
      <c r="C1196" s="479"/>
      <c r="D1196" s="479"/>
      <c r="E1196" s="479"/>
      <c r="F1196" s="479"/>
      <c r="G1196" s="446"/>
      <c r="H1196" s="445"/>
      <c r="I1196" s="445"/>
      <c r="J1196" s="445"/>
      <c r="K1196" s="447"/>
      <c r="L1196" s="448"/>
      <c r="M1196" s="448"/>
      <c r="N1196" s="445"/>
      <c r="O1196" s="449"/>
      <c r="P1196" s="450"/>
      <c r="Q1196" s="451"/>
      <c r="R1196" s="507"/>
      <c r="S1196" s="508"/>
      <c r="T1196" s="472"/>
      <c r="U1196" s="448"/>
      <c r="W1196" s="448"/>
    </row>
    <row r="1197" spans="1:23" s="458" customFormat="1" ht="5.65" customHeight="1" x14ac:dyDescent="0.2">
      <c r="A1197" s="444"/>
      <c r="B1197" s="445"/>
      <c r="C1197" s="479"/>
      <c r="D1197" s="479"/>
      <c r="E1197" s="479"/>
      <c r="F1197" s="479"/>
      <c r="G1197" s="446"/>
      <c r="H1197" s="445"/>
      <c r="I1197" s="445"/>
      <c r="J1197" s="445"/>
      <c r="K1197" s="447"/>
      <c r="L1197" s="448"/>
      <c r="M1197" s="448"/>
      <c r="N1197" s="445"/>
      <c r="O1197" s="449"/>
      <c r="P1197" s="450"/>
      <c r="Q1197" s="451"/>
      <c r="R1197" s="507"/>
      <c r="S1197" s="508"/>
      <c r="T1197" s="472"/>
      <c r="U1197" s="448"/>
      <c r="W1197" s="448"/>
    </row>
    <row r="1198" spans="1:23" s="458" customFormat="1" ht="5.65" customHeight="1" x14ac:dyDescent="0.2">
      <c r="A1198" s="444"/>
      <c r="B1198" s="445"/>
      <c r="C1198" s="479"/>
      <c r="D1198" s="479"/>
      <c r="E1198" s="479"/>
      <c r="F1198" s="479"/>
      <c r="G1198" s="446"/>
      <c r="H1198" s="445"/>
      <c r="I1198" s="445"/>
      <c r="J1198" s="445"/>
      <c r="K1198" s="447"/>
      <c r="L1198" s="448"/>
      <c r="M1198" s="448"/>
      <c r="N1198" s="445"/>
      <c r="O1198" s="449"/>
      <c r="P1198" s="450"/>
      <c r="Q1198" s="451"/>
      <c r="R1198" s="507"/>
      <c r="S1198" s="508"/>
      <c r="T1198" s="472"/>
      <c r="U1198" s="448"/>
      <c r="W1198" s="448"/>
    </row>
    <row r="1199" spans="1:23" s="458" customFormat="1" ht="5.65" customHeight="1" x14ac:dyDescent="0.2">
      <c r="A1199" s="444"/>
      <c r="B1199" s="445"/>
      <c r="C1199" s="479"/>
      <c r="D1199" s="479"/>
      <c r="E1199" s="479"/>
      <c r="F1199" s="479"/>
      <c r="G1199" s="446"/>
      <c r="H1199" s="445"/>
      <c r="I1199" s="445"/>
      <c r="J1199" s="445"/>
      <c r="K1199" s="447"/>
      <c r="L1199" s="448"/>
      <c r="M1199" s="448"/>
      <c r="N1199" s="445"/>
      <c r="O1199" s="449"/>
      <c r="P1199" s="450"/>
      <c r="Q1199" s="451"/>
      <c r="R1199" s="507"/>
      <c r="S1199" s="508"/>
      <c r="T1199" s="472"/>
      <c r="U1199" s="448"/>
      <c r="W1199" s="448"/>
    </row>
    <row r="1200" spans="1:23" s="458" customFormat="1" ht="5.65" customHeight="1" x14ac:dyDescent="0.2">
      <c r="A1200" s="444"/>
      <c r="B1200" s="445"/>
      <c r="C1200" s="479"/>
      <c r="D1200" s="479"/>
      <c r="E1200" s="479"/>
      <c r="F1200" s="479"/>
      <c r="G1200" s="446"/>
      <c r="H1200" s="445"/>
      <c r="I1200" s="445"/>
      <c r="J1200" s="445"/>
      <c r="K1200" s="447"/>
      <c r="L1200" s="448"/>
      <c r="M1200" s="448"/>
      <c r="N1200" s="445"/>
      <c r="O1200" s="449"/>
      <c r="P1200" s="450"/>
      <c r="Q1200" s="451"/>
      <c r="R1200" s="507"/>
      <c r="S1200" s="508"/>
      <c r="T1200" s="472"/>
      <c r="U1200" s="448"/>
      <c r="W1200" s="448"/>
    </row>
    <row r="1201" spans="1:23" s="458" customFormat="1" ht="5.65" customHeight="1" x14ac:dyDescent="0.2">
      <c r="A1201" s="444"/>
      <c r="B1201" s="445"/>
      <c r="C1201" s="479"/>
      <c r="D1201" s="479"/>
      <c r="E1201" s="479"/>
      <c r="F1201" s="479"/>
      <c r="G1201" s="446"/>
      <c r="H1201" s="445"/>
      <c r="I1201" s="445"/>
      <c r="J1201" s="445"/>
      <c r="K1201" s="447"/>
      <c r="L1201" s="448"/>
      <c r="M1201" s="448"/>
      <c r="N1201" s="445"/>
      <c r="O1201" s="449"/>
      <c r="P1201" s="450"/>
      <c r="Q1201" s="451"/>
      <c r="R1201" s="507"/>
      <c r="S1201" s="508"/>
      <c r="T1201" s="472"/>
      <c r="U1201" s="448"/>
      <c r="W1201" s="448"/>
    </row>
    <row r="1202" spans="1:23" s="458" customFormat="1" ht="5.65" customHeight="1" x14ac:dyDescent="0.2">
      <c r="A1202" s="444"/>
      <c r="B1202" s="445"/>
      <c r="C1202" s="479"/>
      <c r="D1202" s="479"/>
      <c r="E1202" s="479"/>
      <c r="F1202" s="479"/>
      <c r="G1202" s="446"/>
      <c r="H1202" s="445"/>
      <c r="I1202" s="445"/>
      <c r="J1202" s="445"/>
      <c r="K1202" s="447"/>
      <c r="L1202" s="448"/>
      <c r="M1202" s="448"/>
      <c r="N1202" s="445"/>
      <c r="O1202" s="449"/>
      <c r="P1202" s="450"/>
      <c r="Q1202" s="451"/>
      <c r="R1202" s="507"/>
      <c r="S1202" s="508"/>
      <c r="T1202" s="472"/>
      <c r="U1202" s="448"/>
      <c r="W1202" s="448"/>
    </row>
    <row r="1203" spans="1:23" s="458" customFormat="1" ht="5.65" customHeight="1" x14ac:dyDescent="0.2">
      <c r="A1203" s="444"/>
      <c r="B1203" s="445"/>
      <c r="C1203" s="479"/>
      <c r="D1203" s="479"/>
      <c r="E1203" s="479"/>
      <c r="F1203" s="479"/>
      <c r="G1203" s="446"/>
      <c r="H1203" s="445"/>
      <c r="I1203" s="445"/>
      <c r="J1203" s="445"/>
      <c r="K1203" s="447"/>
      <c r="L1203" s="448"/>
      <c r="M1203" s="448"/>
      <c r="N1203" s="445"/>
      <c r="O1203" s="449"/>
      <c r="P1203" s="450"/>
      <c r="Q1203" s="451"/>
      <c r="R1203" s="507"/>
      <c r="S1203" s="508"/>
      <c r="T1203" s="472"/>
      <c r="U1203" s="448"/>
      <c r="W1203" s="448"/>
    </row>
    <row r="1204" spans="1:23" s="458" customFormat="1" ht="5.65" customHeight="1" x14ac:dyDescent="0.2">
      <c r="A1204" s="444"/>
      <c r="B1204" s="445"/>
      <c r="C1204" s="479"/>
      <c r="D1204" s="479"/>
      <c r="E1204" s="479"/>
      <c r="F1204" s="479"/>
      <c r="G1204" s="446"/>
      <c r="H1204" s="445"/>
      <c r="I1204" s="445"/>
      <c r="J1204" s="445"/>
      <c r="K1204" s="447"/>
      <c r="L1204" s="448"/>
      <c r="M1204" s="448"/>
      <c r="N1204" s="445"/>
      <c r="O1204" s="449"/>
      <c r="P1204" s="450"/>
      <c r="Q1204" s="451"/>
      <c r="R1204" s="507"/>
      <c r="S1204" s="508"/>
      <c r="T1204" s="472"/>
      <c r="U1204" s="448"/>
      <c r="W1204" s="448"/>
    </row>
    <row r="1205" spans="1:23" s="458" customFormat="1" ht="5.65" customHeight="1" x14ac:dyDescent="0.2">
      <c r="A1205" s="444"/>
      <c r="B1205" s="445"/>
      <c r="C1205" s="479"/>
      <c r="D1205" s="479"/>
      <c r="E1205" s="479"/>
      <c r="F1205" s="479"/>
      <c r="G1205" s="446"/>
      <c r="H1205" s="445"/>
      <c r="I1205" s="445"/>
      <c r="J1205" s="445"/>
      <c r="K1205" s="447"/>
      <c r="L1205" s="448"/>
      <c r="M1205" s="448"/>
      <c r="N1205" s="445"/>
      <c r="O1205" s="449"/>
      <c r="P1205" s="450"/>
      <c r="Q1205" s="451"/>
      <c r="R1205" s="507"/>
      <c r="S1205" s="508"/>
      <c r="T1205" s="472"/>
      <c r="U1205" s="448"/>
      <c r="W1205" s="448"/>
    </row>
    <row r="1206" spans="1:23" s="458" customFormat="1" ht="5.65" customHeight="1" x14ac:dyDescent="0.2">
      <c r="A1206" s="444"/>
      <c r="B1206" s="445"/>
      <c r="C1206" s="479"/>
      <c r="D1206" s="479"/>
      <c r="E1206" s="479"/>
      <c r="F1206" s="479"/>
      <c r="G1206" s="446"/>
      <c r="H1206" s="445"/>
      <c r="I1206" s="445"/>
      <c r="J1206" s="445"/>
      <c r="K1206" s="447"/>
      <c r="L1206" s="448"/>
      <c r="M1206" s="448"/>
      <c r="N1206" s="445"/>
      <c r="O1206" s="449"/>
      <c r="P1206" s="450"/>
      <c r="Q1206" s="451"/>
      <c r="R1206" s="507"/>
      <c r="S1206" s="508"/>
      <c r="T1206" s="472"/>
      <c r="U1206" s="448"/>
      <c r="W1206" s="448"/>
    </row>
    <row r="1207" spans="1:23" s="458" customFormat="1" ht="5.65" customHeight="1" x14ac:dyDescent="0.2">
      <c r="A1207" s="444"/>
      <c r="B1207" s="445"/>
      <c r="C1207" s="479"/>
      <c r="D1207" s="479"/>
      <c r="E1207" s="479"/>
      <c r="F1207" s="479"/>
      <c r="G1207" s="446"/>
      <c r="H1207" s="445"/>
      <c r="I1207" s="445"/>
      <c r="J1207" s="445"/>
      <c r="K1207" s="447"/>
      <c r="L1207" s="448"/>
      <c r="M1207" s="448"/>
      <c r="N1207" s="445"/>
      <c r="O1207" s="449"/>
      <c r="P1207" s="450"/>
      <c r="Q1207" s="451"/>
      <c r="R1207" s="507"/>
      <c r="S1207" s="508"/>
      <c r="T1207" s="472"/>
      <c r="U1207" s="448"/>
      <c r="W1207" s="448"/>
    </row>
    <row r="1208" spans="1:23" s="458" customFormat="1" ht="5.65" customHeight="1" x14ac:dyDescent="0.2">
      <c r="A1208" s="444"/>
      <c r="B1208" s="445"/>
      <c r="C1208" s="479"/>
      <c r="D1208" s="479"/>
      <c r="E1208" s="479"/>
      <c r="F1208" s="479"/>
      <c r="G1208" s="446"/>
      <c r="H1208" s="445"/>
      <c r="I1208" s="445"/>
      <c r="J1208" s="445"/>
      <c r="K1208" s="447"/>
      <c r="L1208" s="448"/>
      <c r="M1208" s="448"/>
      <c r="N1208" s="445"/>
      <c r="O1208" s="449"/>
      <c r="P1208" s="450"/>
      <c r="Q1208" s="451"/>
      <c r="R1208" s="507"/>
      <c r="S1208" s="508"/>
      <c r="T1208" s="472"/>
      <c r="U1208" s="448"/>
      <c r="W1208" s="448"/>
    </row>
    <row r="1209" spans="1:23" s="458" customFormat="1" ht="5.65" customHeight="1" x14ac:dyDescent="0.2">
      <c r="A1209" s="444"/>
      <c r="B1209" s="445"/>
      <c r="C1209" s="479"/>
      <c r="D1209" s="479"/>
      <c r="E1209" s="479"/>
      <c r="F1209" s="479"/>
      <c r="G1209" s="446"/>
      <c r="H1209" s="445"/>
      <c r="I1209" s="445"/>
      <c r="J1209" s="445"/>
      <c r="K1209" s="447"/>
      <c r="L1209" s="448"/>
      <c r="M1209" s="448"/>
      <c r="N1209" s="445"/>
      <c r="O1209" s="449"/>
      <c r="P1209" s="450"/>
      <c r="Q1209" s="451"/>
      <c r="R1209" s="507"/>
      <c r="S1209" s="508"/>
      <c r="T1209" s="472"/>
      <c r="U1209" s="448"/>
      <c r="W1209" s="448"/>
    </row>
    <row r="1210" spans="1:23" s="458" customFormat="1" ht="5.65" customHeight="1" x14ac:dyDescent="0.2">
      <c r="A1210" s="444"/>
      <c r="B1210" s="445"/>
      <c r="C1210" s="479"/>
      <c r="D1210" s="479"/>
      <c r="E1210" s="479"/>
      <c r="F1210" s="479"/>
      <c r="G1210" s="446"/>
      <c r="H1210" s="445"/>
      <c r="I1210" s="445"/>
      <c r="J1210" s="445"/>
      <c r="K1210" s="447"/>
      <c r="L1210" s="448"/>
      <c r="M1210" s="448"/>
      <c r="N1210" s="445"/>
      <c r="O1210" s="449"/>
      <c r="P1210" s="450"/>
      <c r="Q1210" s="451"/>
      <c r="R1210" s="507"/>
      <c r="S1210" s="508"/>
      <c r="T1210" s="472"/>
      <c r="U1210" s="448"/>
      <c r="W1210" s="448"/>
    </row>
    <row r="1211" spans="1:23" s="458" customFormat="1" ht="5.65" customHeight="1" x14ac:dyDescent="0.2">
      <c r="A1211" s="444"/>
      <c r="B1211" s="445"/>
      <c r="C1211" s="479"/>
      <c r="D1211" s="479"/>
      <c r="E1211" s="479"/>
      <c r="F1211" s="479"/>
      <c r="G1211" s="446"/>
      <c r="H1211" s="445"/>
      <c r="I1211" s="445"/>
      <c r="J1211" s="445"/>
      <c r="K1211" s="447"/>
      <c r="L1211" s="448"/>
      <c r="M1211" s="448"/>
      <c r="N1211" s="445"/>
      <c r="O1211" s="449"/>
      <c r="P1211" s="450"/>
      <c r="Q1211" s="451"/>
      <c r="R1211" s="507"/>
      <c r="S1211" s="508"/>
      <c r="T1211" s="472"/>
      <c r="U1211" s="448"/>
      <c r="W1211" s="448"/>
    </row>
    <row r="1212" spans="1:23" s="458" customFormat="1" ht="5.65" customHeight="1" x14ac:dyDescent="0.2">
      <c r="A1212" s="444"/>
      <c r="B1212" s="445"/>
      <c r="C1212" s="479"/>
      <c r="D1212" s="479"/>
      <c r="E1212" s="479"/>
      <c r="F1212" s="479"/>
      <c r="G1212" s="446"/>
      <c r="H1212" s="445"/>
      <c r="I1212" s="445"/>
      <c r="J1212" s="445"/>
      <c r="K1212" s="447"/>
      <c r="L1212" s="448"/>
      <c r="M1212" s="448"/>
      <c r="N1212" s="445"/>
      <c r="O1212" s="449"/>
      <c r="P1212" s="450"/>
      <c r="Q1212" s="451"/>
      <c r="R1212" s="507"/>
      <c r="S1212" s="508"/>
      <c r="T1212" s="472"/>
      <c r="U1212" s="448"/>
      <c r="W1212" s="448"/>
    </row>
    <row r="1213" spans="1:23" s="458" customFormat="1" ht="5.65" customHeight="1" x14ac:dyDescent="0.2">
      <c r="A1213" s="444"/>
      <c r="B1213" s="445"/>
      <c r="C1213" s="479"/>
      <c r="D1213" s="479"/>
      <c r="E1213" s="479"/>
      <c r="F1213" s="479"/>
      <c r="G1213" s="446"/>
      <c r="H1213" s="445"/>
      <c r="I1213" s="445"/>
      <c r="J1213" s="445"/>
      <c r="K1213" s="447"/>
      <c r="L1213" s="448"/>
      <c r="M1213" s="448"/>
      <c r="N1213" s="445"/>
      <c r="O1213" s="449"/>
      <c r="P1213" s="450"/>
      <c r="Q1213" s="451"/>
      <c r="R1213" s="507"/>
      <c r="S1213" s="508"/>
      <c r="T1213" s="472"/>
      <c r="U1213" s="448"/>
      <c r="W1213" s="448"/>
    </row>
    <row r="1214" spans="1:23" s="458" customFormat="1" ht="5.65" customHeight="1" x14ac:dyDescent="0.2">
      <c r="A1214" s="444"/>
      <c r="B1214" s="445"/>
      <c r="C1214" s="479"/>
      <c r="D1214" s="479"/>
      <c r="E1214" s="479"/>
      <c r="F1214" s="479"/>
      <c r="G1214" s="446"/>
      <c r="H1214" s="445"/>
      <c r="I1214" s="445"/>
      <c r="J1214" s="445"/>
      <c r="K1214" s="447"/>
      <c r="L1214" s="448"/>
      <c r="M1214" s="448"/>
      <c r="N1214" s="445"/>
      <c r="O1214" s="449"/>
      <c r="P1214" s="450"/>
      <c r="Q1214" s="451"/>
      <c r="R1214" s="507"/>
      <c r="S1214" s="508"/>
      <c r="T1214" s="472"/>
      <c r="U1214" s="448"/>
      <c r="W1214" s="448"/>
    </row>
    <row r="1215" spans="1:23" s="458" customFormat="1" ht="5.65" customHeight="1" x14ac:dyDescent="0.2">
      <c r="A1215" s="444"/>
      <c r="B1215" s="445"/>
      <c r="C1215" s="479"/>
      <c r="D1215" s="479"/>
      <c r="E1215" s="479"/>
      <c r="F1215" s="479"/>
      <c r="G1215" s="446"/>
      <c r="H1215" s="445"/>
      <c r="I1215" s="445"/>
      <c r="J1215" s="445"/>
      <c r="K1215" s="447"/>
      <c r="L1215" s="448"/>
      <c r="M1215" s="448"/>
      <c r="N1215" s="445"/>
      <c r="O1215" s="449"/>
      <c r="P1215" s="450"/>
      <c r="Q1215" s="451"/>
      <c r="R1215" s="507"/>
      <c r="S1215" s="508"/>
      <c r="T1215" s="472"/>
      <c r="U1215" s="448"/>
      <c r="W1215" s="448"/>
    </row>
    <row r="1216" spans="1:23" s="458" customFormat="1" ht="5.65" customHeight="1" x14ac:dyDescent="0.2">
      <c r="A1216" s="444"/>
      <c r="B1216" s="445"/>
      <c r="C1216" s="479"/>
      <c r="D1216" s="479"/>
      <c r="E1216" s="479"/>
      <c r="F1216" s="479"/>
      <c r="G1216" s="446"/>
      <c r="H1216" s="445"/>
      <c r="I1216" s="445"/>
      <c r="J1216" s="445"/>
      <c r="K1216" s="447"/>
      <c r="L1216" s="448"/>
      <c r="M1216" s="448"/>
      <c r="N1216" s="445"/>
      <c r="O1216" s="449"/>
      <c r="P1216" s="450"/>
      <c r="Q1216" s="451"/>
      <c r="R1216" s="507"/>
      <c r="S1216" s="508"/>
      <c r="T1216" s="472"/>
      <c r="U1216" s="448"/>
      <c r="W1216" s="448"/>
    </row>
    <row r="1217" spans="1:23" s="458" customFormat="1" ht="5.65" customHeight="1" x14ac:dyDescent="0.2">
      <c r="A1217" s="444"/>
      <c r="B1217" s="445"/>
      <c r="C1217" s="479"/>
      <c r="D1217" s="479"/>
      <c r="E1217" s="479"/>
      <c r="F1217" s="479"/>
      <c r="G1217" s="446"/>
      <c r="H1217" s="445"/>
      <c r="I1217" s="445"/>
      <c r="J1217" s="445"/>
      <c r="K1217" s="447"/>
      <c r="L1217" s="448"/>
      <c r="M1217" s="448"/>
      <c r="N1217" s="445"/>
      <c r="O1217" s="449"/>
      <c r="P1217" s="450"/>
      <c r="Q1217" s="451"/>
      <c r="R1217" s="507"/>
      <c r="S1217" s="508"/>
      <c r="T1217" s="472"/>
      <c r="U1217" s="448"/>
      <c r="W1217" s="448"/>
    </row>
    <row r="1218" spans="1:23" s="458" customFormat="1" ht="5.65" customHeight="1" x14ac:dyDescent="0.2">
      <c r="A1218" s="444"/>
      <c r="B1218" s="445"/>
      <c r="C1218" s="479"/>
      <c r="D1218" s="479"/>
      <c r="E1218" s="479"/>
      <c r="F1218" s="479"/>
      <c r="G1218" s="446"/>
      <c r="H1218" s="445"/>
      <c r="I1218" s="445"/>
      <c r="J1218" s="445"/>
      <c r="K1218" s="447"/>
      <c r="L1218" s="448"/>
      <c r="M1218" s="448"/>
      <c r="N1218" s="445"/>
      <c r="O1218" s="449"/>
      <c r="P1218" s="450"/>
      <c r="Q1218" s="451"/>
      <c r="R1218" s="507"/>
      <c r="S1218" s="508"/>
      <c r="T1218" s="472"/>
      <c r="U1218" s="448"/>
      <c r="W1218" s="448"/>
    </row>
    <row r="1219" spans="1:23" s="458" customFormat="1" ht="5.65" customHeight="1" x14ac:dyDescent="0.2">
      <c r="A1219" s="444"/>
      <c r="B1219" s="445"/>
      <c r="C1219" s="479"/>
      <c r="D1219" s="479"/>
      <c r="E1219" s="479"/>
      <c r="F1219" s="479"/>
      <c r="G1219" s="446"/>
      <c r="H1219" s="445"/>
      <c r="I1219" s="445"/>
      <c r="J1219" s="445"/>
      <c r="K1219" s="447"/>
      <c r="L1219" s="448"/>
      <c r="M1219" s="448"/>
      <c r="N1219" s="445"/>
      <c r="O1219" s="449"/>
      <c r="P1219" s="450"/>
      <c r="Q1219" s="451"/>
      <c r="R1219" s="507"/>
      <c r="S1219" s="508"/>
      <c r="T1219" s="472"/>
      <c r="U1219" s="448"/>
      <c r="W1219" s="448"/>
    </row>
  </sheetData>
  <autoFilter ref="A1:V630" xr:uid="{B3496BC7-5C8F-48A4-A99B-B604675571EF}"/>
  <sortState ref="A1:IS747">
    <sortCondition ref="A123"/>
  </sortState>
  <printOptions horizontalCentered="1" verticalCentered="1" gridLines="1"/>
  <pageMargins left="0.23622047244094491" right="0.23622047244094491" top="0.74803149606299213" bottom="0.74803149606299213" header="0.31496062992125984" footer="0.31496062992125984"/>
  <pageSetup paperSize="9" scale="65" fitToHeight="0" orientation="landscape" horizontalDpi="150" verticalDpi="150" r:id="rId1"/>
  <headerFooter>
    <oddHeader>&amp;LFGV-Wegeliste NEU, RegNr. 2.2.10&amp;C&amp;"Arial,Fett"&amp;12Tabelle: Wege im Detail&amp;RStand: &amp;D</oddHeader>
    <oddFooter>Seite &amp;P von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B1E2A-8B99-4BB5-82B4-B61DEF268711}">
  <sheetPr>
    <tabColor theme="0" tint="-0.34998626667073579"/>
    <pageSetUpPr fitToPage="1"/>
  </sheetPr>
  <dimension ref="A1:HM435"/>
  <sheetViews>
    <sheetView topLeftCell="A339" zoomScaleNormal="100" workbookViewId="0">
      <selection activeCell="I350" sqref="I350"/>
    </sheetView>
  </sheetViews>
  <sheetFormatPr baseColWidth="10" defaultColWidth="11.42578125" defaultRowHeight="45" customHeight="1" x14ac:dyDescent="0.2"/>
  <cols>
    <col min="1" max="1" width="7.85546875" style="444" customWidth="1"/>
    <col min="2" max="2" width="14.140625" style="41" customWidth="1"/>
    <col min="3" max="3" width="11" style="57" customWidth="1"/>
    <col min="4" max="4" width="8.28515625" style="57" customWidth="1"/>
    <col min="5" max="5" width="9.42578125" style="41" customWidth="1"/>
    <col min="6" max="6" width="15.42578125" style="83" customWidth="1"/>
    <col min="7" max="7" width="11.7109375" style="83" customWidth="1"/>
    <col min="8" max="8" width="5" style="83" customWidth="1"/>
    <col min="9" max="9" width="14.5703125" style="111" customWidth="1"/>
    <col min="10" max="10" width="38" style="108" customWidth="1"/>
    <col min="11" max="11" width="37.7109375" style="425" customWidth="1"/>
    <col min="12" max="12" width="22.7109375" style="426" customWidth="1"/>
    <col min="13" max="13" width="18.5703125" style="40" customWidth="1"/>
    <col min="14" max="16384" width="11.42578125" style="40"/>
  </cols>
  <sheetData>
    <row r="1" spans="1:221" s="4" customFormat="1" ht="30" customHeight="1" x14ac:dyDescent="0.2">
      <c r="A1" s="740" t="s">
        <v>0</v>
      </c>
      <c r="B1" s="741"/>
      <c r="C1" s="741"/>
      <c r="D1" s="741"/>
      <c r="E1" s="741"/>
      <c r="F1" s="741"/>
      <c r="G1" s="741"/>
      <c r="H1" s="741"/>
      <c r="I1" s="741"/>
      <c r="J1" s="742"/>
      <c r="K1" s="419"/>
      <c r="L1" s="420"/>
    </row>
    <row r="2" spans="1:221" s="35" customFormat="1" ht="45" customHeight="1" x14ac:dyDescent="0.2">
      <c r="A2" s="106" t="s">
        <v>6</v>
      </c>
      <c r="B2" s="106" t="s">
        <v>7</v>
      </c>
      <c r="C2" s="106" t="s">
        <v>8</v>
      </c>
      <c r="D2" s="106" t="s">
        <v>9</v>
      </c>
      <c r="E2" s="106" t="s">
        <v>11</v>
      </c>
      <c r="F2" s="106" t="s">
        <v>14</v>
      </c>
      <c r="G2" s="106" t="s">
        <v>15</v>
      </c>
      <c r="H2" s="531"/>
      <c r="I2" s="107" t="s">
        <v>19</v>
      </c>
      <c r="J2" s="106" t="s">
        <v>20</v>
      </c>
      <c r="K2" s="421"/>
      <c r="L2" s="42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</row>
    <row r="3" spans="1:221" s="194" customFormat="1" ht="45" customHeight="1" x14ac:dyDescent="0.2">
      <c r="A3" s="444">
        <v>39</v>
      </c>
      <c r="B3" s="445" t="s">
        <v>51</v>
      </c>
      <c r="C3" s="445" t="s">
        <v>52</v>
      </c>
      <c r="D3" s="445"/>
      <c r="E3" s="445">
        <v>14</v>
      </c>
      <c r="F3" s="445" t="s">
        <v>54</v>
      </c>
      <c r="G3" s="445"/>
      <c r="H3" s="448" t="s">
        <v>55</v>
      </c>
      <c r="I3" s="451">
        <f>SUMIF('Wege im Detail'!$A:$A,"00039",'Wege im Detail'!$P:$P)</f>
        <v>79.774000000000015</v>
      </c>
      <c r="J3" s="508" t="s">
        <v>57</v>
      </c>
      <c r="K3" s="423"/>
      <c r="L3" s="424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</row>
    <row r="4" spans="1:221" s="179" customFormat="1" ht="45" customHeight="1" x14ac:dyDescent="0.2">
      <c r="A4" s="444">
        <v>206</v>
      </c>
      <c r="B4" s="445" t="s">
        <v>51</v>
      </c>
      <c r="C4" s="445" t="s">
        <v>52</v>
      </c>
      <c r="D4" s="445"/>
      <c r="E4" s="445">
        <v>15</v>
      </c>
      <c r="F4" s="445" t="s">
        <v>62</v>
      </c>
      <c r="G4" s="445"/>
      <c r="H4" s="448" t="s">
        <v>55</v>
      </c>
      <c r="I4" s="451">
        <f>SUMIF('Wege im Detail'!$A:$A,"00206",'Wege im Detail'!$P:$P)</f>
        <v>30.138999999999999</v>
      </c>
      <c r="J4" s="508" t="s">
        <v>64</v>
      </c>
      <c r="K4" s="425"/>
      <c r="L4" s="426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</row>
    <row r="5" spans="1:221" s="180" customFormat="1" ht="45" customHeight="1" x14ac:dyDescent="0.2">
      <c r="A5" s="444">
        <v>353</v>
      </c>
      <c r="B5" s="445" t="s">
        <v>51</v>
      </c>
      <c r="C5" s="445" t="s">
        <v>52</v>
      </c>
      <c r="D5" s="445"/>
      <c r="E5" s="445">
        <v>18</v>
      </c>
      <c r="F5" s="445" t="s">
        <v>66</v>
      </c>
      <c r="G5" s="445"/>
      <c r="H5" s="448" t="s">
        <v>55</v>
      </c>
      <c r="I5" s="451">
        <f>SUMIF('Wege im Detail'!$A:$A,"00353",'Wege im Detail'!$P:$P)</f>
        <v>13.914</v>
      </c>
      <c r="J5" s="508" t="s">
        <v>68</v>
      </c>
      <c r="K5" s="427"/>
      <c r="L5" s="428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</row>
    <row r="6" spans="1:221" ht="45" customHeight="1" x14ac:dyDescent="0.2">
      <c r="A6" s="444">
        <v>1992</v>
      </c>
      <c r="B6" s="445" t="s">
        <v>51</v>
      </c>
      <c r="C6" s="445" t="s">
        <v>52</v>
      </c>
      <c r="D6" s="445"/>
      <c r="E6" s="445">
        <v>8</v>
      </c>
      <c r="F6" s="445" t="s">
        <v>71</v>
      </c>
      <c r="G6" s="445"/>
      <c r="H6" s="448" t="s">
        <v>55</v>
      </c>
      <c r="I6" s="451">
        <f>SUMIF('Wege im Detail'!$A:$A,"01992",'Wege im Detail'!$P:$P)</f>
        <v>52.558999999999997</v>
      </c>
      <c r="J6" s="508" t="s">
        <v>73</v>
      </c>
      <c r="K6" s="429"/>
      <c r="L6" s="424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</row>
    <row r="7" spans="1:221" ht="45" customHeight="1" x14ac:dyDescent="0.2">
      <c r="A7" s="444">
        <v>1993</v>
      </c>
      <c r="B7" s="445" t="s">
        <v>51</v>
      </c>
      <c r="C7" s="445" t="s">
        <v>52</v>
      </c>
      <c r="D7" s="445"/>
      <c r="E7" s="445">
        <v>5</v>
      </c>
      <c r="F7" s="445" t="s">
        <v>75</v>
      </c>
      <c r="G7" s="445"/>
      <c r="H7" s="448" t="s">
        <v>55</v>
      </c>
      <c r="I7" s="451">
        <f>SUMIF('Wege im Detail'!$A:$A,"01993",'Wege im Detail'!$P:$P)</f>
        <v>82.712000000000003</v>
      </c>
      <c r="J7" s="508" t="s">
        <v>76</v>
      </c>
      <c r="K7" s="429"/>
      <c r="L7" s="430"/>
    </row>
    <row r="8" spans="1:221" ht="45" customHeight="1" x14ac:dyDescent="0.2">
      <c r="A8" s="444">
        <v>1994</v>
      </c>
      <c r="B8" s="445" t="s">
        <v>51</v>
      </c>
      <c r="C8" s="445" t="s">
        <v>52</v>
      </c>
      <c r="D8" s="445"/>
      <c r="E8" s="445">
        <v>2</v>
      </c>
      <c r="F8" s="445" t="s">
        <v>78</v>
      </c>
      <c r="G8" s="445"/>
      <c r="H8" s="448" t="s">
        <v>55</v>
      </c>
      <c r="I8" s="451">
        <f>SUMIF('Wege im Detail'!$A:$A,"01994",'Wege im Detail'!$P:$P)</f>
        <v>72.644999999999996</v>
      </c>
      <c r="J8" s="508" t="s">
        <v>80</v>
      </c>
      <c r="K8" s="427"/>
      <c r="L8" s="428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</row>
    <row r="9" spans="1:221" ht="45" customHeight="1" x14ac:dyDescent="0.2">
      <c r="A9" s="444">
        <v>1996</v>
      </c>
      <c r="B9" s="445" t="s">
        <v>51</v>
      </c>
      <c r="C9" s="445" t="s">
        <v>52</v>
      </c>
      <c r="D9" s="445"/>
      <c r="E9" s="445">
        <v>13</v>
      </c>
      <c r="F9" s="445" t="s">
        <v>82</v>
      </c>
      <c r="G9" s="445"/>
      <c r="H9" s="448" t="s">
        <v>55</v>
      </c>
      <c r="I9" s="451">
        <f>SUMIF('Wege im Detail'!$A:$A,"01996",'Wege im Detail'!$P:$P)</f>
        <v>107.31700000000001</v>
      </c>
      <c r="J9" s="508" t="s">
        <v>83</v>
      </c>
      <c r="K9" s="423"/>
      <c r="L9" s="424"/>
    </row>
    <row r="10" spans="1:221" s="707" customFormat="1" ht="45" customHeight="1" x14ac:dyDescent="0.2">
      <c r="A10" s="444">
        <v>2004</v>
      </c>
      <c r="B10" s="445" t="s">
        <v>51</v>
      </c>
      <c r="C10" s="445" t="s">
        <v>85</v>
      </c>
      <c r="D10" s="479"/>
      <c r="E10" s="445" t="s">
        <v>819</v>
      </c>
      <c r="F10" s="445" t="s">
        <v>820</v>
      </c>
      <c r="G10" s="445" t="s">
        <v>821</v>
      </c>
      <c r="H10" s="448" t="s">
        <v>55</v>
      </c>
      <c r="I10" s="451">
        <f>SUMIF('Wege im Detail'!$A:$A,"002004",'Wege im Detail'!$P:$P)</f>
        <v>10.231999999999999</v>
      </c>
      <c r="J10" s="508" t="s">
        <v>2268</v>
      </c>
      <c r="K10" s="425"/>
      <c r="L10" s="425"/>
    </row>
    <row r="11" spans="1:221" ht="45" customHeight="1" x14ac:dyDescent="0.2">
      <c r="A11" s="444">
        <v>2010</v>
      </c>
      <c r="B11" s="445" t="s">
        <v>84</v>
      </c>
      <c r="C11" s="455" t="s">
        <v>85</v>
      </c>
      <c r="D11" s="445"/>
      <c r="E11" s="445" t="s">
        <v>87</v>
      </c>
      <c r="F11" s="445" t="s">
        <v>88</v>
      </c>
      <c r="G11" s="445"/>
      <c r="H11" s="448" t="s">
        <v>55</v>
      </c>
      <c r="I11" s="451">
        <f>SUMIF('Wege im Detail'!$A:$A,"02010",'Wege im Detail'!$P:$P)</f>
        <v>7.899</v>
      </c>
      <c r="J11" s="508" t="s">
        <v>90</v>
      </c>
    </row>
    <row r="12" spans="1:221" ht="45" customHeight="1" x14ac:dyDescent="0.2">
      <c r="A12" s="444">
        <v>2035</v>
      </c>
      <c r="B12" s="445" t="s">
        <v>51</v>
      </c>
      <c r="C12" s="445" t="s">
        <v>91</v>
      </c>
      <c r="D12" s="445"/>
      <c r="E12" s="445">
        <v>51</v>
      </c>
      <c r="F12" s="445"/>
      <c r="G12" s="445"/>
      <c r="H12" s="448" t="s">
        <v>55</v>
      </c>
      <c r="I12" s="451">
        <f>SUMIF('Wege im Detail'!$A:$A,"02035",'Wege im Detail'!$P:$P)</f>
        <v>11.111000000000001</v>
      </c>
      <c r="J12" s="508" t="s">
        <v>94</v>
      </c>
    </row>
    <row r="13" spans="1:221" ht="45" customHeight="1" x14ac:dyDescent="0.2">
      <c r="A13" s="444">
        <v>2039</v>
      </c>
      <c r="B13" s="445" t="s">
        <v>51</v>
      </c>
      <c r="C13" s="445" t="s">
        <v>91</v>
      </c>
      <c r="D13" s="445"/>
      <c r="E13" s="445">
        <v>39</v>
      </c>
      <c r="F13" s="445"/>
      <c r="G13" s="445"/>
      <c r="H13" s="448" t="s">
        <v>55</v>
      </c>
      <c r="I13" s="451">
        <f>SUMIF('Wege im Detail'!$A:$A,"02039",'Wege im Detail'!$P:$P)</f>
        <v>15.286</v>
      </c>
      <c r="J13" s="508" t="s">
        <v>96</v>
      </c>
      <c r="K13" s="427"/>
      <c r="L13" s="428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</row>
    <row r="14" spans="1:221" ht="45" customHeight="1" x14ac:dyDescent="0.2">
      <c r="A14" s="444">
        <v>2040</v>
      </c>
      <c r="B14" s="445" t="s">
        <v>51</v>
      </c>
      <c r="C14" s="445" t="s">
        <v>91</v>
      </c>
      <c r="D14" s="445"/>
      <c r="E14" s="445">
        <v>37</v>
      </c>
      <c r="F14" s="445"/>
      <c r="G14" s="445"/>
      <c r="H14" s="448" t="s">
        <v>55</v>
      </c>
      <c r="I14" s="451">
        <f>SUMIF('Wege im Detail'!$A:$A,"02040",'Wege im Detail'!$P:$P)</f>
        <v>10.612</v>
      </c>
      <c r="J14" s="508" t="s">
        <v>99</v>
      </c>
      <c r="K14" s="427"/>
      <c r="L14" s="428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</row>
    <row r="15" spans="1:221" ht="45" customHeight="1" x14ac:dyDescent="0.2">
      <c r="A15" s="444">
        <v>2050</v>
      </c>
      <c r="B15" s="445" t="s">
        <v>51</v>
      </c>
      <c r="C15" s="445" t="s">
        <v>52</v>
      </c>
      <c r="D15" s="470"/>
      <c r="E15" s="445">
        <v>1</v>
      </c>
      <c r="F15" s="445" t="s">
        <v>101</v>
      </c>
      <c r="G15" s="445"/>
      <c r="H15" s="448" t="s">
        <v>55</v>
      </c>
      <c r="I15" s="451">
        <f>SUMIF('Wege im Detail'!$A:$A,"02050",'Wege im Detail'!$P:$P)</f>
        <v>48.313000000000002</v>
      </c>
      <c r="J15" s="508" t="s">
        <v>103</v>
      </c>
      <c r="K15" s="427"/>
      <c r="L15" s="428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</row>
    <row r="16" spans="1:221" ht="45" customHeight="1" x14ac:dyDescent="0.2">
      <c r="A16" s="444">
        <v>2051</v>
      </c>
      <c r="B16" s="445" t="s">
        <v>51</v>
      </c>
      <c r="C16" s="445" t="s">
        <v>52</v>
      </c>
      <c r="D16" s="445"/>
      <c r="E16" s="445">
        <v>17</v>
      </c>
      <c r="F16" s="445" t="s">
        <v>105</v>
      </c>
      <c r="G16" s="445"/>
      <c r="H16" s="448" t="s">
        <v>55</v>
      </c>
      <c r="I16" s="451">
        <f>SUMIF('Wege im Detail'!$A:$A,"02051",'Wege im Detail'!$P:$P)</f>
        <v>73.233000000000004</v>
      </c>
      <c r="J16" s="508" t="s">
        <v>107</v>
      </c>
      <c r="K16" s="427"/>
      <c r="L16" s="428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</row>
    <row r="17" spans="1:221" ht="45" customHeight="1" x14ac:dyDescent="0.2">
      <c r="A17" s="444">
        <v>2066</v>
      </c>
      <c r="B17" s="445" t="s">
        <v>51</v>
      </c>
      <c r="C17" s="445" t="s">
        <v>52</v>
      </c>
      <c r="D17" s="445"/>
      <c r="E17" s="445">
        <v>9</v>
      </c>
      <c r="F17" s="445" t="s">
        <v>110</v>
      </c>
      <c r="G17" s="445"/>
      <c r="H17" s="448" t="s">
        <v>55</v>
      </c>
      <c r="I17" s="451">
        <f>SUMIF('Wege im Detail'!$A:$A,"02066",'Wege im Detail'!$P:$P)</f>
        <v>48.447999999999993</v>
      </c>
      <c r="J17" s="508" t="s">
        <v>112</v>
      </c>
      <c r="K17" s="427"/>
      <c r="L17" s="428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</row>
    <row r="18" spans="1:221" ht="45" customHeight="1" x14ac:dyDescent="0.2">
      <c r="A18" s="444">
        <v>2075</v>
      </c>
      <c r="B18" s="445" t="s">
        <v>51</v>
      </c>
      <c r="C18" s="445" t="s">
        <v>91</v>
      </c>
      <c r="D18" s="445"/>
      <c r="E18" s="445">
        <v>41</v>
      </c>
      <c r="F18" s="445"/>
      <c r="G18" s="445"/>
      <c r="H18" s="448" t="s">
        <v>55</v>
      </c>
      <c r="I18" s="451">
        <f>SUMIF('Wege im Detail'!$A:$A,"02075",'Wege im Detail'!$P:$P)</f>
        <v>13.058999999999999</v>
      </c>
      <c r="J18" s="508" t="s">
        <v>114</v>
      </c>
      <c r="K18" s="427"/>
      <c r="L18" s="428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</row>
    <row r="19" spans="1:221" ht="45" customHeight="1" x14ac:dyDescent="0.2">
      <c r="A19" s="444">
        <v>2077</v>
      </c>
      <c r="B19" s="445" t="s">
        <v>51</v>
      </c>
      <c r="C19" s="445" t="s">
        <v>91</v>
      </c>
      <c r="D19" s="445"/>
      <c r="E19" s="445">
        <v>40</v>
      </c>
      <c r="F19" s="445"/>
      <c r="G19" s="445"/>
      <c r="H19" s="448" t="s">
        <v>55</v>
      </c>
      <c r="I19" s="451">
        <f>SUMIF('Wege im Detail'!$A:$A,"02077",'Wege im Detail'!$P:$P)</f>
        <v>8.4939999999999998</v>
      </c>
      <c r="J19" s="508" t="s">
        <v>116</v>
      </c>
    </row>
    <row r="20" spans="1:221" ht="45" customHeight="1" x14ac:dyDescent="0.2">
      <c r="A20" s="444">
        <v>2115</v>
      </c>
      <c r="B20" s="445" t="s">
        <v>51</v>
      </c>
      <c r="C20" s="445" t="s">
        <v>91</v>
      </c>
      <c r="D20" s="445"/>
      <c r="E20" s="445">
        <v>34</v>
      </c>
      <c r="F20" s="448"/>
      <c r="G20" s="448"/>
      <c r="H20" s="448" t="s">
        <v>55</v>
      </c>
      <c r="I20" s="451">
        <f>SUMIF('Wege im Detail'!$A:$A,"02115",'Wege im Detail'!$P:$P)</f>
        <v>2.6739999999999999</v>
      </c>
      <c r="J20" s="508" t="s">
        <v>119</v>
      </c>
      <c r="K20" s="427"/>
      <c r="L20" s="428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</row>
    <row r="21" spans="1:221" ht="45" customHeight="1" x14ac:dyDescent="0.2">
      <c r="A21" s="444">
        <v>2172</v>
      </c>
      <c r="B21" s="445" t="s">
        <v>51</v>
      </c>
      <c r="C21" s="445" t="s">
        <v>91</v>
      </c>
      <c r="D21" s="445"/>
      <c r="E21" s="445">
        <v>31</v>
      </c>
      <c r="F21" s="445"/>
      <c r="G21" s="445"/>
      <c r="H21" s="448" t="s">
        <v>55</v>
      </c>
      <c r="I21" s="451">
        <f>SUMIF('Wege im Detail'!$A:$A,"02172",'Wege im Detail'!$P:$P)</f>
        <v>13.05</v>
      </c>
      <c r="J21" s="508" t="s">
        <v>120</v>
      </c>
    </row>
    <row r="22" spans="1:221" ht="45" customHeight="1" x14ac:dyDescent="0.2">
      <c r="A22" s="444">
        <v>2179</v>
      </c>
      <c r="B22" s="445" t="s">
        <v>51</v>
      </c>
      <c r="C22" s="445" t="s">
        <v>91</v>
      </c>
      <c r="D22" s="445"/>
      <c r="E22" s="445">
        <v>38</v>
      </c>
      <c r="F22" s="445"/>
      <c r="G22" s="445"/>
      <c r="H22" s="448" t="s">
        <v>55</v>
      </c>
      <c r="I22" s="451">
        <f>SUMIF('Wege im Detail'!$A:$A,"02179",'Wege im Detail'!$P:$P)</f>
        <v>4.5720000000000001</v>
      </c>
      <c r="J22" s="508" t="s">
        <v>122</v>
      </c>
    </row>
    <row r="23" spans="1:221" ht="45" customHeight="1" x14ac:dyDescent="0.2">
      <c r="A23" s="444">
        <v>2226</v>
      </c>
      <c r="B23" s="445" t="s">
        <v>51</v>
      </c>
      <c r="C23" s="445" t="s">
        <v>91</v>
      </c>
      <c r="D23" s="445"/>
      <c r="E23" s="445">
        <v>23</v>
      </c>
      <c r="F23" s="445"/>
      <c r="G23" s="445"/>
      <c r="H23" s="448" t="s">
        <v>55</v>
      </c>
      <c r="I23" s="451">
        <f>SUMIF('Wege im Detail'!$A:$A,"02226",'Wege im Detail'!$P:$P)</f>
        <v>11.355</v>
      </c>
      <c r="J23" s="508" t="s">
        <v>125</v>
      </c>
    </row>
    <row r="24" spans="1:221" ht="45" customHeight="1" x14ac:dyDescent="0.2">
      <c r="A24" s="444">
        <v>2229</v>
      </c>
      <c r="B24" s="445" t="s">
        <v>51</v>
      </c>
      <c r="C24" s="445" t="s">
        <v>91</v>
      </c>
      <c r="D24" s="445"/>
      <c r="E24" s="445">
        <v>29</v>
      </c>
      <c r="F24" s="445"/>
      <c r="G24" s="445"/>
      <c r="H24" s="448" t="s">
        <v>55</v>
      </c>
      <c r="I24" s="451">
        <f>SUMIF('Wege im Detail'!$A:$A,"02229",'Wege im Detail'!$P:$P)</f>
        <v>22.312000000000001</v>
      </c>
      <c r="J24" s="508" t="s">
        <v>127</v>
      </c>
    </row>
    <row r="25" spans="1:221" ht="45" customHeight="1" x14ac:dyDescent="0.2">
      <c r="A25" s="444">
        <v>2231</v>
      </c>
      <c r="B25" s="445" t="s">
        <v>51</v>
      </c>
      <c r="C25" s="445" t="s">
        <v>91</v>
      </c>
      <c r="D25" s="445"/>
      <c r="E25" s="445">
        <v>43</v>
      </c>
      <c r="F25" s="445"/>
      <c r="G25" s="445"/>
      <c r="H25" s="448" t="s">
        <v>55</v>
      </c>
      <c r="I25" s="451">
        <f>SUMIF('Wege im Detail'!$A:$A,"02231",'Wege im Detail'!$P:$P)</f>
        <v>10.706</v>
      </c>
      <c r="J25" s="508" t="s">
        <v>129</v>
      </c>
    </row>
    <row r="26" spans="1:221" ht="45" customHeight="1" x14ac:dyDescent="0.2">
      <c r="A26" s="444">
        <v>2240</v>
      </c>
      <c r="B26" s="445" t="s">
        <v>51</v>
      </c>
      <c r="C26" s="445" t="s">
        <v>91</v>
      </c>
      <c r="D26" s="445"/>
      <c r="E26" s="445">
        <v>42</v>
      </c>
      <c r="F26" s="445"/>
      <c r="G26" s="445"/>
      <c r="H26" s="448" t="s">
        <v>55</v>
      </c>
      <c r="I26" s="451">
        <f>SUMIF('Wege im Detail'!$A:$A,"02240",'Wege im Detail'!$P:$P)</f>
        <v>10.298</v>
      </c>
      <c r="J26" s="508" t="s">
        <v>130</v>
      </c>
    </row>
    <row r="27" spans="1:221" ht="45" customHeight="1" x14ac:dyDescent="0.2">
      <c r="A27" s="444">
        <v>2248</v>
      </c>
      <c r="B27" s="445" t="s">
        <v>84</v>
      </c>
      <c r="C27" s="455" t="s">
        <v>85</v>
      </c>
      <c r="D27" s="445"/>
      <c r="E27" s="445" t="s">
        <v>132</v>
      </c>
      <c r="F27" s="445" t="s">
        <v>133</v>
      </c>
      <c r="G27" s="445"/>
      <c r="H27" s="448" t="s">
        <v>55</v>
      </c>
      <c r="I27" s="451">
        <f>SUMIF('Wege im Detail'!$A:$A,"02248",'Wege im Detail'!$P:$P)</f>
        <v>5.3920000000000003</v>
      </c>
      <c r="J27" s="508" t="s">
        <v>135</v>
      </c>
      <c r="K27" s="427"/>
      <c r="L27" s="428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</row>
    <row r="28" spans="1:221" ht="45" customHeight="1" x14ac:dyDescent="0.2">
      <c r="A28" s="444">
        <v>2249</v>
      </c>
      <c r="B28" s="445" t="s">
        <v>84</v>
      </c>
      <c r="C28" s="455" t="s">
        <v>85</v>
      </c>
      <c r="D28" s="445"/>
      <c r="E28" s="445" t="s">
        <v>137</v>
      </c>
      <c r="F28" s="445" t="s">
        <v>138</v>
      </c>
      <c r="G28" s="445"/>
      <c r="H28" s="448" t="s">
        <v>55</v>
      </c>
      <c r="I28" s="451">
        <f>SUMIF('Wege im Detail'!$A:$A,"02249",'Wege im Detail'!$P:$P)</f>
        <v>5.95</v>
      </c>
      <c r="J28" s="508" t="s">
        <v>139</v>
      </c>
    </row>
    <row r="29" spans="1:221" ht="45" customHeight="1" x14ac:dyDescent="0.2">
      <c r="A29" s="444">
        <v>2289</v>
      </c>
      <c r="B29" s="445" t="s">
        <v>84</v>
      </c>
      <c r="C29" s="455" t="s">
        <v>85</v>
      </c>
      <c r="D29" s="445"/>
      <c r="E29" s="445" t="s">
        <v>141</v>
      </c>
      <c r="F29" s="445" t="s">
        <v>142</v>
      </c>
      <c r="G29" s="445"/>
      <c r="H29" s="448" t="s">
        <v>55</v>
      </c>
      <c r="I29" s="451">
        <f>SUMIF('Wege im Detail'!$A:$A,"2289",'Wege im Detail'!$P:$P)</f>
        <v>6.09</v>
      </c>
      <c r="J29" s="508" t="s">
        <v>144</v>
      </c>
    </row>
    <row r="30" spans="1:221" ht="45" customHeight="1" x14ac:dyDescent="0.2">
      <c r="A30" s="444">
        <v>2290</v>
      </c>
      <c r="B30" s="445" t="s">
        <v>84</v>
      </c>
      <c r="C30" s="455" t="s">
        <v>85</v>
      </c>
      <c r="D30" s="445"/>
      <c r="E30" s="445" t="s">
        <v>146</v>
      </c>
      <c r="F30" s="445" t="s">
        <v>147</v>
      </c>
      <c r="G30" s="445"/>
      <c r="H30" s="448" t="s">
        <v>55</v>
      </c>
      <c r="I30" s="451">
        <f>SUMIF('Wege im Detail'!$A:$A,"02290",'Wege im Detail'!$P:$P)</f>
        <v>4.1859999999999999</v>
      </c>
      <c r="J30" s="508" t="s">
        <v>148</v>
      </c>
    </row>
    <row r="31" spans="1:221" ht="45" customHeight="1" x14ac:dyDescent="0.2">
      <c r="A31" s="444">
        <v>2291</v>
      </c>
      <c r="B31" s="445" t="s">
        <v>84</v>
      </c>
      <c r="C31" s="455" t="s">
        <v>85</v>
      </c>
      <c r="D31" s="445"/>
      <c r="E31" s="445" t="s">
        <v>150</v>
      </c>
      <c r="F31" s="445" t="s">
        <v>133</v>
      </c>
      <c r="G31" s="445"/>
      <c r="H31" s="448" t="s">
        <v>55</v>
      </c>
      <c r="I31" s="451">
        <f>SUMIF('Wege im Detail'!$A:$A,"02291",'Wege im Detail'!$P:$P)</f>
        <v>2.2959999999999998</v>
      </c>
      <c r="J31" s="508" t="s">
        <v>151</v>
      </c>
    </row>
    <row r="32" spans="1:221" ht="45" customHeight="1" x14ac:dyDescent="0.2">
      <c r="A32" s="444">
        <v>2292</v>
      </c>
      <c r="B32" s="445" t="s">
        <v>84</v>
      </c>
      <c r="C32" s="455" t="s">
        <v>85</v>
      </c>
      <c r="D32" s="445"/>
      <c r="E32" s="445" t="s">
        <v>152</v>
      </c>
      <c r="F32" s="445" t="s">
        <v>153</v>
      </c>
      <c r="G32" s="445"/>
      <c r="H32" s="501" t="s">
        <v>55</v>
      </c>
      <c r="I32" s="451">
        <f>SUMIF('Wege im Detail'!$A:$A,"2292",'Wege im Detail'!$P:$P)</f>
        <v>3.2890000000000001</v>
      </c>
      <c r="J32" s="512" t="s">
        <v>155</v>
      </c>
    </row>
    <row r="33" spans="1:221" ht="45" customHeight="1" x14ac:dyDescent="0.2">
      <c r="A33" s="444">
        <v>2293</v>
      </c>
      <c r="B33" s="499" t="s">
        <v>84</v>
      </c>
      <c r="C33" s="499" t="s">
        <v>85</v>
      </c>
      <c r="D33" s="513"/>
      <c r="E33" s="445" t="s">
        <v>152</v>
      </c>
      <c r="F33" s="445" t="s">
        <v>156</v>
      </c>
      <c r="G33" s="445"/>
      <c r="H33" s="501" t="s">
        <v>55</v>
      </c>
      <c r="I33" s="451">
        <f>SUMIF('Wege im Detail'!$A:$A,"2293",'Wege im Detail'!$P:$P)</f>
        <v>13.188000000000001</v>
      </c>
      <c r="J33" s="512" t="s">
        <v>154</v>
      </c>
    </row>
    <row r="34" spans="1:221" ht="45" customHeight="1" x14ac:dyDescent="0.2">
      <c r="A34" s="444">
        <v>2457</v>
      </c>
      <c r="B34" s="445" t="s">
        <v>51</v>
      </c>
      <c r="C34" s="445" t="s">
        <v>91</v>
      </c>
      <c r="D34" s="445"/>
      <c r="E34" s="445">
        <v>35</v>
      </c>
      <c r="F34" s="445"/>
      <c r="G34" s="445"/>
      <c r="H34" s="448" t="s">
        <v>55</v>
      </c>
      <c r="I34" s="451">
        <f>SUMIF('Wege im Detail'!$A:$A,"02457",'Wege im Detail'!$P:$P)</f>
        <v>13.592000000000001</v>
      </c>
      <c r="J34" s="508" t="s">
        <v>160</v>
      </c>
    </row>
    <row r="35" spans="1:221" ht="45" customHeight="1" x14ac:dyDescent="0.2">
      <c r="A35" s="444">
        <v>2458</v>
      </c>
      <c r="B35" s="445" t="s">
        <v>84</v>
      </c>
      <c r="C35" s="455" t="s">
        <v>85</v>
      </c>
      <c r="D35" s="445"/>
      <c r="E35" s="445" t="s">
        <v>162</v>
      </c>
      <c r="F35" s="445" t="s">
        <v>163</v>
      </c>
      <c r="G35" s="445"/>
      <c r="H35" s="448" t="s">
        <v>55</v>
      </c>
      <c r="I35" s="451">
        <f>SUMIF('Wege im Detail'!$A:$A,"02458",'Wege im Detail'!$P:$P)</f>
        <v>7.4169999999999998</v>
      </c>
      <c r="J35" s="508" t="s">
        <v>165</v>
      </c>
    </row>
    <row r="36" spans="1:221" ht="45" customHeight="1" x14ac:dyDescent="0.2">
      <c r="A36" s="444">
        <v>2462</v>
      </c>
      <c r="B36" s="445" t="s">
        <v>84</v>
      </c>
      <c r="C36" s="455" t="s">
        <v>85</v>
      </c>
      <c r="D36" s="445"/>
      <c r="E36" s="445" t="s">
        <v>167</v>
      </c>
      <c r="F36" s="445" t="s">
        <v>168</v>
      </c>
      <c r="G36" s="445"/>
      <c r="H36" s="448" t="s">
        <v>55</v>
      </c>
      <c r="I36" s="451">
        <f>SUMIF('Wege im Detail'!$A:$A,"02462",'Wege im Detail'!$P:$P)</f>
        <v>4.1399999999999997</v>
      </c>
      <c r="J36" s="508" t="s">
        <v>169</v>
      </c>
    </row>
    <row r="37" spans="1:221" ht="45" customHeight="1" x14ac:dyDescent="0.2">
      <c r="A37" s="444">
        <v>2464</v>
      </c>
      <c r="B37" s="445" t="s">
        <v>84</v>
      </c>
      <c r="C37" s="455" t="s">
        <v>85</v>
      </c>
      <c r="D37" s="445"/>
      <c r="E37" s="445" t="s">
        <v>171</v>
      </c>
      <c r="F37" s="445" t="s">
        <v>172</v>
      </c>
      <c r="G37" s="445"/>
      <c r="H37" s="448" t="s">
        <v>55</v>
      </c>
      <c r="I37" s="451">
        <f>SUMIF('Wege im Detail'!$A:$A,"02464",'Wege im Detail'!$P:$P)</f>
        <v>5.641</v>
      </c>
      <c r="J37" s="508" t="s">
        <v>173</v>
      </c>
    </row>
    <row r="38" spans="1:221" ht="45" customHeight="1" x14ac:dyDescent="0.2">
      <c r="A38" s="444">
        <v>2466</v>
      </c>
      <c r="B38" s="445" t="s">
        <v>84</v>
      </c>
      <c r="C38" s="455" t="s">
        <v>85</v>
      </c>
      <c r="D38" s="445"/>
      <c r="E38" s="445" t="s">
        <v>174</v>
      </c>
      <c r="F38" s="445" t="s">
        <v>133</v>
      </c>
      <c r="G38" s="445"/>
      <c r="H38" s="448" t="s">
        <v>55</v>
      </c>
      <c r="I38" s="451">
        <f>SUMIF('Wege im Detail'!$A:$A,"02466",'Wege im Detail'!$P:$P)</f>
        <v>10.887</v>
      </c>
      <c r="J38" s="508" t="s">
        <v>175</v>
      </c>
    </row>
    <row r="39" spans="1:221" ht="45" customHeight="1" x14ac:dyDescent="0.2">
      <c r="A39" s="444">
        <v>2470</v>
      </c>
      <c r="B39" s="445" t="s">
        <v>51</v>
      </c>
      <c r="C39" s="445" t="s">
        <v>91</v>
      </c>
      <c r="D39" s="445"/>
      <c r="E39" s="445">
        <v>22</v>
      </c>
      <c r="F39" s="445"/>
      <c r="G39" s="445"/>
      <c r="H39" s="448" t="s">
        <v>55</v>
      </c>
      <c r="I39" s="451">
        <f>SUMIF('Wege im Detail'!$A:$A,"02470",'Wege im Detail'!$P:$P)</f>
        <v>12.335999999999999</v>
      </c>
      <c r="J39" s="508" t="s">
        <v>177</v>
      </c>
      <c r="K39" s="427"/>
      <c r="L39" s="428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</row>
    <row r="40" spans="1:221" ht="45" customHeight="1" x14ac:dyDescent="0.2">
      <c r="A40" s="444">
        <v>2483</v>
      </c>
      <c r="B40" s="445" t="s">
        <v>51</v>
      </c>
      <c r="C40" s="445" t="s">
        <v>91</v>
      </c>
      <c r="D40" s="445"/>
      <c r="E40" s="445">
        <v>67</v>
      </c>
      <c r="F40" s="445"/>
      <c r="G40" s="445"/>
      <c r="H40" s="448" t="s">
        <v>55</v>
      </c>
      <c r="I40" s="451">
        <f>SUMIF('Wege im Detail'!$A:$A,"02483",'Wege im Detail'!$P:$P)</f>
        <v>11.021000000000001</v>
      </c>
      <c r="J40" s="508" t="s">
        <v>179</v>
      </c>
    </row>
    <row r="41" spans="1:221" ht="45" customHeight="1" x14ac:dyDescent="0.2">
      <c r="A41" s="444">
        <v>2485</v>
      </c>
      <c r="B41" s="445" t="s">
        <v>51</v>
      </c>
      <c r="C41" s="445" t="s">
        <v>91</v>
      </c>
      <c r="D41" s="445"/>
      <c r="E41" s="445">
        <v>65</v>
      </c>
      <c r="F41" s="445"/>
      <c r="G41" s="445"/>
      <c r="H41" s="445" t="s">
        <v>55</v>
      </c>
      <c r="I41" s="451">
        <f>SUMIF('Wege im Detail'!$A:$A,"02485",'Wege im Detail'!$P:$P)</f>
        <v>19.035</v>
      </c>
      <c r="J41" s="508" t="s">
        <v>182</v>
      </c>
      <c r="K41" s="427"/>
      <c r="L41" s="428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</row>
    <row r="42" spans="1:221" ht="45" customHeight="1" x14ac:dyDescent="0.2">
      <c r="A42" s="444">
        <v>2487</v>
      </c>
      <c r="B42" s="445" t="s">
        <v>51</v>
      </c>
      <c r="C42" s="445" t="s">
        <v>91</v>
      </c>
      <c r="D42" s="445"/>
      <c r="E42" s="445" t="s">
        <v>183</v>
      </c>
      <c r="F42" s="445"/>
      <c r="G42" s="445"/>
      <c r="H42" s="445" t="s">
        <v>55</v>
      </c>
      <c r="I42" s="451">
        <f>SUMIF('Wege im Detail'!$A:$A,"02487",'Wege im Detail'!$P:$P)</f>
        <v>2.1890000000000001</v>
      </c>
      <c r="J42" s="508" t="s">
        <v>184</v>
      </c>
      <c r="K42" s="427"/>
      <c r="L42" s="428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</row>
    <row r="43" spans="1:221" s="35" customFormat="1" ht="45" customHeight="1" x14ac:dyDescent="0.2">
      <c r="A43" s="444">
        <v>2488</v>
      </c>
      <c r="B43" s="445" t="s">
        <v>51</v>
      </c>
      <c r="C43" s="445" t="s">
        <v>91</v>
      </c>
      <c r="D43" s="445"/>
      <c r="E43" s="445">
        <v>48</v>
      </c>
      <c r="F43" s="445"/>
      <c r="G43" s="445"/>
      <c r="H43" s="445" t="s">
        <v>55</v>
      </c>
      <c r="I43" s="451">
        <f>SUMIF('Wege im Detail'!$A:$A,"02488",'Wege im Detail'!$P:$P)</f>
        <v>14.673</v>
      </c>
      <c r="J43" s="508" t="s">
        <v>185</v>
      </c>
      <c r="K43" s="425"/>
      <c r="L43" s="426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</row>
    <row r="44" spans="1:221" s="35" customFormat="1" ht="45" customHeight="1" x14ac:dyDescent="0.2">
      <c r="A44" s="444">
        <v>2489</v>
      </c>
      <c r="B44" s="445" t="s">
        <v>51</v>
      </c>
      <c r="C44" s="445" t="s">
        <v>91</v>
      </c>
      <c r="D44" s="445"/>
      <c r="E44" s="445">
        <v>66</v>
      </c>
      <c r="F44" s="445"/>
      <c r="G44" s="445"/>
      <c r="H44" s="448" t="s">
        <v>55</v>
      </c>
      <c r="I44" s="451">
        <f>SUMIF('Wege im Detail'!$A:$A,"02489",'Wege im Detail'!$P:$P)</f>
        <v>3.2330000000000001</v>
      </c>
      <c r="J44" s="508" t="s">
        <v>188</v>
      </c>
      <c r="K44" s="425"/>
      <c r="L44" s="426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</row>
    <row r="45" spans="1:221" s="35" customFormat="1" ht="45" customHeight="1" x14ac:dyDescent="0.2">
      <c r="A45" s="444">
        <v>2491</v>
      </c>
      <c r="B45" s="445" t="s">
        <v>51</v>
      </c>
      <c r="C45" s="445" t="s">
        <v>91</v>
      </c>
      <c r="D45" s="445"/>
      <c r="E45" s="445" t="s">
        <v>190</v>
      </c>
      <c r="F45" s="445" t="s">
        <v>191</v>
      </c>
      <c r="G45" s="445"/>
      <c r="H45" s="448" t="s">
        <v>55</v>
      </c>
      <c r="I45" s="451">
        <f>SUMIF('Wege im Detail'!$A:$A,"02491",'Wege im Detail'!$P:$P)</f>
        <v>7.9769999999999994</v>
      </c>
      <c r="J45" s="508" t="s">
        <v>192</v>
      </c>
      <c r="K45" s="425"/>
      <c r="L45" s="426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</row>
    <row r="46" spans="1:221" s="35" customFormat="1" ht="45" customHeight="1" x14ac:dyDescent="0.2">
      <c r="A46" s="444">
        <v>2494</v>
      </c>
      <c r="B46" s="445" t="s">
        <v>51</v>
      </c>
      <c r="C46" s="445" t="s">
        <v>91</v>
      </c>
      <c r="D46" s="445"/>
      <c r="E46" s="445">
        <v>93</v>
      </c>
      <c r="F46" s="445" t="s">
        <v>194</v>
      </c>
      <c r="G46" s="445"/>
      <c r="H46" s="448" t="s">
        <v>55</v>
      </c>
      <c r="I46" s="451">
        <f>SUMIF('Wege im Detail'!$A:$A,"02494",'Wege im Detail'!$P:$P)</f>
        <v>1.585</v>
      </c>
      <c r="J46" s="514" t="s">
        <v>195</v>
      </c>
      <c r="K46" s="425"/>
      <c r="L46" s="426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</row>
    <row r="47" spans="1:221" ht="45" customHeight="1" x14ac:dyDescent="0.2">
      <c r="A47" s="444">
        <v>2495</v>
      </c>
      <c r="B47" s="445" t="s">
        <v>51</v>
      </c>
      <c r="C47" s="445" t="s">
        <v>91</v>
      </c>
      <c r="D47" s="445"/>
      <c r="E47" s="445">
        <v>92</v>
      </c>
      <c r="F47" s="445"/>
      <c r="G47" s="445"/>
      <c r="H47" s="448" t="s">
        <v>55</v>
      </c>
      <c r="I47" s="451">
        <f>SUMIF('Wege im Detail'!$A:$A,"02495",'Wege im Detail'!$P:$P)</f>
        <v>2.2389999999999999</v>
      </c>
      <c r="J47" s="508" t="s">
        <v>199</v>
      </c>
    </row>
    <row r="48" spans="1:221" ht="45" customHeight="1" x14ac:dyDescent="0.2">
      <c r="A48" s="444">
        <v>2497</v>
      </c>
      <c r="B48" s="445" t="s">
        <v>51</v>
      </c>
      <c r="C48" s="445" t="s">
        <v>91</v>
      </c>
      <c r="D48" s="479"/>
      <c r="E48" s="445">
        <v>96</v>
      </c>
      <c r="F48" s="448" t="s">
        <v>201</v>
      </c>
      <c r="G48" s="448"/>
      <c r="H48" s="448" t="s">
        <v>55</v>
      </c>
      <c r="I48" s="451">
        <f>SUMIF('Wege im Detail'!$A:$A,"02497",'Wege im Detail'!$P:$P)</f>
        <v>4.3440000000000003</v>
      </c>
      <c r="J48" s="508" t="s">
        <v>203</v>
      </c>
    </row>
    <row r="49" spans="1:221" ht="45" customHeight="1" x14ac:dyDescent="0.2">
      <c r="A49" s="444">
        <v>2500</v>
      </c>
      <c r="B49" s="445" t="s">
        <v>51</v>
      </c>
      <c r="C49" s="445" t="s">
        <v>91</v>
      </c>
      <c r="D49" s="445"/>
      <c r="E49" s="445">
        <v>60</v>
      </c>
      <c r="F49" s="445"/>
      <c r="G49" s="445"/>
      <c r="H49" s="448" t="s">
        <v>55</v>
      </c>
      <c r="I49" s="451">
        <f>SUMIF('Wege im Detail'!$A:$A,"02500",'Wege im Detail'!$P:$P)</f>
        <v>21.032</v>
      </c>
      <c r="J49" s="508" t="s">
        <v>205</v>
      </c>
    </row>
    <row r="50" spans="1:221" ht="45" customHeight="1" x14ac:dyDescent="0.2">
      <c r="A50" s="444">
        <v>2503</v>
      </c>
      <c r="B50" s="445" t="s">
        <v>51</v>
      </c>
      <c r="C50" s="445" t="s">
        <v>91</v>
      </c>
      <c r="D50" s="445"/>
      <c r="E50" s="445">
        <v>63</v>
      </c>
      <c r="F50" s="445"/>
      <c r="G50" s="445"/>
      <c r="H50" s="448" t="s">
        <v>55</v>
      </c>
      <c r="I50" s="451">
        <f>SUMIF('Wege im Detail'!$A:$A,"02503",'Wege im Detail'!$P:$P)</f>
        <v>10.542999999999999</v>
      </c>
      <c r="J50" s="508" t="s">
        <v>207</v>
      </c>
      <c r="K50" s="427"/>
      <c r="L50" s="428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</row>
    <row r="51" spans="1:221" ht="45" customHeight="1" x14ac:dyDescent="0.2">
      <c r="A51" s="444">
        <v>2506</v>
      </c>
      <c r="B51" s="445" t="s">
        <v>51</v>
      </c>
      <c r="C51" s="445" t="s">
        <v>91</v>
      </c>
      <c r="D51" s="445"/>
      <c r="E51" s="445">
        <v>69</v>
      </c>
      <c r="F51" s="445"/>
      <c r="G51" s="445"/>
      <c r="H51" s="448" t="s">
        <v>55</v>
      </c>
      <c r="I51" s="451">
        <f>SUMIF('Wege im Detail'!$A:$A,"02506",'Wege im Detail'!$P:$P)</f>
        <v>3.6760000000000002</v>
      </c>
      <c r="J51" s="508" t="s">
        <v>209</v>
      </c>
    </row>
    <row r="52" spans="1:221" ht="45" customHeight="1" x14ac:dyDescent="0.2">
      <c r="A52" s="444">
        <v>2511</v>
      </c>
      <c r="B52" s="445" t="s">
        <v>51</v>
      </c>
      <c r="C52" s="445" t="s">
        <v>91</v>
      </c>
      <c r="D52" s="445"/>
      <c r="E52" s="445">
        <v>76</v>
      </c>
      <c r="F52" s="445"/>
      <c r="G52" s="445"/>
      <c r="H52" s="448" t="s">
        <v>55</v>
      </c>
      <c r="I52" s="451">
        <f>SUMIF('Wege im Detail'!$A:$A,"02511",'Wege im Detail'!$P:$P)</f>
        <v>5.5620000000000003</v>
      </c>
      <c r="J52" s="508" t="s">
        <v>210</v>
      </c>
    </row>
    <row r="53" spans="1:221" ht="45" customHeight="1" x14ac:dyDescent="0.2">
      <c r="A53" s="444">
        <v>2512</v>
      </c>
      <c r="B53" s="445" t="s">
        <v>51</v>
      </c>
      <c r="C53" s="445" t="s">
        <v>91</v>
      </c>
      <c r="D53" s="445"/>
      <c r="E53" s="445">
        <v>71</v>
      </c>
      <c r="F53" s="445"/>
      <c r="G53" s="445"/>
      <c r="H53" s="448" t="s">
        <v>55</v>
      </c>
      <c r="I53" s="451">
        <f>SUMIF('Wege im Detail'!$A:$A,"02512",'Wege im Detail'!$P:$P)</f>
        <v>3.96</v>
      </c>
      <c r="J53" s="508" t="s">
        <v>212</v>
      </c>
    </row>
    <row r="54" spans="1:221" ht="45" customHeight="1" x14ac:dyDescent="0.2">
      <c r="A54" s="444">
        <v>2513</v>
      </c>
      <c r="B54" s="445" t="s">
        <v>51</v>
      </c>
      <c r="C54" s="445" t="s">
        <v>91</v>
      </c>
      <c r="D54" s="445"/>
      <c r="E54" s="445">
        <v>72</v>
      </c>
      <c r="F54" s="445"/>
      <c r="G54" s="445"/>
      <c r="H54" s="448" t="s">
        <v>55</v>
      </c>
      <c r="I54" s="451">
        <f>SUMIF('Wege im Detail'!$A:$A,"02513",'Wege im Detail'!$P:$P)</f>
        <v>4.1530000000000005</v>
      </c>
      <c r="J54" s="508" t="s">
        <v>213</v>
      </c>
      <c r="K54" s="427"/>
      <c r="L54" s="428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</row>
    <row r="55" spans="1:221" ht="45" customHeight="1" x14ac:dyDescent="0.2">
      <c r="A55" s="444">
        <v>2521</v>
      </c>
      <c r="B55" s="445" t="s">
        <v>51</v>
      </c>
      <c r="C55" s="455" t="s">
        <v>214</v>
      </c>
      <c r="D55" s="470"/>
      <c r="E55" s="445">
        <v>203</v>
      </c>
      <c r="F55" s="445" t="s">
        <v>216</v>
      </c>
      <c r="G55" s="445"/>
      <c r="H55" s="448" t="s">
        <v>55</v>
      </c>
      <c r="I55" s="451">
        <f>SUMIF('Wege im Detail'!$A:$A,"02521",'Wege im Detail'!$P:$P)</f>
        <v>16.141000000000002</v>
      </c>
      <c r="J55" s="508" t="s">
        <v>217</v>
      </c>
    </row>
    <row r="56" spans="1:221" ht="45" customHeight="1" x14ac:dyDescent="0.2">
      <c r="A56" s="444">
        <v>2523</v>
      </c>
      <c r="B56" s="445" t="s">
        <v>51</v>
      </c>
      <c r="C56" s="445" t="s">
        <v>91</v>
      </c>
      <c r="D56" s="479"/>
      <c r="E56" s="445">
        <v>62</v>
      </c>
      <c r="F56" s="448" t="s">
        <v>219</v>
      </c>
      <c r="G56" s="448"/>
      <c r="H56" s="448" t="s">
        <v>55</v>
      </c>
      <c r="I56" s="451">
        <f>SUMIF('Wege im Detail'!$A:$A,"02523",'Wege im Detail'!$P:$P)</f>
        <v>13.841000000000001</v>
      </c>
      <c r="J56" s="508" t="s">
        <v>221</v>
      </c>
    </row>
    <row r="57" spans="1:221" ht="45" customHeight="1" x14ac:dyDescent="0.2">
      <c r="A57" s="444">
        <v>2524</v>
      </c>
      <c r="B57" s="445" t="s">
        <v>51</v>
      </c>
      <c r="C57" s="445" t="s">
        <v>91</v>
      </c>
      <c r="D57" s="479"/>
      <c r="E57" s="445">
        <v>58</v>
      </c>
      <c r="F57" s="448"/>
      <c r="G57" s="448"/>
      <c r="H57" s="448" t="s">
        <v>55</v>
      </c>
      <c r="I57" s="451">
        <f>SUMIF('Wege im Detail'!$A:$A,"02524",'Wege im Detail'!$P:$P)</f>
        <v>4.649</v>
      </c>
      <c r="J57" s="508" t="s">
        <v>222</v>
      </c>
    </row>
    <row r="58" spans="1:221" ht="45" customHeight="1" x14ac:dyDescent="0.2">
      <c r="A58" s="444">
        <v>2526</v>
      </c>
      <c r="B58" s="445" t="s">
        <v>51</v>
      </c>
      <c r="C58" s="445" t="s">
        <v>91</v>
      </c>
      <c r="D58" s="445"/>
      <c r="E58" s="445">
        <v>132</v>
      </c>
      <c r="F58" s="445"/>
      <c r="G58" s="445"/>
      <c r="H58" s="448" t="s">
        <v>55</v>
      </c>
      <c r="I58" s="451">
        <f>SUMIF('Wege im Detail'!$A:$A,"02526",'Wege im Detail'!$P:$P)</f>
        <v>4.4619999999999997</v>
      </c>
      <c r="J58" s="508" t="s">
        <v>223</v>
      </c>
    </row>
    <row r="59" spans="1:221" ht="45" customHeight="1" x14ac:dyDescent="0.2">
      <c r="A59" s="444">
        <v>2529</v>
      </c>
      <c r="B59" s="445" t="s">
        <v>51</v>
      </c>
      <c r="C59" s="445" t="s">
        <v>52</v>
      </c>
      <c r="D59" s="445"/>
      <c r="E59" s="445">
        <v>3</v>
      </c>
      <c r="F59" s="445" t="s">
        <v>225</v>
      </c>
      <c r="G59" s="445"/>
      <c r="H59" s="448" t="s">
        <v>55</v>
      </c>
      <c r="I59" s="451">
        <f>SUMIF('Wege im Detail'!$A:$A,"02529",'Wege im Detail'!$P:$P)</f>
        <v>64.75800000000001</v>
      </c>
      <c r="J59" s="508" t="s">
        <v>227</v>
      </c>
      <c r="K59" s="427"/>
      <c r="L59" s="428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</row>
    <row r="60" spans="1:221" ht="45" customHeight="1" x14ac:dyDescent="0.2">
      <c r="A60" s="444">
        <v>2530</v>
      </c>
      <c r="B60" s="445" t="s">
        <v>51</v>
      </c>
      <c r="C60" s="445" t="s">
        <v>52</v>
      </c>
      <c r="D60" s="445"/>
      <c r="E60" s="445">
        <v>10</v>
      </c>
      <c r="F60" s="445" t="s">
        <v>229</v>
      </c>
      <c r="G60" s="445"/>
      <c r="H60" s="448" t="s">
        <v>55</v>
      </c>
      <c r="I60" s="451">
        <f>SUMIF('Wege im Detail'!$A:$A,"02530",'Wege im Detail'!$P:$P)</f>
        <v>41.998000000000005</v>
      </c>
      <c r="J60" s="514" t="s">
        <v>231</v>
      </c>
    </row>
    <row r="61" spans="1:221" ht="45" customHeight="1" x14ac:dyDescent="0.2">
      <c r="A61" s="444">
        <v>2589</v>
      </c>
      <c r="B61" s="445" t="s">
        <v>51</v>
      </c>
      <c r="C61" s="445" t="s">
        <v>52</v>
      </c>
      <c r="D61" s="445"/>
      <c r="E61" s="445">
        <v>12</v>
      </c>
      <c r="F61" s="445" t="s">
        <v>233</v>
      </c>
      <c r="G61" s="445"/>
      <c r="H61" s="448" t="s">
        <v>55</v>
      </c>
      <c r="I61" s="451">
        <f>SUMIF('Wege im Detail'!$A:$A,"02589",'Wege im Detail'!$P:$P)</f>
        <v>27.244</v>
      </c>
      <c r="J61" s="508" t="s">
        <v>234</v>
      </c>
      <c r="K61" s="427"/>
      <c r="L61" s="428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</row>
    <row r="62" spans="1:221" s="35" customFormat="1" ht="45" customHeight="1" x14ac:dyDescent="0.2">
      <c r="A62" s="444">
        <v>2634</v>
      </c>
      <c r="B62" s="445" t="s">
        <v>84</v>
      </c>
      <c r="C62" s="455" t="s">
        <v>85</v>
      </c>
      <c r="D62" s="445"/>
      <c r="E62" s="445" t="s">
        <v>235</v>
      </c>
      <c r="F62" s="445" t="s">
        <v>142</v>
      </c>
      <c r="G62" s="445"/>
      <c r="H62" s="448" t="s">
        <v>55</v>
      </c>
      <c r="I62" s="451">
        <f>SUMIF('Wege im Detail'!$A:$A,"02634",'Wege im Detail'!$P:$P)</f>
        <v>6.5940000000000003</v>
      </c>
      <c r="J62" s="508" t="s">
        <v>236</v>
      </c>
      <c r="K62" s="427"/>
      <c r="L62" s="428"/>
    </row>
    <row r="63" spans="1:221" ht="45" customHeight="1" x14ac:dyDescent="0.2">
      <c r="A63" s="444">
        <v>2636</v>
      </c>
      <c r="B63" s="445" t="s">
        <v>84</v>
      </c>
      <c r="C63" s="455" t="s">
        <v>85</v>
      </c>
      <c r="D63" s="445"/>
      <c r="E63" s="445" t="s">
        <v>238</v>
      </c>
      <c r="F63" s="445" t="s">
        <v>138</v>
      </c>
      <c r="G63" s="445"/>
      <c r="H63" s="448" t="s">
        <v>55</v>
      </c>
      <c r="I63" s="451">
        <f>SUMIF('Wege im Detail'!$A:$A,"02636",'Wege im Detail'!$P:$P)</f>
        <v>9.3539999999999992</v>
      </c>
      <c r="J63" s="508" t="s">
        <v>239</v>
      </c>
      <c r="K63" s="427"/>
      <c r="L63" s="428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</row>
    <row r="64" spans="1:221" ht="45" customHeight="1" x14ac:dyDescent="0.2">
      <c r="A64" s="444">
        <v>2646</v>
      </c>
      <c r="B64" s="445" t="s">
        <v>84</v>
      </c>
      <c r="C64" s="455" t="s">
        <v>85</v>
      </c>
      <c r="D64" s="445"/>
      <c r="E64" s="445" t="s">
        <v>241</v>
      </c>
      <c r="F64" s="445" t="s">
        <v>142</v>
      </c>
      <c r="G64" s="445"/>
      <c r="H64" s="448" t="s">
        <v>55</v>
      </c>
      <c r="I64" s="451">
        <f>SUMIF('Wege im Detail'!$A:$A,"02646",'Wege im Detail'!$P:$P)</f>
        <v>4.3959999999999999</v>
      </c>
      <c r="J64" s="508" t="s">
        <v>242</v>
      </c>
      <c r="K64" s="427"/>
      <c r="L64" s="428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</row>
    <row r="65" spans="1:221" ht="45" customHeight="1" x14ac:dyDescent="0.2">
      <c r="A65" s="444">
        <v>2648</v>
      </c>
      <c r="B65" s="445" t="s">
        <v>84</v>
      </c>
      <c r="C65" s="455" t="s">
        <v>85</v>
      </c>
      <c r="D65" s="445"/>
      <c r="E65" s="445" t="s">
        <v>244</v>
      </c>
      <c r="F65" s="445" t="s">
        <v>147</v>
      </c>
      <c r="G65" s="445"/>
      <c r="H65" s="448" t="s">
        <v>55</v>
      </c>
      <c r="I65" s="451">
        <f>SUMIF('Wege im Detail'!$A:$A,"02648",'Wege im Detail'!$P:$P)</f>
        <v>10.688000000000001</v>
      </c>
      <c r="J65" s="508" t="s">
        <v>245</v>
      </c>
    </row>
    <row r="66" spans="1:221" ht="45" customHeight="1" x14ac:dyDescent="0.2">
      <c r="A66" s="444">
        <v>2687</v>
      </c>
      <c r="B66" s="445" t="s">
        <v>84</v>
      </c>
      <c r="C66" s="455" t="s">
        <v>85</v>
      </c>
      <c r="D66" s="445"/>
      <c r="E66" s="445" t="s">
        <v>247</v>
      </c>
      <c r="F66" s="445" t="s">
        <v>142</v>
      </c>
      <c r="G66" s="445"/>
      <c r="H66" s="448" t="s">
        <v>55</v>
      </c>
      <c r="I66" s="451">
        <f>SUMIF('Wege im Detail'!$A:$A,"02687",'Wege im Detail'!$P:$P)</f>
        <v>9.843</v>
      </c>
      <c r="J66" s="508" t="s">
        <v>249</v>
      </c>
      <c r="K66" s="427"/>
      <c r="L66" s="428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</row>
    <row r="67" spans="1:221" ht="45" customHeight="1" x14ac:dyDescent="0.2">
      <c r="A67" s="444">
        <v>2688</v>
      </c>
      <c r="B67" s="445" t="s">
        <v>84</v>
      </c>
      <c r="C67" s="455" t="s">
        <v>85</v>
      </c>
      <c r="D67" s="445"/>
      <c r="E67" s="445" t="s">
        <v>251</v>
      </c>
      <c r="F67" s="445" t="s">
        <v>147</v>
      </c>
      <c r="G67" s="445"/>
      <c r="H67" s="448" t="s">
        <v>55</v>
      </c>
      <c r="I67" s="451">
        <f>SUMIF('Wege im Detail'!$A:$A,"02688",'Wege im Detail'!$P:$P)</f>
        <v>7.298</v>
      </c>
      <c r="J67" s="508" t="s">
        <v>252</v>
      </c>
      <c r="K67" s="427"/>
      <c r="L67" s="428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</row>
    <row r="68" spans="1:221" ht="45" customHeight="1" x14ac:dyDescent="0.2">
      <c r="A68" s="444">
        <v>2689</v>
      </c>
      <c r="B68" s="445" t="s">
        <v>84</v>
      </c>
      <c r="C68" s="455" t="s">
        <v>85</v>
      </c>
      <c r="D68" s="445"/>
      <c r="E68" s="445" t="s">
        <v>254</v>
      </c>
      <c r="F68" s="445" t="s">
        <v>133</v>
      </c>
      <c r="G68" s="445"/>
      <c r="H68" s="448" t="s">
        <v>55</v>
      </c>
      <c r="I68" s="451">
        <f>SUMIF('Wege im Detail'!$A:$A,"02689",'Wege im Detail'!$P:$P)</f>
        <v>6.06</v>
      </c>
      <c r="J68" s="508" t="s">
        <v>255</v>
      </c>
    </row>
    <row r="69" spans="1:221" ht="45" customHeight="1" x14ac:dyDescent="0.2">
      <c r="A69" s="444">
        <v>2690</v>
      </c>
      <c r="B69" s="445" t="s">
        <v>84</v>
      </c>
      <c r="C69" s="455" t="s">
        <v>85</v>
      </c>
      <c r="D69" s="445"/>
      <c r="E69" s="445" t="s">
        <v>257</v>
      </c>
      <c r="F69" s="445" t="s">
        <v>138</v>
      </c>
      <c r="G69" s="445"/>
      <c r="H69" s="448" t="s">
        <v>55</v>
      </c>
      <c r="I69" s="451">
        <f>SUMIF('Wege im Detail'!$A:$A,"02690",'Wege im Detail'!$P:$P)</f>
        <v>4.0229999999999997</v>
      </c>
      <c r="J69" s="508" t="s">
        <v>258</v>
      </c>
    </row>
    <row r="70" spans="1:221" ht="45" customHeight="1" x14ac:dyDescent="0.2">
      <c r="A70" s="444">
        <v>2692</v>
      </c>
      <c r="B70" s="445" t="s">
        <v>84</v>
      </c>
      <c r="C70" s="455" t="s">
        <v>85</v>
      </c>
      <c r="D70" s="445"/>
      <c r="E70" s="445" t="s">
        <v>260</v>
      </c>
      <c r="F70" s="445" t="s">
        <v>88</v>
      </c>
      <c r="G70" s="445"/>
      <c r="H70" s="448" t="s">
        <v>55</v>
      </c>
      <c r="I70" s="451">
        <f>SUMIF('Wege im Detail'!$A:$A,"02692",'Wege im Detail'!$P:$P)</f>
        <v>6.4790000000000001</v>
      </c>
      <c r="J70" s="508" t="s">
        <v>261</v>
      </c>
    </row>
    <row r="71" spans="1:221" ht="45" customHeight="1" x14ac:dyDescent="0.2">
      <c r="A71" s="444">
        <v>2693</v>
      </c>
      <c r="B71" s="445" t="s">
        <v>84</v>
      </c>
      <c r="C71" s="455" t="s">
        <v>85</v>
      </c>
      <c r="D71" s="511"/>
      <c r="E71" s="445" t="s">
        <v>263</v>
      </c>
      <c r="F71" s="445" t="s">
        <v>172</v>
      </c>
      <c r="G71" s="445"/>
      <c r="H71" s="448" t="s">
        <v>55</v>
      </c>
      <c r="I71" s="451">
        <f>SUMIF('Wege im Detail'!$A:$A,"02693",'Wege im Detail'!$P:$P)</f>
        <v>2.6019999999999999</v>
      </c>
      <c r="J71" s="508" t="s">
        <v>264</v>
      </c>
      <c r="K71" s="427"/>
      <c r="L71" s="428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</row>
    <row r="72" spans="1:221" ht="45" customHeight="1" x14ac:dyDescent="0.2">
      <c r="A72" s="444">
        <v>2694</v>
      </c>
      <c r="B72" s="445" t="s">
        <v>84</v>
      </c>
      <c r="C72" s="455" t="s">
        <v>85</v>
      </c>
      <c r="D72" s="511"/>
      <c r="E72" s="445" t="s">
        <v>266</v>
      </c>
      <c r="F72" s="445" t="s">
        <v>163</v>
      </c>
      <c r="G72" s="445"/>
      <c r="H72" s="448" t="s">
        <v>55</v>
      </c>
      <c r="I72" s="451">
        <f>SUMIF('Wege im Detail'!$A:$A,"02694",'Wege im Detail'!$P:$P)</f>
        <v>7.6870000000000003</v>
      </c>
      <c r="J72" s="508" t="s">
        <v>267</v>
      </c>
    </row>
    <row r="73" spans="1:221" s="35" customFormat="1" ht="45" customHeight="1" x14ac:dyDescent="0.2">
      <c r="A73" s="444">
        <v>2695</v>
      </c>
      <c r="B73" s="445" t="s">
        <v>84</v>
      </c>
      <c r="C73" s="455" t="s">
        <v>85</v>
      </c>
      <c r="D73" s="511"/>
      <c r="E73" s="445" t="s">
        <v>269</v>
      </c>
      <c r="F73" s="445" t="s">
        <v>168</v>
      </c>
      <c r="G73" s="445"/>
      <c r="H73" s="448" t="s">
        <v>55</v>
      </c>
      <c r="I73" s="451">
        <f>SUMIF('Wege im Detail'!$A:$A,"02695",'Wege im Detail'!$P:$P)</f>
        <v>4.5940000000000003</v>
      </c>
      <c r="J73" s="508" t="s">
        <v>270</v>
      </c>
      <c r="K73" s="427"/>
      <c r="L73" s="428"/>
    </row>
    <row r="74" spans="1:221" s="35" customFormat="1" ht="45" customHeight="1" x14ac:dyDescent="0.2">
      <c r="A74" s="444">
        <v>2696</v>
      </c>
      <c r="B74" s="445" t="s">
        <v>84</v>
      </c>
      <c r="C74" s="455" t="s">
        <v>85</v>
      </c>
      <c r="D74" s="511"/>
      <c r="E74" s="445" t="s">
        <v>272</v>
      </c>
      <c r="F74" s="445" t="s">
        <v>273</v>
      </c>
      <c r="G74" s="445"/>
      <c r="H74" s="448" t="s">
        <v>55</v>
      </c>
      <c r="I74" s="451">
        <f>SUMIF('Wege im Detail'!$A:$A,"02696",'Wege im Detail'!$P:$P)</f>
        <v>3.6640000000000001</v>
      </c>
      <c r="J74" s="508" t="s">
        <v>274</v>
      </c>
      <c r="K74" s="427"/>
      <c r="L74" s="428"/>
    </row>
    <row r="75" spans="1:221" s="35" customFormat="1" ht="45" customHeight="1" x14ac:dyDescent="0.2">
      <c r="A75" s="444">
        <v>2697</v>
      </c>
      <c r="B75" s="445" t="s">
        <v>84</v>
      </c>
      <c r="C75" s="455" t="s">
        <v>85</v>
      </c>
      <c r="D75" s="511"/>
      <c r="E75" s="445" t="s">
        <v>276</v>
      </c>
      <c r="F75" s="445" t="s">
        <v>277</v>
      </c>
      <c r="G75" s="445"/>
      <c r="H75" s="448" t="s">
        <v>55</v>
      </c>
      <c r="I75" s="451">
        <f>SUMIF('Wege im Detail'!$A:$A,"02697",'Wege im Detail'!$P:$P)</f>
        <v>3.593</v>
      </c>
      <c r="J75" s="508" t="s">
        <v>278</v>
      </c>
      <c r="K75" s="425"/>
      <c r="L75" s="426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</row>
    <row r="76" spans="1:221" s="35" customFormat="1" ht="45" customHeight="1" x14ac:dyDescent="0.2">
      <c r="A76" s="444">
        <v>2723</v>
      </c>
      <c r="B76" s="445" t="s">
        <v>84</v>
      </c>
      <c r="C76" s="455" t="s">
        <v>85</v>
      </c>
      <c r="D76" s="511"/>
      <c r="E76" s="445" t="s">
        <v>279</v>
      </c>
      <c r="F76" s="445" t="s">
        <v>172</v>
      </c>
      <c r="G76" s="445"/>
      <c r="H76" s="448" t="s">
        <v>55</v>
      </c>
      <c r="I76" s="451">
        <f>SUMIF('Wege im Detail'!$A:$A,"02723",'Wege im Detail'!$P:$P)</f>
        <v>7.24</v>
      </c>
      <c r="J76" s="508" t="s">
        <v>280</v>
      </c>
      <c r="K76" s="427"/>
      <c r="L76" s="428"/>
    </row>
    <row r="77" spans="1:221" s="35" customFormat="1" ht="45" customHeight="1" x14ac:dyDescent="0.2">
      <c r="A77" s="444">
        <v>2724</v>
      </c>
      <c r="B77" s="445" t="s">
        <v>84</v>
      </c>
      <c r="C77" s="455" t="s">
        <v>85</v>
      </c>
      <c r="D77" s="482" t="s">
        <v>281</v>
      </c>
      <c r="E77" s="445" t="s">
        <v>283</v>
      </c>
      <c r="F77" s="445" t="s">
        <v>138</v>
      </c>
      <c r="G77" s="445"/>
      <c r="H77" s="448" t="s">
        <v>55</v>
      </c>
      <c r="I77" s="451">
        <f>SUMIF('Wege im Detail'!$A:$A,"002724",'Wege im Detail'!$P:$P)</f>
        <v>7.4180000000000001</v>
      </c>
      <c r="J77" s="508" t="s">
        <v>284</v>
      </c>
      <c r="K77" s="425"/>
      <c r="L77" s="426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</row>
    <row r="78" spans="1:221" s="35" customFormat="1" ht="45" customHeight="1" x14ac:dyDescent="0.2">
      <c r="A78" s="444">
        <v>2879</v>
      </c>
      <c r="B78" s="445" t="s">
        <v>51</v>
      </c>
      <c r="C78" s="455" t="s">
        <v>214</v>
      </c>
      <c r="D78" s="479"/>
      <c r="E78" s="445">
        <v>201</v>
      </c>
      <c r="F78" s="445" t="s">
        <v>285</v>
      </c>
      <c r="G78" s="445" t="s">
        <v>286</v>
      </c>
      <c r="H78" s="448" t="s">
        <v>287</v>
      </c>
      <c r="I78" s="451">
        <f>SUMIF('Wege im Detail'!$A:$A,"02879",'Wege im Detail'!$P:$P)</f>
        <v>10.363</v>
      </c>
      <c r="J78" s="508" t="s">
        <v>288</v>
      </c>
      <c r="K78" s="427"/>
      <c r="L78" s="428"/>
    </row>
    <row r="79" spans="1:221" s="35" customFormat="1" ht="45" customHeight="1" x14ac:dyDescent="0.2">
      <c r="A79" s="444">
        <v>2881</v>
      </c>
      <c r="B79" s="445" t="s">
        <v>51</v>
      </c>
      <c r="C79" s="445" t="s">
        <v>91</v>
      </c>
      <c r="D79" s="445"/>
      <c r="E79" s="445">
        <v>47</v>
      </c>
      <c r="F79" s="445"/>
      <c r="G79" s="445"/>
      <c r="H79" s="448" t="s">
        <v>55</v>
      </c>
      <c r="I79" s="451">
        <f>SUMIF('Wege im Detail'!$A:$A,"02881",'Wege im Detail'!$P:$P)</f>
        <v>8.7940000000000005</v>
      </c>
      <c r="J79" s="508" t="s">
        <v>291</v>
      </c>
      <c r="K79" s="425"/>
      <c r="L79" s="426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</row>
    <row r="80" spans="1:221" s="35" customFormat="1" ht="45" customHeight="1" x14ac:dyDescent="0.2">
      <c r="A80" s="444">
        <v>2883</v>
      </c>
      <c r="B80" s="445" t="s">
        <v>51</v>
      </c>
      <c r="C80" s="445" t="s">
        <v>91</v>
      </c>
      <c r="D80" s="445"/>
      <c r="E80" s="445">
        <v>64</v>
      </c>
      <c r="F80" s="445"/>
      <c r="G80" s="445"/>
      <c r="H80" s="448" t="s">
        <v>55</v>
      </c>
      <c r="I80" s="451">
        <f>SUMIF('Wege im Detail'!$A:$A,"02883",'Wege im Detail'!$P:$P)</f>
        <v>4.0250000000000004</v>
      </c>
      <c r="J80" s="508" t="s">
        <v>292</v>
      </c>
      <c r="K80" s="425"/>
      <c r="L80" s="426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</row>
    <row r="81" spans="1:221" s="35" customFormat="1" ht="45" customHeight="1" x14ac:dyDescent="0.2">
      <c r="A81" s="444">
        <v>2885</v>
      </c>
      <c r="B81" s="445" t="s">
        <v>51</v>
      </c>
      <c r="C81" s="445" t="s">
        <v>91</v>
      </c>
      <c r="D81" s="445"/>
      <c r="E81" s="445">
        <v>44</v>
      </c>
      <c r="F81" s="445"/>
      <c r="G81" s="445"/>
      <c r="H81" s="448" t="s">
        <v>55</v>
      </c>
      <c r="I81" s="451">
        <f>SUMIF('Wege im Detail'!$A:$A,"02885",'Wege im Detail'!$P:$P)</f>
        <v>7.9610000000000003</v>
      </c>
      <c r="J81" s="508" t="s">
        <v>293</v>
      </c>
      <c r="K81" s="425"/>
      <c r="L81" s="426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</row>
    <row r="82" spans="1:221" s="35" customFormat="1" ht="45" customHeight="1" x14ac:dyDescent="0.2">
      <c r="A82" s="444">
        <v>2887</v>
      </c>
      <c r="B82" s="445" t="s">
        <v>51</v>
      </c>
      <c r="C82" s="445" t="s">
        <v>91</v>
      </c>
      <c r="D82" s="445"/>
      <c r="E82" s="445">
        <v>46</v>
      </c>
      <c r="F82" s="445"/>
      <c r="G82" s="445"/>
      <c r="H82" s="448" t="s">
        <v>55</v>
      </c>
      <c r="I82" s="451">
        <f>SUMIF('Wege im Detail'!$A:$A,"02887",'Wege im Detail'!$P:$P)</f>
        <v>7.7759999999999998</v>
      </c>
      <c r="J82" s="508" t="s">
        <v>294</v>
      </c>
      <c r="K82" s="425"/>
      <c r="L82" s="426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</row>
    <row r="83" spans="1:221" ht="45" customHeight="1" x14ac:dyDescent="0.2">
      <c r="A83" s="444">
        <v>2890</v>
      </c>
      <c r="B83" s="445" t="s">
        <v>51</v>
      </c>
      <c r="C83" s="445" t="s">
        <v>91</v>
      </c>
      <c r="D83" s="479"/>
      <c r="E83" s="445">
        <v>49</v>
      </c>
      <c r="F83" s="445"/>
      <c r="G83" s="445"/>
      <c r="H83" s="448" t="s">
        <v>55</v>
      </c>
      <c r="I83" s="451">
        <f>SUMIF('Wege im Detail'!$A:$A,"02890",'Wege im Detail'!$P:$P)</f>
        <v>9.0660000000000007</v>
      </c>
      <c r="J83" s="508" t="s">
        <v>296</v>
      </c>
    </row>
    <row r="84" spans="1:221" ht="45" customHeight="1" x14ac:dyDescent="0.2">
      <c r="A84" s="444">
        <v>2895</v>
      </c>
      <c r="B84" s="445" t="s">
        <v>51</v>
      </c>
      <c r="C84" s="445" t="s">
        <v>91</v>
      </c>
      <c r="D84" s="479"/>
      <c r="E84" s="445">
        <v>53</v>
      </c>
      <c r="F84" s="445"/>
      <c r="G84" s="445"/>
      <c r="H84" s="448" t="s">
        <v>55</v>
      </c>
      <c r="I84" s="451">
        <f>SUMIF('Wege im Detail'!$A:$A,"02895",'Wege im Detail'!$P:$P)</f>
        <v>8.3719999999999999</v>
      </c>
      <c r="J84" s="508" t="s">
        <v>297</v>
      </c>
    </row>
    <row r="85" spans="1:221" ht="45" customHeight="1" x14ac:dyDescent="0.2">
      <c r="A85" s="444">
        <v>2896</v>
      </c>
      <c r="B85" s="445" t="s">
        <v>51</v>
      </c>
      <c r="C85" s="445" t="s">
        <v>91</v>
      </c>
      <c r="D85" s="445"/>
      <c r="E85" s="445">
        <v>54</v>
      </c>
      <c r="F85" s="445"/>
      <c r="G85" s="445"/>
      <c r="H85" s="448" t="s">
        <v>55</v>
      </c>
      <c r="I85" s="451">
        <f>SUMIF('Wege im Detail'!$A:$A,"02896",'Wege im Detail'!$P:$P)</f>
        <v>8.8830000000000009</v>
      </c>
      <c r="J85" s="508" t="s">
        <v>300</v>
      </c>
      <c r="K85" s="427"/>
      <c r="L85" s="428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</row>
    <row r="86" spans="1:221" ht="45" customHeight="1" x14ac:dyDescent="0.2">
      <c r="A86" s="444">
        <v>2899</v>
      </c>
      <c r="B86" s="445" t="s">
        <v>51</v>
      </c>
      <c r="C86" s="445" t="s">
        <v>91</v>
      </c>
      <c r="D86" s="445"/>
      <c r="E86" s="445">
        <v>52</v>
      </c>
      <c r="F86" s="445"/>
      <c r="G86" s="445"/>
      <c r="H86" s="448" t="s">
        <v>55</v>
      </c>
      <c r="I86" s="451">
        <f>SUMIF('Wege im Detail'!$A:$A,"02899",'Wege im Detail'!$P:$P)</f>
        <v>3.3039999999999998</v>
      </c>
      <c r="J86" s="508" t="s">
        <v>301</v>
      </c>
    </row>
    <row r="87" spans="1:221" ht="45" customHeight="1" x14ac:dyDescent="0.2">
      <c r="A87" s="444">
        <v>2913</v>
      </c>
      <c r="B87" s="445" t="s">
        <v>51</v>
      </c>
      <c r="C87" s="445" t="s">
        <v>91</v>
      </c>
      <c r="D87" s="479"/>
      <c r="E87" s="445">
        <v>55</v>
      </c>
      <c r="F87" s="445"/>
      <c r="G87" s="445"/>
      <c r="H87" s="448" t="s">
        <v>55</v>
      </c>
      <c r="I87" s="451">
        <f>SUMIF('Wege im Detail'!$A:$A,"02913",'Wege im Detail'!$P:$P)</f>
        <v>5.8980000000000006</v>
      </c>
      <c r="J87" s="508" t="s">
        <v>302</v>
      </c>
    </row>
    <row r="88" spans="1:221" ht="45" customHeight="1" x14ac:dyDescent="0.2">
      <c r="A88" s="444">
        <v>2917</v>
      </c>
      <c r="B88" s="445" t="s">
        <v>51</v>
      </c>
      <c r="C88" s="445" t="s">
        <v>91</v>
      </c>
      <c r="D88" s="445"/>
      <c r="E88" s="445">
        <v>56</v>
      </c>
      <c r="F88" s="445"/>
      <c r="G88" s="445"/>
      <c r="H88" s="448" t="s">
        <v>55</v>
      </c>
      <c r="I88" s="451">
        <f>SUMIF('Wege im Detail'!$A:$A,"02917",'Wege im Detail'!$P:$P)</f>
        <v>11.577999999999999</v>
      </c>
      <c r="J88" s="508" t="s">
        <v>304</v>
      </c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  <c r="HH88" s="180"/>
      <c r="HI88" s="180"/>
      <c r="HJ88" s="180"/>
      <c r="HK88" s="180"/>
      <c r="HL88" s="180"/>
      <c r="HM88" s="180"/>
    </row>
    <row r="89" spans="1:221" ht="45" customHeight="1" x14ac:dyDescent="0.2">
      <c r="A89" s="444">
        <v>2971</v>
      </c>
      <c r="B89" s="445" t="s">
        <v>51</v>
      </c>
      <c r="C89" s="445" t="s">
        <v>52</v>
      </c>
      <c r="D89" s="445"/>
      <c r="E89" s="445">
        <v>4</v>
      </c>
      <c r="F89" s="445" t="s">
        <v>306</v>
      </c>
      <c r="G89" s="445"/>
      <c r="H89" s="448" t="s">
        <v>55</v>
      </c>
      <c r="I89" s="451">
        <f>SUMIF('Wege im Detail'!$A:$A,"02971",'Wege im Detail'!$P:$P)</f>
        <v>75.032999999999987</v>
      </c>
      <c r="J89" s="508" t="s">
        <v>308</v>
      </c>
      <c r="K89" s="427"/>
      <c r="L89" s="428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</row>
    <row r="90" spans="1:221" s="180" customFormat="1" ht="45" customHeight="1" x14ac:dyDescent="0.2">
      <c r="A90" s="444">
        <v>2977</v>
      </c>
      <c r="B90" s="445" t="s">
        <v>84</v>
      </c>
      <c r="C90" s="455" t="s">
        <v>85</v>
      </c>
      <c r="D90" s="445"/>
      <c r="E90" s="445" t="s">
        <v>310</v>
      </c>
      <c r="F90" s="445" t="s">
        <v>311</v>
      </c>
      <c r="G90" s="445"/>
      <c r="H90" s="448" t="s">
        <v>55</v>
      </c>
      <c r="I90" s="451">
        <f>SUMIF('Wege im Detail'!$A:$A,"02977",'Wege im Detail'!$P:$P)</f>
        <v>8.3309999999999995</v>
      </c>
      <c r="J90" s="508" t="s">
        <v>312</v>
      </c>
      <c r="K90" s="427"/>
      <c r="L90" s="428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</row>
    <row r="91" spans="1:221" ht="45" customHeight="1" x14ac:dyDescent="0.2">
      <c r="A91" s="444">
        <v>2979</v>
      </c>
      <c r="B91" s="445" t="s">
        <v>84</v>
      </c>
      <c r="C91" s="455" t="s">
        <v>85</v>
      </c>
      <c r="D91" s="445"/>
      <c r="E91" s="445" t="s">
        <v>313</v>
      </c>
      <c r="F91" s="445" t="s">
        <v>314</v>
      </c>
      <c r="G91" s="445"/>
      <c r="H91" s="448" t="s">
        <v>55</v>
      </c>
      <c r="I91" s="451">
        <f>SUMIF('Wege im Detail'!$A:$A,"02979",'Wege im Detail'!$P:$P)</f>
        <v>6.0780000000000003</v>
      </c>
      <c r="J91" s="508" t="s">
        <v>315</v>
      </c>
      <c r="K91" s="427"/>
      <c r="L91" s="428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</row>
    <row r="92" spans="1:221" ht="45" customHeight="1" x14ac:dyDescent="0.2">
      <c r="A92" s="444">
        <v>2980</v>
      </c>
      <c r="B92" s="445" t="s">
        <v>84</v>
      </c>
      <c r="C92" s="455" t="s">
        <v>85</v>
      </c>
      <c r="D92" s="445"/>
      <c r="E92" s="445" t="s">
        <v>317</v>
      </c>
      <c r="F92" s="445" t="s">
        <v>318</v>
      </c>
      <c r="G92" s="445"/>
      <c r="H92" s="448" t="s">
        <v>55</v>
      </c>
      <c r="I92" s="451">
        <f>SUMIF('Wege im Detail'!$A:$A,"02980",'Wege im Detail'!$P:$P)</f>
        <v>6.7220000000000004</v>
      </c>
      <c r="J92" s="508" t="s">
        <v>319</v>
      </c>
    </row>
    <row r="93" spans="1:221" ht="45" customHeight="1" x14ac:dyDescent="0.2">
      <c r="A93" s="444">
        <v>2982</v>
      </c>
      <c r="B93" s="445" t="s">
        <v>84</v>
      </c>
      <c r="C93" s="515" t="s">
        <v>320</v>
      </c>
      <c r="D93" s="445"/>
      <c r="E93" s="445" t="s">
        <v>322</v>
      </c>
      <c r="F93" s="445" t="s">
        <v>323</v>
      </c>
      <c r="G93" s="445"/>
      <c r="H93" s="448" t="s">
        <v>55</v>
      </c>
      <c r="I93" s="451">
        <f>SUMIF('Wege im Detail'!$A:$A,"02982",'Wege im Detail'!$P:$P)</f>
        <v>7.4969999999999999</v>
      </c>
      <c r="J93" s="508" t="s">
        <v>324</v>
      </c>
      <c r="K93" s="427"/>
      <c r="L93" s="428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</row>
    <row r="94" spans="1:221" ht="45" customHeight="1" x14ac:dyDescent="0.2">
      <c r="A94" s="444">
        <v>2985</v>
      </c>
      <c r="B94" s="445" t="s">
        <v>84</v>
      </c>
      <c r="C94" s="515" t="s">
        <v>320</v>
      </c>
      <c r="D94" s="445"/>
      <c r="E94" s="445" t="s">
        <v>326</v>
      </c>
      <c r="F94" s="445" t="s">
        <v>327</v>
      </c>
      <c r="G94" s="445"/>
      <c r="H94" s="448" t="s">
        <v>55</v>
      </c>
      <c r="I94" s="451">
        <f>SUMIF('Wege im Detail'!$A:$A,"02985",'Wege im Detail'!$P:$P)</f>
        <v>6.5869999999999997</v>
      </c>
      <c r="J94" s="508" t="s">
        <v>328</v>
      </c>
    </row>
    <row r="95" spans="1:221" ht="45" customHeight="1" x14ac:dyDescent="0.2">
      <c r="A95" s="444">
        <v>2987</v>
      </c>
      <c r="B95" s="445" t="s">
        <v>84</v>
      </c>
      <c r="C95" s="515" t="s">
        <v>320</v>
      </c>
      <c r="D95" s="479"/>
      <c r="E95" s="445" t="s">
        <v>329</v>
      </c>
      <c r="F95" s="445" t="s">
        <v>330</v>
      </c>
      <c r="G95" s="445"/>
      <c r="H95" s="448" t="s">
        <v>55</v>
      </c>
      <c r="I95" s="451">
        <f>SUMIF('Wege im Detail'!$A:$A,"02987",'Wege im Detail'!$P:$P)</f>
        <v>4.4640000000000004</v>
      </c>
      <c r="J95" s="508" t="s">
        <v>331</v>
      </c>
    </row>
    <row r="96" spans="1:221" ht="45" customHeight="1" x14ac:dyDescent="0.2">
      <c r="A96" s="444">
        <v>2988</v>
      </c>
      <c r="B96" s="445" t="s">
        <v>84</v>
      </c>
      <c r="C96" s="455" t="s">
        <v>85</v>
      </c>
      <c r="D96" s="445"/>
      <c r="E96" s="445" t="s">
        <v>333</v>
      </c>
      <c r="F96" s="445" t="s">
        <v>88</v>
      </c>
      <c r="G96" s="445"/>
      <c r="H96" s="448" t="s">
        <v>55</v>
      </c>
      <c r="I96" s="451">
        <f>SUMIF('Wege im Detail'!$A:$A,"02988",'Wege im Detail'!$P:$P)</f>
        <v>4.8390000000000004</v>
      </c>
      <c r="J96" s="508" t="s">
        <v>334</v>
      </c>
    </row>
    <row r="97" spans="1:221" ht="45" customHeight="1" x14ac:dyDescent="0.2">
      <c r="A97" s="444">
        <v>2989</v>
      </c>
      <c r="B97" s="445" t="s">
        <v>84</v>
      </c>
      <c r="C97" s="455" t="s">
        <v>85</v>
      </c>
      <c r="D97" s="445"/>
      <c r="E97" s="445" t="s">
        <v>335</v>
      </c>
      <c r="F97" s="445" t="s">
        <v>142</v>
      </c>
      <c r="G97" s="445"/>
      <c r="H97" s="448" t="s">
        <v>55</v>
      </c>
      <c r="I97" s="451">
        <f>SUMIF('Wege im Detail'!$A:$A,"02989",'Wege im Detail'!$P:$P)</f>
        <v>5.0359999999999996</v>
      </c>
      <c r="J97" s="508" t="s">
        <v>336</v>
      </c>
      <c r="K97" s="427"/>
      <c r="L97" s="428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</row>
    <row r="98" spans="1:221" ht="45" customHeight="1" x14ac:dyDescent="0.2">
      <c r="A98" s="444">
        <v>2990</v>
      </c>
      <c r="B98" s="445" t="s">
        <v>84</v>
      </c>
      <c r="C98" s="455" t="s">
        <v>85</v>
      </c>
      <c r="D98" s="445"/>
      <c r="E98" s="445" t="s">
        <v>337</v>
      </c>
      <c r="F98" s="445" t="s">
        <v>147</v>
      </c>
      <c r="G98" s="445"/>
      <c r="H98" s="448" t="s">
        <v>55</v>
      </c>
      <c r="I98" s="451">
        <f>SUMIF('Wege im Detail'!$A:$A,"02990",'Wege im Detail'!$P:$P)</f>
        <v>9.077</v>
      </c>
      <c r="J98" s="508" t="s">
        <v>338</v>
      </c>
    </row>
    <row r="99" spans="1:221" ht="45" customHeight="1" x14ac:dyDescent="0.2">
      <c r="A99" s="444">
        <v>2991</v>
      </c>
      <c r="B99" s="445" t="s">
        <v>84</v>
      </c>
      <c r="C99" s="455" t="s">
        <v>85</v>
      </c>
      <c r="D99" s="445"/>
      <c r="E99" s="445" t="s">
        <v>339</v>
      </c>
      <c r="F99" s="445" t="s">
        <v>133</v>
      </c>
      <c r="G99" s="445"/>
      <c r="H99" s="448" t="s">
        <v>55</v>
      </c>
      <c r="I99" s="451">
        <f>SUMIF('Wege im Detail'!$A:$A,"02991",'Wege im Detail'!$P:$P)</f>
        <v>5.992</v>
      </c>
      <c r="J99" s="508" t="s">
        <v>340</v>
      </c>
    </row>
    <row r="100" spans="1:221" ht="45" customHeight="1" x14ac:dyDescent="0.2">
      <c r="A100" s="444">
        <v>2992</v>
      </c>
      <c r="B100" s="445" t="s">
        <v>84</v>
      </c>
      <c r="C100" s="455" t="s">
        <v>85</v>
      </c>
      <c r="D100" s="445"/>
      <c r="E100" s="445" t="s">
        <v>341</v>
      </c>
      <c r="F100" s="445" t="s">
        <v>138</v>
      </c>
      <c r="G100" s="445"/>
      <c r="H100" s="448" t="s">
        <v>55</v>
      </c>
      <c r="I100" s="451">
        <f>SUMIF('Wege im Detail'!$A:$A,"02992",'Wege im Detail'!$P:$P)</f>
        <v>4.6920000000000002</v>
      </c>
      <c r="J100" s="508" t="s">
        <v>342</v>
      </c>
      <c r="K100" s="427"/>
      <c r="L100" s="428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</row>
    <row r="101" spans="1:221" ht="45" customHeight="1" x14ac:dyDescent="0.2">
      <c r="A101" s="444">
        <v>3033</v>
      </c>
      <c r="B101" s="445" t="s">
        <v>84</v>
      </c>
      <c r="C101" s="455" t="s">
        <v>85</v>
      </c>
      <c r="D101" s="482" t="s">
        <v>281</v>
      </c>
      <c r="E101" s="445" t="s">
        <v>343</v>
      </c>
      <c r="F101" s="445" t="s">
        <v>142</v>
      </c>
      <c r="G101" s="445"/>
      <c r="H101" s="448" t="s">
        <v>55</v>
      </c>
      <c r="I101" s="451">
        <f>SUMIF('Wege im Detail'!$A:$A,"003033",'Wege im Detail'!$P:$P)</f>
        <v>4.2519999999999998</v>
      </c>
      <c r="J101" s="508" t="s">
        <v>344</v>
      </c>
    </row>
    <row r="102" spans="1:221" ht="45" customHeight="1" x14ac:dyDescent="0.2">
      <c r="A102" s="444">
        <v>3034</v>
      </c>
      <c r="B102" s="445" t="s">
        <v>84</v>
      </c>
      <c r="C102" s="455" t="s">
        <v>85</v>
      </c>
      <c r="D102" s="482" t="s">
        <v>281</v>
      </c>
      <c r="E102" s="445" t="s">
        <v>345</v>
      </c>
      <c r="F102" s="445" t="s">
        <v>147</v>
      </c>
      <c r="G102" s="445"/>
      <c r="H102" s="448" t="s">
        <v>55</v>
      </c>
      <c r="I102" s="451">
        <f>SUMIF('Wege im Detail'!$A:$A,"003034",'Wege im Detail'!$P:$P)</f>
        <v>4.9139999999999997</v>
      </c>
      <c r="J102" s="508" t="s">
        <v>346</v>
      </c>
    </row>
    <row r="103" spans="1:221" ht="45" customHeight="1" x14ac:dyDescent="0.2">
      <c r="A103" s="444">
        <v>3035</v>
      </c>
      <c r="B103" s="445" t="s">
        <v>84</v>
      </c>
      <c r="C103" s="455" t="s">
        <v>85</v>
      </c>
      <c r="D103" s="482" t="s">
        <v>281</v>
      </c>
      <c r="E103" s="445" t="s">
        <v>347</v>
      </c>
      <c r="F103" s="445" t="s">
        <v>133</v>
      </c>
      <c r="G103" s="445"/>
      <c r="H103" s="448" t="s">
        <v>55</v>
      </c>
      <c r="I103" s="451">
        <f>SUMIF('Wege im Detail'!$A:$A,"03035",'Wege im Detail'!$P:$P)</f>
        <v>6.9989999999999997</v>
      </c>
      <c r="J103" s="508" t="s">
        <v>348</v>
      </c>
    </row>
    <row r="104" spans="1:221" ht="45" customHeight="1" x14ac:dyDescent="0.2">
      <c r="A104" s="444">
        <v>3140</v>
      </c>
      <c r="B104" s="445" t="s">
        <v>84</v>
      </c>
      <c r="C104" s="455" t="s">
        <v>85</v>
      </c>
      <c r="D104" s="445"/>
      <c r="E104" s="445" t="s">
        <v>350</v>
      </c>
      <c r="F104" s="445" t="s">
        <v>142</v>
      </c>
      <c r="G104" s="445"/>
      <c r="H104" s="448" t="s">
        <v>55</v>
      </c>
      <c r="I104" s="451">
        <f>SUMIF('Wege im Detail'!$A:$A,"03140",'Wege im Detail'!$P:$P)</f>
        <v>8.6059999999999999</v>
      </c>
      <c r="J104" s="508" t="s">
        <v>352</v>
      </c>
    </row>
    <row r="105" spans="1:221" ht="45" customHeight="1" x14ac:dyDescent="0.2">
      <c r="A105" s="444">
        <v>3141</v>
      </c>
      <c r="B105" s="445" t="s">
        <v>84</v>
      </c>
      <c r="C105" s="455" t="s">
        <v>85</v>
      </c>
      <c r="D105" s="445"/>
      <c r="E105" s="445" t="s">
        <v>354</v>
      </c>
      <c r="F105" s="445" t="s">
        <v>147</v>
      </c>
      <c r="G105" s="445"/>
      <c r="H105" s="448" t="s">
        <v>55</v>
      </c>
      <c r="I105" s="451">
        <f>SUMIF('Wege im Detail'!$A:$A,"03141",'Wege im Detail'!$P:$P)</f>
        <v>6.9210000000000003</v>
      </c>
      <c r="J105" s="508" t="s">
        <v>355</v>
      </c>
    </row>
    <row r="106" spans="1:221" ht="45" customHeight="1" x14ac:dyDescent="0.2">
      <c r="A106" s="444">
        <v>3143</v>
      </c>
      <c r="B106" s="445" t="s">
        <v>84</v>
      </c>
      <c r="C106" s="455" t="s">
        <v>85</v>
      </c>
      <c r="D106" s="445"/>
      <c r="E106" s="445" t="s">
        <v>357</v>
      </c>
      <c r="F106" s="445" t="s">
        <v>138</v>
      </c>
      <c r="G106" s="445"/>
      <c r="H106" s="448" t="s">
        <v>55</v>
      </c>
      <c r="I106" s="451">
        <f>SUMIF('Wege im Detail'!$A:$A,"03143",'Wege im Detail'!$P:$P)</f>
        <v>10.923</v>
      </c>
      <c r="J106" s="508" t="s">
        <v>358</v>
      </c>
      <c r="K106" s="427"/>
      <c r="L106" s="428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</row>
    <row r="107" spans="1:221" ht="45" customHeight="1" x14ac:dyDescent="0.2">
      <c r="A107" s="444">
        <v>3144</v>
      </c>
      <c r="B107" s="445" t="s">
        <v>84</v>
      </c>
      <c r="C107" s="455" t="s">
        <v>85</v>
      </c>
      <c r="D107" s="445"/>
      <c r="E107" s="445" t="s">
        <v>360</v>
      </c>
      <c r="F107" s="445" t="s">
        <v>133</v>
      </c>
      <c r="G107" s="445"/>
      <c r="H107" s="448" t="s">
        <v>55</v>
      </c>
      <c r="I107" s="451">
        <f>SUMIF('Wege im Detail'!$A:$A,"03144",'Wege im Detail'!$P:$P)</f>
        <v>10.566000000000001</v>
      </c>
      <c r="J107" s="508" t="s">
        <v>361</v>
      </c>
    </row>
    <row r="108" spans="1:221" ht="45" customHeight="1" x14ac:dyDescent="0.2">
      <c r="A108" s="444">
        <v>3147</v>
      </c>
      <c r="B108" s="445" t="s">
        <v>84</v>
      </c>
      <c r="C108" s="455" t="s">
        <v>85</v>
      </c>
      <c r="D108" s="479"/>
      <c r="E108" s="445" t="s">
        <v>363</v>
      </c>
      <c r="F108" s="448" t="s">
        <v>364</v>
      </c>
      <c r="G108" s="448"/>
      <c r="H108" s="448" t="s">
        <v>55</v>
      </c>
      <c r="I108" s="451">
        <f>SUMIF('Wege im Detail'!$A:$A,"03147",'Wege im Detail'!$P:$P)</f>
        <v>10.789</v>
      </c>
      <c r="J108" s="508" t="s">
        <v>365</v>
      </c>
    </row>
    <row r="109" spans="1:221" ht="45" customHeight="1" x14ac:dyDescent="0.2">
      <c r="A109" s="444">
        <v>3148</v>
      </c>
      <c r="B109" s="445" t="s">
        <v>84</v>
      </c>
      <c r="C109" s="515" t="s">
        <v>366</v>
      </c>
      <c r="D109" s="479"/>
      <c r="E109" s="445" t="s">
        <v>368</v>
      </c>
      <c r="F109" s="448" t="s">
        <v>369</v>
      </c>
      <c r="G109" s="448"/>
      <c r="H109" s="448" t="s">
        <v>55</v>
      </c>
      <c r="I109" s="451">
        <f>SUMIF('Wege im Detail'!$A:$A,"03148",'Wege im Detail'!$P:$P)</f>
        <v>3.7440000000000002</v>
      </c>
      <c r="J109" s="508" t="s">
        <v>370</v>
      </c>
      <c r="K109" s="427"/>
      <c r="L109" s="428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</row>
    <row r="110" spans="1:221" ht="45" customHeight="1" x14ac:dyDescent="0.2">
      <c r="A110" s="444">
        <v>3150</v>
      </c>
      <c r="B110" s="445" t="s">
        <v>84</v>
      </c>
      <c r="C110" s="455" t="s">
        <v>85</v>
      </c>
      <c r="D110" s="479"/>
      <c r="E110" s="445" t="s">
        <v>372</v>
      </c>
      <c r="F110" s="448" t="s">
        <v>373</v>
      </c>
      <c r="G110" s="448"/>
      <c r="H110" s="448" t="s">
        <v>55</v>
      </c>
      <c r="I110" s="451">
        <f>SUMIF('Wege im Detail'!$A:$A,"03150",'Wege im Detail'!$P:$P)</f>
        <v>4.492</v>
      </c>
      <c r="J110" s="508" t="s">
        <v>374</v>
      </c>
    </row>
    <row r="111" spans="1:221" ht="45" customHeight="1" x14ac:dyDescent="0.2">
      <c r="A111" s="444">
        <v>3151</v>
      </c>
      <c r="B111" s="445" t="s">
        <v>84</v>
      </c>
      <c r="C111" s="455" t="s">
        <v>85</v>
      </c>
      <c r="D111" s="445"/>
      <c r="E111" s="445" t="s">
        <v>375</v>
      </c>
      <c r="F111" s="445" t="s">
        <v>142</v>
      </c>
      <c r="G111" s="445"/>
      <c r="H111" s="448" t="s">
        <v>55</v>
      </c>
      <c r="I111" s="451">
        <f>SUMIF('Wege im Detail'!$A:$A,"03151",'Wege im Detail'!$P:$P)</f>
        <v>4.7409999999999997</v>
      </c>
      <c r="J111" s="508" t="s">
        <v>376</v>
      </c>
      <c r="K111" s="427"/>
      <c r="L111" s="428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</row>
    <row r="112" spans="1:221" s="167" customFormat="1" ht="45" customHeight="1" x14ac:dyDescent="0.2">
      <c r="A112" s="444">
        <v>3152</v>
      </c>
      <c r="B112" s="445" t="s">
        <v>84</v>
      </c>
      <c r="C112" s="455" t="s">
        <v>85</v>
      </c>
      <c r="D112" s="445">
        <v>0</v>
      </c>
      <c r="E112" s="445" t="s">
        <v>377</v>
      </c>
      <c r="F112" s="445" t="s">
        <v>147</v>
      </c>
      <c r="G112" s="445"/>
      <c r="H112" s="448" t="s">
        <v>55</v>
      </c>
      <c r="I112" s="451">
        <f>SUMIF('Wege im Detail'!$A:$A,"03152",'Wege im Detail'!$P:$P)</f>
        <v>6.3579999999999997</v>
      </c>
      <c r="J112" s="508" t="s">
        <v>378</v>
      </c>
      <c r="K112" s="425"/>
      <c r="L112" s="426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</row>
    <row r="113" spans="1:221" s="167" customFormat="1" ht="45" customHeight="1" x14ac:dyDescent="0.2">
      <c r="A113" s="444">
        <v>3153</v>
      </c>
      <c r="B113" s="445" t="s">
        <v>84</v>
      </c>
      <c r="C113" s="455" t="s">
        <v>85</v>
      </c>
      <c r="D113" s="445"/>
      <c r="E113" s="445" t="s">
        <v>379</v>
      </c>
      <c r="F113" s="445" t="s">
        <v>133</v>
      </c>
      <c r="G113" s="445"/>
      <c r="H113" s="448" t="s">
        <v>55</v>
      </c>
      <c r="I113" s="451">
        <f>SUMIF('Wege im Detail'!$A:$A,"03153",'Wege im Detail'!$P:$P)</f>
        <v>6.8959999999999999</v>
      </c>
      <c r="J113" s="508" t="s">
        <v>380</v>
      </c>
      <c r="K113" s="425"/>
      <c r="L113" s="426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</row>
    <row r="114" spans="1:221" ht="45" customHeight="1" x14ac:dyDescent="0.2">
      <c r="A114" s="444">
        <v>3157</v>
      </c>
      <c r="B114" s="445" t="s">
        <v>84</v>
      </c>
      <c r="C114" s="455" t="s">
        <v>85</v>
      </c>
      <c r="D114" s="445"/>
      <c r="E114" s="445" t="s">
        <v>382</v>
      </c>
      <c r="F114" s="445" t="s">
        <v>88</v>
      </c>
      <c r="G114" s="445"/>
      <c r="H114" s="448" t="s">
        <v>55</v>
      </c>
      <c r="I114" s="451">
        <f>SUMIF('Wege im Detail'!$A:$A,"03157",'Wege im Detail'!$P:$P)</f>
        <v>8.3420000000000005</v>
      </c>
      <c r="J114" s="508" t="s">
        <v>383</v>
      </c>
      <c r="K114" s="427"/>
      <c r="L114" s="428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</row>
    <row r="115" spans="1:221" ht="45" customHeight="1" x14ac:dyDescent="0.2">
      <c r="A115" s="444">
        <v>3206</v>
      </c>
      <c r="B115" s="445" t="s">
        <v>51</v>
      </c>
      <c r="C115" s="445" t="s">
        <v>91</v>
      </c>
      <c r="D115" s="445"/>
      <c r="E115" s="445">
        <v>28</v>
      </c>
      <c r="F115" s="445"/>
      <c r="G115" s="445"/>
      <c r="H115" s="448" t="s">
        <v>55</v>
      </c>
      <c r="I115" s="451">
        <f>SUMIF('Wege im Detail'!$A:$A,"03206",'Wege im Detail'!$P:$P)</f>
        <v>8.6349999999999998</v>
      </c>
      <c r="J115" s="508" t="s">
        <v>385</v>
      </c>
      <c r="K115" s="427"/>
      <c r="L115" s="428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</row>
    <row r="116" spans="1:221" ht="45" customHeight="1" x14ac:dyDescent="0.2">
      <c r="A116" s="444">
        <v>3207</v>
      </c>
      <c r="B116" s="445" t="s">
        <v>51</v>
      </c>
      <c r="C116" s="445" t="s">
        <v>91</v>
      </c>
      <c r="D116" s="445"/>
      <c r="E116" s="445">
        <v>20</v>
      </c>
      <c r="F116" s="445"/>
      <c r="G116" s="445"/>
      <c r="H116" s="448" t="s">
        <v>55</v>
      </c>
      <c r="I116" s="451">
        <f>SUMIF('Wege im Detail'!$A:$A,"03207",'Wege im Detail'!$P:$P)</f>
        <v>8.8439999999999994</v>
      </c>
      <c r="J116" s="508" t="s">
        <v>386</v>
      </c>
    </row>
    <row r="117" spans="1:221" ht="45" customHeight="1" x14ac:dyDescent="0.2">
      <c r="A117" s="444">
        <v>3287</v>
      </c>
      <c r="B117" s="445" t="s">
        <v>51</v>
      </c>
      <c r="C117" s="445" t="s">
        <v>91</v>
      </c>
      <c r="D117" s="445"/>
      <c r="E117" s="445">
        <v>27</v>
      </c>
      <c r="F117" s="445"/>
      <c r="G117" s="445"/>
      <c r="H117" s="448" t="s">
        <v>55</v>
      </c>
      <c r="I117" s="451">
        <f>SUMIF('Wege im Detail'!$A:$A,"03287",'Wege im Detail'!$P:$P)</f>
        <v>6.3159999999999998</v>
      </c>
      <c r="J117" s="508" t="s">
        <v>387</v>
      </c>
      <c r="K117" s="427"/>
      <c r="L117" s="428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</row>
    <row r="118" spans="1:221" ht="45" customHeight="1" x14ac:dyDescent="0.2">
      <c r="A118" s="444">
        <v>3288</v>
      </c>
      <c r="B118" s="445" t="s">
        <v>51</v>
      </c>
      <c r="C118" s="445" t="s">
        <v>91</v>
      </c>
      <c r="D118" s="445"/>
      <c r="E118" s="445">
        <v>25</v>
      </c>
      <c r="F118" s="445"/>
      <c r="G118" s="445"/>
      <c r="H118" s="448" t="s">
        <v>55</v>
      </c>
      <c r="I118" s="451">
        <f>SUMIF('Wege im Detail'!$A:$A,"03288",'Wege im Detail'!$P:$P)</f>
        <v>5.1760000000000002</v>
      </c>
      <c r="J118" s="508" t="s">
        <v>388</v>
      </c>
    </row>
    <row r="119" spans="1:221" ht="45" customHeight="1" x14ac:dyDescent="0.2">
      <c r="A119" s="444">
        <v>3290</v>
      </c>
      <c r="B119" s="445" t="s">
        <v>51</v>
      </c>
      <c r="C119" s="445" t="s">
        <v>91</v>
      </c>
      <c r="D119" s="445"/>
      <c r="E119" s="445">
        <v>24</v>
      </c>
      <c r="F119" s="445"/>
      <c r="G119" s="445"/>
      <c r="H119" s="448" t="s">
        <v>55</v>
      </c>
      <c r="I119" s="451">
        <f>SUMIF('Wege im Detail'!$A:$A,"03290",'Wege im Detail'!$P:$P)</f>
        <v>16.553999999999998</v>
      </c>
      <c r="J119" s="508" t="s">
        <v>390</v>
      </c>
    </row>
    <row r="120" spans="1:221" s="35" customFormat="1" ht="45" customHeight="1" x14ac:dyDescent="0.2">
      <c r="A120" s="444">
        <v>3291</v>
      </c>
      <c r="B120" s="445" t="s">
        <v>51</v>
      </c>
      <c r="C120" s="445" t="s">
        <v>91</v>
      </c>
      <c r="D120" s="445"/>
      <c r="E120" s="445">
        <v>33</v>
      </c>
      <c r="F120" s="445"/>
      <c r="G120" s="445"/>
      <c r="H120" s="448" t="s">
        <v>55</v>
      </c>
      <c r="I120" s="451">
        <f>SUMIF('Wege im Detail'!$A:$A,"03291",'Wege im Detail'!$P:$P)</f>
        <v>8.1370000000000005</v>
      </c>
      <c r="J120" s="508" t="s">
        <v>391</v>
      </c>
      <c r="K120" s="425"/>
      <c r="L120" s="426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</row>
    <row r="121" spans="1:221" s="35" customFormat="1" ht="45" customHeight="1" x14ac:dyDescent="0.2">
      <c r="A121" s="444">
        <v>3292</v>
      </c>
      <c r="B121" s="445" t="s">
        <v>51</v>
      </c>
      <c r="C121" s="445" t="s">
        <v>91</v>
      </c>
      <c r="D121" s="445"/>
      <c r="E121" s="445">
        <v>94</v>
      </c>
      <c r="F121" s="445"/>
      <c r="G121" s="445"/>
      <c r="H121" s="448" t="s">
        <v>55</v>
      </c>
      <c r="I121" s="451">
        <f>SUMIF('Wege im Detail'!$A:$A,"03292",'Wege im Detail'!$P:$P)</f>
        <v>12.748999999999999</v>
      </c>
      <c r="J121" s="508" t="s">
        <v>392</v>
      </c>
      <c r="K121" s="427"/>
      <c r="L121" s="428"/>
    </row>
    <row r="122" spans="1:221" s="35" customFormat="1" ht="45" customHeight="1" x14ac:dyDescent="0.2">
      <c r="A122" s="444">
        <v>3304</v>
      </c>
      <c r="B122" s="445" t="s">
        <v>51</v>
      </c>
      <c r="C122" s="445" t="s">
        <v>52</v>
      </c>
      <c r="D122" s="445"/>
      <c r="E122" s="445">
        <v>6</v>
      </c>
      <c r="F122" s="445" t="s">
        <v>394</v>
      </c>
      <c r="G122" s="445"/>
      <c r="H122" s="448" t="s">
        <v>55</v>
      </c>
      <c r="I122" s="451">
        <f>SUMIF('Wege im Detail'!$A:$A,"03304",'Wege im Detail'!$P:$P)</f>
        <v>55.11</v>
      </c>
      <c r="J122" s="514" t="s">
        <v>395</v>
      </c>
      <c r="K122" s="431"/>
      <c r="L122" s="426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</row>
    <row r="123" spans="1:221" ht="45" customHeight="1" x14ac:dyDescent="0.2">
      <c r="A123" s="444">
        <v>3309</v>
      </c>
      <c r="B123" s="445" t="s">
        <v>84</v>
      </c>
      <c r="C123" s="455" t="s">
        <v>85</v>
      </c>
      <c r="D123" s="445"/>
      <c r="E123" s="445" t="s">
        <v>397</v>
      </c>
      <c r="F123" s="445" t="s">
        <v>138</v>
      </c>
      <c r="G123" s="445"/>
      <c r="H123" s="448" t="s">
        <v>55</v>
      </c>
      <c r="I123" s="451">
        <f>SUMIF('Wege im Detail'!$A:$A,"03309",'Wege im Detail'!$P:$P)</f>
        <v>4.4930000000000003</v>
      </c>
      <c r="J123" s="508" t="s">
        <v>398</v>
      </c>
    </row>
    <row r="124" spans="1:221" ht="45" customHeight="1" x14ac:dyDescent="0.2">
      <c r="A124" s="444">
        <v>3311</v>
      </c>
      <c r="B124" s="445" t="s">
        <v>84</v>
      </c>
      <c r="C124" s="455" t="s">
        <v>85</v>
      </c>
      <c r="D124" s="445"/>
      <c r="E124" s="445" t="s">
        <v>400</v>
      </c>
      <c r="F124" s="445" t="s">
        <v>88</v>
      </c>
      <c r="G124" s="445"/>
      <c r="H124" s="448" t="s">
        <v>55</v>
      </c>
      <c r="I124" s="451">
        <f>SUMIF('Wege im Detail'!$A:$A,"03311",'Wege im Detail'!$P:$P)</f>
        <v>6.91</v>
      </c>
      <c r="J124" s="508" t="s">
        <v>401</v>
      </c>
    </row>
    <row r="125" spans="1:221" ht="45" customHeight="1" x14ac:dyDescent="0.2">
      <c r="A125" s="444">
        <v>3312</v>
      </c>
      <c r="B125" s="445" t="s">
        <v>84</v>
      </c>
      <c r="C125" s="455" t="s">
        <v>85</v>
      </c>
      <c r="D125" s="445"/>
      <c r="E125" s="445" t="s">
        <v>403</v>
      </c>
      <c r="F125" s="445" t="s">
        <v>163</v>
      </c>
      <c r="G125" s="445"/>
      <c r="H125" s="448" t="s">
        <v>55</v>
      </c>
      <c r="I125" s="451">
        <f>SUMIF('Wege im Detail'!$A:$A,"03312",'Wege im Detail'!$P:$P)</f>
        <v>3.8279999999999998</v>
      </c>
      <c r="J125" s="508" t="s">
        <v>404</v>
      </c>
      <c r="K125" s="427"/>
      <c r="L125" s="428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</row>
    <row r="126" spans="1:221" ht="45" customHeight="1" x14ac:dyDescent="0.2">
      <c r="A126" s="444">
        <v>3313</v>
      </c>
      <c r="B126" s="445" t="s">
        <v>84</v>
      </c>
      <c r="C126" s="455" t="s">
        <v>85</v>
      </c>
      <c r="D126" s="445"/>
      <c r="E126" s="445" t="s">
        <v>406</v>
      </c>
      <c r="F126" s="445" t="s">
        <v>142</v>
      </c>
      <c r="G126" s="445"/>
      <c r="H126" s="448" t="s">
        <v>55</v>
      </c>
      <c r="I126" s="451">
        <f>SUMIF('Wege im Detail'!$A:$A,"03313",'Wege im Detail'!$P:$P)</f>
        <v>9.2840000000000007</v>
      </c>
      <c r="J126" s="508" t="s">
        <v>407</v>
      </c>
    </row>
    <row r="127" spans="1:221" ht="45" customHeight="1" x14ac:dyDescent="0.2">
      <c r="A127" s="444">
        <v>3314</v>
      </c>
      <c r="B127" s="445" t="s">
        <v>84</v>
      </c>
      <c r="C127" s="455" t="s">
        <v>85</v>
      </c>
      <c r="D127" s="445"/>
      <c r="E127" s="445" t="s">
        <v>408</v>
      </c>
      <c r="F127" s="445" t="s">
        <v>88</v>
      </c>
      <c r="G127" s="445"/>
      <c r="H127" s="448" t="s">
        <v>55</v>
      </c>
      <c r="I127" s="451">
        <f>SUMIF('Wege im Detail'!$A:$A,"03314",'Wege im Detail'!$P:$P)</f>
        <v>10.3</v>
      </c>
      <c r="J127" s="508" t="s">
        <v>409</v>
      </c>
    </row>
    <row r="128" spans="1:221" ht="45" customHeight="1" x14ac:dyDescent="0.2">
      <c r="A128" s="444">
        <v>3347</v>
      </c>
      <c r="B128" s="445" t="s">
        <v>51</v>
      </c>
      <c r="C128" s="445" t="s">
        <v>91</v>
      </c>
      <c r="D128" s="445"/>
      <c r="E128" s="445">
        <v>32</v>
      </c>
      <c r="F128" s="445"/>
      <c r="G128" s="445"/>
      <c r="H128" s="445" t="s">
        <v>55</v>
      </c>
      <c r="I128" s="451">
        <f>SUMIF('Wege im Detail'!$A:$A,"03347",'Wege im Detail'!$P:$P)</f>
        <v>7.3079999999999998</v>
      </c>
      <c r="J128" s="514" t="s">
        <v>411</v>
      </c>
    </row>
    <row r="129" spans="1:221" ht="45" customHeight="1" x14ac:dyDescent="0.2">
      <c r="A129" s="444">
        <v>3348</v>
      </c>
      <c r="B129" s="445" t="s">
        <v>51</v>
      </c>
      <c r="C129" s="445" t="s">
        <v>91</v>
      </c>
      <c r="D129" s="445"/>
      <c r="E129" s="445">
        <v>30</v>
      </c>
      <c r="F129" s="445"/>
      <c r="G129" s="445"/>
      <c r="H129" s="448" t="s">
        <v>55</v>
      </c>
      <c r="I129" s="451">
        <f>SUMIF('Wege im Detail'!$A:$A,"03348",'Wege im Detail'!$P:$P)</f>
        <v>8.661999999999999</v>
      </c>
      <c r="J129" s="508" t="s">
        <v>412</v>
      </c>
    </row>
    <row r="130" spans="1:221" s="35" customFormat="1" ht="45" customHeight="1" x14ac:dyDescent="0.2">
      <c r="A130" s="444">
        <v>3350</v>
      </c>
      <c r="B130" s="445" t="s">
        <v>51</v>
      </c>
      <c r="C130" s="445" t="s">
        <v>91</v>
      </c>
      <c r="D130" s="479"/>
      <c r="E130" s="445">
        <v>26</v>
      </c>
      <c r="F130" s="445"/>
      <c r="G130" s="445"/>
      <c r="H130" s="448" t="s">
        <v>55</v>
      </c>
      <c r="I130" s="451">
        <f>SUMIF('Wege im Detail'!$A:$A,"03350",'Wege im Detail'!$P:$P)</f>
        <v>9.2880000000000003</v>
      </c>
      <c r="J130" s="508" t="s">
        <v>413</v>
      </c>
      <c r="K130" s="427"/>
      <c r="L130" s="428"/>
    </row>
    <row r="131" spans="1:221" s="35" customFormat="1" ht="45" customHeight="1" x14ac:dyDescent="0.2">
      <c r="A131" s="444">
        <v>3351</v>
      </c>
      <c r="B131" s="445" t="s">
        <v>51</v>
      </c>
      <c r="C131" s="445" t="s">
        <v>91</v>
      </c>
      <c r="D131" s="445"/>
      <c r="E131" s="445">
        <v>30</v>
      </c>
      <c r="F131" s="445"/>
      <c r="G131" s="445"/>
      <c r="H131" s="448" t="s">
        <v>55</v>
      </c>
      <c r="I131" s="451">
        <f>SUMIF('Wege im Detail'!$A:$A,"03351",'Wege im Detail'!$P:$P)</f>
        <v>16.824999999999999</v>
      </c>
      <c r="J131" s="508" t="s">
        <v>416</v>
      </c>
      <c r="K131" s="427"/>
      <c r="L131" s="428"/>
    </row>
    <row r="132" spans="1:221" s="35" customFormat="1" ht="45" customHeight="1" x14ac:dyDescent="0.2">
      <c r="A132" s="444">
        <v>3352</v>
      </c>
      <c r="B132" s="445" t="s">
        <v>51</v>
      </c>
      <c r="C132" s="445" t="s">
        <v>91</v>
      </c>
      <c r="D132" s="445"/>
      <c r="E132" s="445">
        <v>30</v>
      </c>
      <c r="F132" s="445"/>
      <c r="G132" s="445"/>
      <c r="H132" s="448" t="s">
        <v>55</v>
      </c>
      <c r="I132" s="451">
        <f>SUMIF('Wege im Detail'!$A:$A,"03352",'Wege im Detail'!$P:$P)</f>
        <v>2.194</v>
      </c>
      <c r="J132" s="508" t="s">
        <v>418</v>
      </c>
      <c r="K132" s="425"/>
      <c r="L132" s="426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</row>
    <row r="133" spans="1:221" s="35" customFormat="1" ht="45" customHeight="1" x14ac:dyDescent="0.2">
      <c r="A133" s="444">
        <v>3353</v>
      </c>
      <c r="B133" s="445" t="s">
        <v>51</v>
      </c>
      <c r="C133" s="445" t="s">
        <v>91</v>
      </c>
      <c r="D133" s="445"/>
      <c r="E133" s="445">
        <v>78</v>
      </c>
      <c r="F133" s="445"/>
      <c r="G133" s="445"/>
      <c r="H133" s="448" t="s">
        <v>55</v>
      </c>
      <c r="I133" s="451">
        <f>SUMIF('Wege im Detail'!$A:$A,"03353",'Wege im Detail'!$P:$P)</f>
        <v>34.166999999999994</v>
      </c>
      <c r="J133" s="508" t="s">
        <v>420</v>
      </c>
      <c r="K133" s="425"/>
      <c r="L133" s="426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</row>
    <row r="134" spans="1:221" ht="45" customHeight="1" x14ac:dyDescent="0.2">
      <c r="A134" s="444">
        <v>3354</v>
      </c>
      <c r="B134" s="445" t="s">
        <v>51</v>
      </c>
      <c r="C134" s="445" t="s">
        <v>91</v>
      </c>
      <c r="D134" s="445"/>
      <c r="E134" s="445">
        <v>88</v>
      </c>
      <c r="F134" s="445"/>
      <c r="G134" s="445"/>
      <c r="H134" s="448" t="s">
        <v>55</v>
      </c>
      <c r="I134" s="451">
        <f>SUMIF('Wege im Detail'!$A:$A,"03354",'Wege im Detail'!$P:$P)</f>
        <v>9.5820000000000007</v>
      </c>
      <c r="J134" s="508" t="s">
        <v>421</v>
      </c>
    </row>
    <row r="135" spans="1:221" ht="45" customHeight="1" x14ac:dyDescent="0.2">
      <c r="A135" s="444">
        <v>3357</v>
      </c>
      <c r="B135" s="445" t="s">
        <v>51</v>
      </c>
      <c r="C135" s="445" t="s">
        <v>91</v>
      </c>
      <c r="D135" s="445"/>
      <c r="E135" s="445">
        <v>79</v>
      </c>
      <c r="F135" s="445"/>
      <c r="G135" s="445"/>
      <c r="H135" s="448" t="s">
        <v>55</v>
      </c>
      <c r="I135" s="451">
        <f>SUMIF('Wege im Detail'!$A:$A,"03357",'Wege im Detail'!$P:$P)</f>
        <v>4.2149999999999999</v>
      </c>
      <c r="J135" s="508" t="s">
        <v>422</v>
      </c>
    </row>
    <row r="136" spans="1:221" ht="45" customHeight="1" x14ac:dyDescent="0.2">
      <c r="A136" s="444">
        <v>3358</v>
      </c>
      <c r="B136" s="445" t="s">
        <v>51</v>
      </c>
      <c r="C136" s="445" t="s">
        <v>91</v>
      </c>
      <c r="D136" s="445"/>
      <c r="E136" s="445">
        <v>89</v>
      </c>
      <c r="F136" s="445"/>
      <c r="G136" s="445"/>
      <c r="H136" s="448" t="s">
        <v>55</v>
      </c>
      <c r="I136" s="451">
        <f>SUMIF('Wege im Detail'!$A:$A,"03358",'Wege im Detail'!$P:$P)</f>
        <v>3.169</v>
      </c>
      <c r="J136" s="508" t="s">
        <v>424</v>
      </c>
      <c r="K136" s="427"/>
      <c r="L136" s="428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</row>
    <row r="137" spans="1:221" ht="45" customHeight="1" x14ac:dyDescent="0.2">
      <c r="A137" s="444">
        <v>3359</v>
      </c>
      <c r="B137" s="445" t="s">
        <v>51</v>
      </c>
      <c r="C137" s="445" t="s">
        <v>91</v>
      </c>
      <c r="D137" s="445"/>
      <c r="E137" s="445">
        <v>81</v>
      </c>
      <c r="F137" s="445"/>
      <c r="G137" s="445"/>
      <c r="H137" s="448" t="s">
        <v>55</v>
      </c>
      <c r="I137" s="451">
        <f>SUMIF('Wege im Detail'!$A:$A,"03359",'Wege im Detail'!$P:$P)</f>
        <v>11.063000000000001</v>
      </c>
      <c r="J137" s="508" t="s">
        <v>426</v>
      </c>
    </row>
    <row r="138" spans="1:221" ht="45" customHeight="1" x14ac:dyDescent="0.2">
      <c r="A138" s="444">
        <v>3360</v>
      </c>
      <c r="B138" s="445" t="s">
        <v>51</v>
      </c>
      <c r="C138" s="445" t="s">
        <v>91</v>
      </c>
      <c r="D138" s="445"/>
      <c r="E138" s="445">
        <v>90</v>
      </c>
      <c r="F138" s="445"/>
      <c r="G138" s="445"/>
      <c r="H138" s="448" t="s">
        <v>55</v>
      </c>
      <c r="I138" s="451">
        <f>SUMIF('Wege im Detail'!$A:$A,"03360",'Wege im Detail'!$P:$P)</f>
        <v>7.4210000000000003</v>
      </c>
      <c r="J138" s="508" t="s">
        <v>428</v>
      </c>
    </row>
    <row r="139" spans="1:221" ht="45" customHeight="1" x14ac:dyDescent="0.2">
      <c r="A139" s="444">
        <v>3364</v>
      </c>
      <c r="B139" s="445" t="s">
        <v>51</v>
      </c>
      <c r="C139" s="445" t="s">
        <v>91</v>
      </c>
      <c r="D139" s="445"/>
      <c r="E139" s="445">
        <v>95</v>
      </c>
      <c r="F139" s="445"/>
      <c r="G139" s="445"/>
      <c r="H139" s="448" t="s">
        <v>55</v>
      </c>
      <c r="I139" s="451">
        <f>SUMIF('Wege im Detail'!$A:$A,"03364",'Wege im Detail'!$P:$P)</f>
        <v>11.898</v>
      </c>
      <c r="J139" s="508" t="s">
        <v>429</v>
      </c>
    </row>
    <row r="140" spans="1:221" ht="45" customHeight="1" x14ac:dyDescent="0.2">
      <c r="A140" s="444">
        <v>3369</v>
      </c>
      <c r="B140" s="445" t="s">
        <v>51</v>
      </c>
      <c r="C140" s="445" t="s">
        <v>91</v>
      </c>
      <c r="D140" s="445"/>
      <c r="E140" s="445">
        <v>74</v>
      </c>
      <c r="F140" s="445"/>
      <c r="G140" s="445"/>
      <c r="H140" s="448" t="s">
        <v>55</v>
      </c>
      <c r="I140" s="451">
        <f>SUMIF('Wege im Detail'!$A:$A,"03369",'Wege im Detail'!$P:$P)</f>
        <v>5.4830000000000005</v>
      </c>
      <c r="J140" s="508" t="s">
        <v>430</v>
      </c>
    </row>
    <row r="141" spans="1:221" ht="45" customHeight="1" x14ac:dyDescent="0.2">
      <c r="A141" s="444">
        <v>3370</v>
      </c>
      <c r="B141" s="445" t="s">
        <v>51</v>
      </c>
      <c r="C141" s="445" t="s">
        <v>91</v>
      </c>
      <c r="D141" s="445"/>
      <c r="E141" s="445">
        <v>75</v>
      </c>
      <c r="F141" s="445"/>
      <c r="G141" s="445"/>
      <c r="H141" s="448" t="s">
        <v>55</v>
      </c>
      <c r="I141" s="451">
        <f>SUMIF('Wege im Detail'!$A:$A,"03370",'Wege im Detail'!$P:$P)</f>
        <v>10.223000000000001</v>
      </c>
      <c r="J141" s="508" t="s">
        <v>431</v>
      </c>
    </row>
    <row r="142" spans="1:221" ht="45" customHeight="1" x14ac:dyDescent="0.2">
      <c r="A142" s="444">
        <v>3371</v>
      </c>
      <c r="B142" s="445" t="s">
        <v>51</v>
      </c>
      <c r="C142" s="445" t="s">
        <v>91</v>
      </c>
      <c r="D142" s="445"/>
      <c r="E142" s="445">
        <v>91</v>
      </c>
      <c r="F142" s="445"/>
      <c r="G142" s="445"/>
      <c r="H142" s="448" t="s">
        <v>55</v>
      </c>
      <c r="I142" s="451">
        <f>SUMIF('Wege im Detail'!$A:$A,"03371",'Wege im Detail'!$P:$P)</f>
        <v>5.5470000000000006</v>
      </c>
      <c r="J142" s="508" t="s">
        <v>434</v>
      </c>
      <c r="K142" s="427"/>
      <c r="L142" s="428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</row>
    <row r="143" spans="1:221" ht="45" customHeight="1" x14ac:dyDescent="0.2">
      <c r="A143" s="444">
        <v>3373</v>
      </c>
      <c r="B143" s="445" t="s">
        <v>51</v>
      </c>
      <c r="C143" s="445" t="s">
        <v>91</v>
      </c>
      <c r="D143" s="445"/>
      <c r="E143" s="445">
        <v>80</v>
      </c>
      <c r="F143" s="445"/>
      <c r="G143" s="445"/>
      <c r="H143" s="448" t="s">
        <v>55</v>
      </c>
      <c r="I143" s="451">
        <f>SUMIF('Wege im Detail'!$A:$A,"03373",'Wege im Detail'!$P:$P)</f>
        <v>21.700000000000003</v>
      </c>
      <c r="J143" s="508" t="s">
        <v>435</v>
      </c>
    </row>
    <row r="144" spans="1:221" ht="45" customHeight="1" x14ac:dyDescent="0.2">
      <c r="A144" s="444">
        <v>3376</v>
      </c>
      <c r="B144" s="445" t="s">
        <v>51</v>
      </c>
      <c r="C144" s="445" t="s">
        <v>91</v>
      </c>
      <c r="D144" s="445"/>
      <c r="E144" s="445">
        <v>81</v>
      </c>
      <c r="F144" s="445"/>
      <c r="G144" s="445"/>
      <c r="H144" s="448" t="s">
        <v>55</v>
      </c>
      <c r="I144" s="451">
        <f>SUMIF('Wege im Detail'!$A:$A,"03376",'Wege im Detail'!$P:$P)</f>
        <v>11.216999999999999</v>
      </c>
      <c r="J144" s="508" t="s">
        <v>437</v>
      </c>
    </row>
    <row r="145" spans="1:221" ht="45" customHeight="1" x14ac:dyDescent="0.2">
      <c r="A145" s="444">
        <v>3377</v>
      </c>
      <c r="B145" s="445" t="s">
        <v>51</v>
      </c>
      <c r="C145" s="445" t="s">
        <v>91</v>
      </c>
      <c r="D145" s="445"/>
      <c r="E145" s="445">
        <v>82</v>
      </c>
      <c r="F145" s="445"/>
      <c r="G145" s="445"/>
      <c r="H145" s="448" t="s">
        <v>55</v>
      </c>
      <c r="I145" s="451">
        <f>SUMIF('Wege im Detail'!$A:$A,"03377",'Wege im Detail'!$P:$P)</f>
        <v>5.2840000000000007</v>
      </c>
      <c r="J145" s="508" t="s">
        <v>439</v>
      </c>
    </row>
    <row r="146" spans="1:221" ht="45" customHeight="1" x14ac:dyDescent="0.2">
      <c r="A146" s="444">
        <v>3378</v>
      </c>
      <c r="B146" s="445" t="s">
        <v>51</v>
      </c>
      <c r="C146" s="445" t="s">
        <v>91</v>
      </c>
      <c r="D146" s="445"/>
      <c r="E146" s="445">
        <v>85</v>
      </c>
      <c r="F146" s="445"/>
      <c r="G146" s="445"/>
      <c r="H146" s="448" t="s">
        <v>55</v>
      </c>
      <c r="I146" s="451">
        <f>SUMIF('Wege im Detail'!$A:$A,"03378",'Wege im Detail'!$P:$P)</f>
        <v>7.01</v>
      </c>
      <c r="J146" s="508" t="s">
        <v>440</v>
      </c>
      <c r="K146" s="427"/>
      <c r="L146" s="428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</row>
    <row r="147" spans="1:221" ht="45" customHeight="1" x14ac:dyDescent="0.2">
      <c r="A147" s="444">
        <v>3386</v>
      </c>
      <c r="B147" s="445" t="s">
        <v>51</v>
      </c>
      <c r="C147" s="445" t="s">
        <v>91</v>
      </c>
      <c r="D147" s="445"/>
      <c r="E147" s="445">
        <v>83</v>
      </c>
      <c r="F147" s="445"/>
      <c r="G147" s="445"/>
      <c r="H147" s="448" t="s">
        <v>55</v>
      </c>
      <c r="I147" s="451">
        <f>SUMIF('Wege im Detail'!$A:$A,"03386",'Wege im Detail'!$P:$P)</f>
        <v>9.6859999999999999</v>
      </c>
      <c r="J147" s="508" t="s">
        <v>441</v>
      </c>
      <c r="K147" s="427"/>
      <c r="L147" s="428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</row>
    <row r="148" spans="1:221" ht="45" customHeight="1" x14ac:dyDescent="0.2">
      <c r="A148" s="444">
        <v>3387</v>
      </c>
      <c r="B148" s="445" t="s">
        <v>51</v>
      </c>
      <c r="C148" s="445" t="s">
        <v>91</v>
      </c>
      <c r="D148" s="445"/>
      <c r="E148" s="445">
        <v>84</v>
      </c>
      <c r="F148" s="445"/>
      <c r="G148" s="445"/>
      <c r="H148" s="448" t="s">
        <v>55</v>
      </c>
      <c r="I148" s="451">
        <f>SUMIF('Wege im Detail'!$A:$A,"03387",'Wege im Detail'!$P:$P)</f>
        <v>6.1719999999999997</v>
      </c>
      <c r="J148" s="508" t="s">
        <v>442</v>
      </c>
    </row>
    <row r="149" spans="1:221" ht="45" customHeight="1" x14ac:dyDescent="0.2">
      <c r="A149" s="444">
        <v>3391</v>
      </c>
      <c r="B149" s="445" t="s">
        <v>51</v>
      </c>
      <c r="C149" s="445" t="s">
        <v>91</v>
      </c>
      <c r="D149" s="445"/>
      <c r="E149" s="445">
        <v>86</v>
      </c>
      <c r="F149" s="445"/>
      <c r="G149" s="445"/>
      <c r="H149" s="448" t="s">
        <v>55</v>
      </c>
      <c r="I149" s="451">
        <f>SUMIF('Wege im Detail'!$A:$A,"03391",'Wege im Detail'!$P:$P)</f>
        <v>9</v>
      </c>
      <c r="J149" s="508" t="s">
        <v>443</v>
      </c>
    </row>
    <row r="150" spans="1:221" ht="45" customHeight="1" x14ac:dyDescent="0.2">
      <c r="A150" s="444">
        <v>3393</v>
      </c>
      <c r="B150" s="445" t="s">
        <v>51</v>
      </c>
      <c r="C150" s="445" t="s">
        <v>91</v>
      </c>
      <c r="D150" s="445"/>
      <c r="E150" s="445">
        <v>87</v>
      </c>
      <c r="F150" s="445"/>
      <c r="G150" s="445"/>
      <c r="H150" s="448" t="s">
        <v>55</v>
      </c>
      <c r="I150" s="451">
        <f>SUMIF('Wege im Detail'!$A:$A,"03393",'Wege im Detail'!$P:$P)</f>
        <v>10.097</v>
      </c>
      <c r="J150" s="508" t="s">
        <v>444</v>
      </c>
    </row>
    <row r="151" spans="1:221" ht="45" customHeight="1" x14ac:dyDescent="0.2">
      <c r="A151" s="444">
        <v>3395</v>
      </c>
      <c r="B151" s="445" t="s">
        <v>51</v>
      </c>
      <c r="C151" s="445" t="s">
        <v>91</v>
      </c>
      <c r="D151" s="445"/>
      <c r="E151" s="445">
        <v>120</v>
      </c>
      <c r="F151" s="445"/>
      <c r="G151" s="445"/>
      <c r="H151" s="448" t="s">
        <v>55</v>
      </c>
      <c r="I151" s="451">
        <f>SUMIF('Wege im Detail'!$A:$A,"03395",'Wege im Detail'!$P:$P)</f>
        <v>7.84</v>
      </c>
      <c r="J151" s="508" t="s">
        <v>447</v>
      </c>
      <c r="K151" s="427"/>
      <c r="L151" s="428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</row>
    <row r="152" spans="1:221" ht="45" customHeight="1" x14ac:dyDescent="0.2">
      <c r="A152" s="444">
        <v>3407</v>
      </c>
      <c r="B152" s="445" t="s">
        <v>51</v>
      </c>
      <c r="C152" s="445" t="s">
        <v>91</v>
      </c>
      <c r="D152" s="445"/>
      <c r="E152" s="445">
        <v>73</v>
      </c>
      <c r="F152" s="445"/>
      <c r="G152" s="445"/>
      <c r="H152" s="448" t="s">
        <v>55</v>
      </c>
      <c r="I152" s="451">
        <f>SUMIF('Wege im Detail'!$A:$A,"03407",'Wege im Detail'!$P:$P)</f>
        <v>3.3689999999999998</v>
      </c>
      <c r="J152" s="508" t="s">
        <v>448</v>
      </c>
    </row>
    <row r="153" spans="1:221" ht="45" customHeight="1" x14ac:dyDescent="0.2">
      <c r="A153" s="444">
        <v>3409</v>
      </c>
      <c r="B153" s="445" t="s">
        <v>51</v>
      </c>
      <c r="C153" s="445" t="s">
        <v>91</v>
      </c>
      <c r="D153" s="479"/>
      <c r="E153" s="445">
        <v>121</v>
      </c>
      <c r="F153" s="445"/>
      <c r="G153" s="445"/>
      <c r="H153" s="448" t="s">
        <v>55</v>
      </c>
      <c r="I153" s="451">
        <f>SUMIF('Wege im Detail'!$A:$A,"03409",'Wege im Detail'!$P:$P)</f>
        <v>13.399999999999999</v>
      </c>
      <c r="J153" s="508" t="s">
        <v>450</v>
      </c>
      <c r="K153" s="427"/>
      <c r="L153" s="428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</row>
    <row r="154" spans="1:221" ht="45" customHeight="1" x14ac:dyDescent="0.2">
      <c r="A154" s="444">
        <v>3417</v>
      </c>
      <c r="B154" s="445" t="s">
        <v>51</v>
      </c>
      <c r="C154" s="445" t="s">
        <v>91</v>
      </c>
      <c r="D154" s="445"/>
      <c r="E154" s="445">
        <v>123</v>
      </c>
      <c r="F154" s="445"/>
      <c r="G154" s="445"/>
      <c r="H154" s="448" t="s">
        <v>55</v>
      </c>
      <c r="I154" s="451">
        <f>SUMIF('Wege im Detail'!$A:$A,"03417",'Wege im Detail'!$P:$P)</f>
        <v>8.0069999999999997</v>
      </c>
      <c r="J154" s="508" t="s">
        <v>452</v>
      </c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  <c r="DZ154" s="180"/>
      <c r="EA154" s="180"/>
      <c r="EB154" s="180"/>
      <c r="EC154" s="180"/>
      <c r="ED154" s="180"/>
      <c r="EE154" s="180"/>
      <c r="EF154" s="180"/>
      <c r="EG154" s="180"/>
      <c r="EH154" s="180"/>
      <c r="EI154" s="180"/>
      <c r="EJ154" s="180"/>
      <c r="EK154" s="180"/>
      <c r="EL154" s="180"/>
      <c r="EM154" s="180"/>
      <c r="EN154" s="180"/>
      <c r="EO154" s="180"/>
      <c r="EP154" s="180"/>
      <c r="EQ154" s="180"/>
      <c r="ER154" s="180"/>
      <c r="ES154" s="180"/>
      <c r="ET154" s="180"/>
      <c r="EU154" s="180"/>
      <c r="EV154" s="180"/>
      <c r="EW154" s="180"/>
      <c r="EX154" s="180"/>
      <c r="EY154" s="180"/>
      <c r="EZ154" s="180"/>
      <c r="FA154" s="180"/>
      <c r="FB154" s="180"/>
      <c r="FC154" s="180"/>
      <c r="FD154" s="180"/>
      <c r="FE154" s="180"/>
      <c r="FF154" s="180"/>
      <c r="FG154" s="180"/>
      <c r="FH154" s="180"/>
      <c r="FI154" s="180"/>
      <c r="FJ154" s="180"/>
      <c r="FK154" s="180"/>
      <c r="FL154" s="180"/>
      <c r="FM154" s="180"/>
      <c r="FN154" s="180"/>
      <c r="FO154" s="180"/>
      <c r="FP154" s="180"/>
      <c r="FQ154" s="180"/>
      <c r="FR154" s="180"/>
      <c r="FS154" s="180"/>
      <c r="FT154" s="180"/>
      <c r="FU154" s="180"/>
      <c r="FV154" s="180"/>
      <c r="FW154" s="180"/>
      <c r="FX154" s="180"/>
      <c r="FY154" s="180"/>
      <c r="FZ154" s="180"/>
      <c r="GA154" s="180"/>
      <c r="GB154" s="180"/>
      <c r="GC154" s="180"/>
      <c r="GD154" s="180"/>
      <c r="GE154" s="180"/>
      <c r="GF154" s="180"/>
      <c r="GG154" s="180"/>
      <c r="GH154" s="180"/>
      <c r="GI154" s="180"/>
      <c r="GJ154" s="180"/>
      <c r="GK154" s="180"/>
      <c r="GL154" s="180"/>
      <c r="GM154" s="180"/>
      <c r="GN154" s="180"/>
      <c r="GO154" s="180"/>
      <c r="GP154" s="180"/>
      <c r="GQ154" s="180"/>
      <c r="GR154" s="180"/>
      <c r="GS154" s="180"/>
      <c r="GT154" s="180"/>
      <c r="GU154" s="180"/>
      <c r="GV154" s="180"/>
      <c r="GW154" s="180"/>
      <c r="GX154" s="180"/>
      <c r="GY154" s="180"/>
      <c r="GZ154" s="180"/>
      <c r="HA154" s="180"/>
      <c r="HB154" s="180"/>
      <c r="HC154" s="180"/>
      <c r="HD154" s="180"/>
      <c r="HE154" s="180"/>
      <c r="HF154" s="180"/>
      <c r="HG154" s="180"/>
      <c r="HH154" s="180"/>
      <c r="HI154" s="180"/>
      <c r="HJ154" s="180"/>
      <c r="HK154" s="180"/>
      <c r="HL154" s="180"/>
      <c r="HM154" s="180"/>
    </row>
    <row r="155" spans="1:221" s="180" customFormat="1" ht="45" customHeight="1" x14ac:dyDescent="0.2">
      <c r="A155" s="444">
        <v>3418</v>
      </c>
      <c r="B155" s="445" t="s">
        <v>51</v>
      </c>
      <c r="C155" s="445" t="s">
        <v>91</v>
      </c>
      <c r="D155" s="479"/>
      <c r="E155" s="445">
        <v>122</v>
      </c>
      <c r="F155" s="445"/>
      <c r="G155" s="445"/>
      <c r="H155" s="448" t="s">
        <v>55</v>
      </c>
      <c r="I155" s="451">
        <f>SUMIF('Wege im Detail'!$A:$A,"03418",'Wege im Detail'!$P:$P)</f>
        <v>6.6669999999999998</v>
      </c>
      <c r="J155" s="508" t="s">
        <v>453</v>
      </c>
      <c r="K155" s="427"/>
      <c r="L155" s="428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</row>
    <row r="156" spans="1:221" s="180" customFormat="1" ht="45" customHeight="1" x14ac:dyDescent="0.2">
      <c r="A156" s="444">
        <v>3442</v>
      </c>
      <c r="B156" s="445" t="s">
        <v>51</v>
      </c>
      <c r="C156" s="445" t="s">
        <v>91</v>
      </c>
      <c r="D156" s="479"/>
      <c r="E156" s="445">
        <v>68</v>
      </c>
      <c r="F156" s="448"/>
      <c r="G156" s="448"/>
      <c r="H156" s="448" t="s">
        <v>55</v>
      </c>
      <c r="I156" s="451">
        <f>SUMIF('Wege im Detail'!$A:$A,"03442",'Wege im Detail'!$P:$P)</f>
        <v>22.896000000000001</v>
      </c>
      <c r="J156" s="508" t="s">
        <v>455</v>
      </c>
      <c r="K156" s="425"/>
      <c r="L156" s="426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</row>
    <row r="157" spans="1:221" ht="45" customHeight="1" x14ac:dyDescent="0.2">
      <c r="A157" s="444">
        <v>3443</v>
      </c>
      <c r="B157" s="445" t="s">
        <v>51</v>
      </c>
      <c r="C157" s="445" t="s">
        <v>91</v>
      </c>
      <c r="D157" s="445"/>
      <c r="E157" s="445">
        <v>70</v>
      </c>
      <c r="F157" s="445"/>
      <c r="G157" s="445"/>
      <c r="H157" s="448" t="s">
        <v>55</v>
      </c>
      <c r="I157" s="451">
        <f>SUMIF('Wege im Detail'!$A:$A,"03443",'Wege im Detail'!$P:$P)</f>
        <v>4.8209999999999997</v>
      </c>
      <c r="J157" s="508" t="s">
        <v>459</v>
      </c>
    </row>
    <row r="158" spans="1:221" ht="45" customHeight="1" x14ac:dyDescent="0.2">
      <c r="A158" s="444">
        <v>3444</v>
      </c>
      <c r="B158" s="445" t="s">
        <v>51</v>
      </c>
      <c r="C158" s="445" t="s">
        <v>91</v>
      </c>
      <c r="D158" s="445"/>
      <c r="E158" s="445">
        <v>70</v>
      </c>
      <c r="F158" s="445"/>
      <c r="G158" s="445"/>
      <c r="H158" s="448" t="s">
        <v>55</v>
      </c>
      <c r="I158" s="451">
        <f>SUMIF('Wege im Detail'!$A:$A,"03444",'Wege im Detail'!$P:$P)</f>
        <v>4.7240000000000002</v>
      </c>
      <c r="J158" s="508" t="s">
        <v>460</v>
      </c>
    </row>
    <row r="159" spans="1:221" ht="45" customHeight="1" x14ac:dyDescent="0.2">
      <c r="A159" s="444">
        <v>3447</v>
      </c>
      <c r="B159" s="445" t="s">
        <v>51</v>
      </c>
      <c r="C159" s="445" t="s">
        <v>91</v>
      </c>
      <c r="D159" s="445"/>
      <c r="E159" s="445">
        <v>96</v>
      </c>
      <c r="F159" s="445"/>
      <c r="G159" s="445"/>
      <c r="H159" s="448" t="s">
        <v>55</v>
      </c>
      <c r="I159" s="451">
        <f>SUMIF('Wege im Detail'!$A:$A,"03447",'Wege im Detail'!$P:$P)</f>
        <v>6.8189999999999991</v>
      </c>
      <c r="J159" s="508" t="s">
        <v>462</v>
      </c>
    </row>
    <row r="160" spans="1:221" s="8" customFormat="1" ht="45" customHeight="1" x14ac:dyDescent="0.2">
      <c r="A160" s="444">
        <v>3451</v>
      </c>
      <c r="B160" s="445" t="s">
        <v>51</v>
      </c>
      <c r="C160" s="445" t="s">
        <v>91</v>
      </c>
      <c r="D160" s="445"/>
      <c r="E160" s="445">
        <v>105</v>
      </c>
      <c r="F160" s="445" t="s">
        <v>465</v>
      </c>
      <c r="G160" s="445"/>
      <c r="H160" s="448" t="s">
        <v>55</v>
      </c>
      <c r="I160" s="451">
        <f>SUMIF('Wege im Detail'!$A:$A,"03451",'Wege im Detail'!$P:$P)</f>
        <v>24.669</v>
      </c>
      <c r="J160" s="508" t="s">
        <v>467</v>
      </c>
      <c r="K160" s="425"/>
      <c r="L160" s="426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</row>
    <row r="161" spans="1:221" ht="45" customHeight="1" x14ac:dyDescent="0.2">
      <c r="A161" s="444">
        <v>3456</v>
      </c>
      <c r="B161" s="445" t="s">
        <v>51</v>
      </c>
      <c r="C161" s="445" t="s">
        <v>91</v>
      </c>
      <c r="D161" s="445"/>
      <c r="E161" s="445">
        <v>106</v>
      </c>
      <c r="F161" s="445"/>
      <c r="G161" s="445"/>
      <c r="H161" s="448" t="s">
        <v>55</v>
      </c>
      <c r="I161" s="451">
        <f>SUMIF('Wege im Detail'!$A:$A,"03456",'Wege im Detail'!$P:$P)</f>
        <v>4.1760000000000002</v>
      </c>
      <c r="J161" s="508" t="s">
        <v>468</v>
      </c>
    </row>
    <row r="162" spans="1:221" ht="45" customHeight="1" x14ac:dyDescent="0.2">
      <c r="A162" s="444">
        <v>3457</v>
      </c>
      <c r="B162" s="445" t="s">
        <v>51</v>
      </c>
      <c r="C162" s="445" t="s">
        <v>91</v>
      </c>
      <c r="D162" s="445"/>
      <c r="E162" s="445">
        <v>61</v>
      </c>
      <c r="F162" s="445"/>
      <c r="G162" s="445"/>
      <c r="H162" s="448" t="s">
        <v>55</v>
      </c>
      <c r="I162" s="451">
        <f>SUMIF('Wege im Detail'!$A:$A,"03457",'Wege im Detail'!$P:$P)</f>
        <v>11.251000000000001</v>
      </c>
      <c r="J162" s="508" t="s">
        <v>469</v>
      </c>
      <c r="K162" s="427"/>
      <c r="L162" s="428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</row>
    <row r="163" spans="1:221" ht="45" customHeight="1" x14ac:dyDescent="0.2">
      <c r="A163" s="444">
        <v>3469</v>
      </c>
      <c r="B163" s="445" t="s">
        <v>51</v>
      </c>
      <c r="C163" s="445" t="s">
        <v>91</v>
      </c>
      <c r="D163" s="445"/>
      <c r="E163" s="445">
        <v>57</v>
      </c>
      <c r="F163" s="445"/>
      <c r="G163" s="445"/>
      <c r="H163" s="448" t="s">
        <v>55</v>
      </c>
      <c r="I163" s="451">
        <f>SUMIF('Wege im Detail'!$A:$A,"03469",'Wege im Detail'!$P:$P)</f>
        <v>7.093</v>
      </c>
      <c r="J163" s="508" t="s">
        <v>470</v>
      </c>
    </row>
    <row r="164" spans="1:221" ht="45" customHeight="1" x14ac:dyDescent="0.2">
      <c r="A164" s="444">
        <v>3470</v>
      </c>
      <c r="B164" s="445" t="s">
        <v>51</v>
      </c>
      <c r="C164" s="455" t="s">
        <v>214</v>
      </c>
      <c r="D164" s="470"/>
      <c r="E164" s="445">
        <v>202</v>
      </c>
      <c r="F164" s="445" t="s">
        <v>471</v>
      </c>
      <c r="G164" s="445"/>
      <c r="H164" s="448" t="s">
        <v>55</v>
      </c>
      <c r="I164" s="451">
        <f>SUMIF('Wege im Detail'!$A:$A,"03470",'Wege im Detail'!$P:$P)</f>
        <v>14.205</v>
      </c>
      <c r="J164" s="508" t="s">
        <v>472</v>
      </c>
    </row>
    <row r="165" spans="1:221" ht="45" customHeight="1" x14ac:dyDescent="0.2">
      <c r="A165" s="444">
        <v>3472</v>
      </c>
      <c r="B165" s="445" t="s">
        <v>51</v>
      </c>
      <c r="C165" s="445" t="s">
        <v>91</v>
      </c>
      <c r="D165" s="445"/>
      <c r="E165" s="445">
        <v>61</v>
      </c>
      <c r="F165" s="445"/>
      <c r="G165" s="445"/>
      <c r="H165" s="448" t="s">
        <v>55</v>
      </c>
      <c r="I165" s="451">
        <f>SUMIF('Wege im Detail'!$A:$A,"03472",'Wege im Detail'!$P:$P)</f>
        <v>1.62</v>
      </c>
      <c r="J165" s="508" t="s">
        <v>473</v>
      </c>
    </row>
    <row r="166" spans="1:221" ht="45" customHeight="1" x14ac:dyDescent="0.2">
      <c r="A166" s="444">
        <v>3473</v>
      </c>
      <c r="B166" s="445" t="s">
        <v>51</v>
      </c>
      <c r="C166" s="445" t="s">
        <v>91</v>
      </c>
      <c r="D166" s="445"/>
      <c r="E166" s="445">
        <v>59</v>
      </c>
      <c r="F166" s="445"/>
      <c r="G166" s="445"/>
      <c r="H166" s="448" t="s">
        <v>55</v>
      </c>
      <c r="I166" s="451">
        <f>SUMIF('Wege im Detail'!$A:$A,"03473",'Wege im Detail'!$P:$P)</f>
        <v>10.173</v>
      </c>
      <c r="J166" s="508" t="s">
        <v>474</v>
      </c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7"/>
      <c r="ET166" s="167"/>
      <c r="EU166" s="167"/>
      <c r="EV166" s="167"/>
      <c r="EW166" s="167"/>
      <c r="EX166" s="167"/>
      <c r="EY166" s="167"/>
      <c r="EZ166" s="167"/>
      <c r="FA166" s="167"/>
      <c r="FB166" s="167"/>
      <c r="FC166" s="167"/>
      <c r="FD166" s="167"/>
      <c r="FE166" s="167"/>
      <c r="FF166" s="167"/>
      <c r="FG166" s="167"/>
      <c r="FH166" s="167"/>
      <c r="FI166" s="167"/>
      <c r="FJ166" s="167"/>
      <c r="FK166" s="167"/>
      <c r="FL166" s="167"/>
      <c r="FM166" s="167"/>
      <c r="FN166" s="167"/>
      <c r="FO166" s="167"/>
      <c r="FP166" s="167"/>
      <c r="FQ166" s="167"/>
      <c r="FR166" s="167"/>
      <c r="FS166" s="167"/>
      <c r="FT166" s="167"/>
      <c r="FU166" s="167"/>
      <c r="FV166" s="167"/>
      <c r="FW166" s="167"/>
      <c r="FX166" s="167"/>
      <c r="FY166" s="167"/>
      <c r="FZ166" s="167"/>
      <c r="GA166" s="167"/>
      <c r="GB166" s="167"/>
      <c r="GC166" s="167"/>
      <c r="GD166" s="167"/>
      <c r="GE166" s="167"/>
      <c r="GF166" s="167"/>
      <c r="GG166" s="167"/>
      <c r="GH166" s="167"/>
      <c r="GI166" s="167"/>
      <c r="GJ166" s="167"/>
      <c r="GK166" s="167"/>
      <c r="GL166" s="167"/>
      <c r="GM166" s="167"/>
      <c r="GN166" s="167"/>
      <c r="GO166" s="167"/>
      <c r="GP166" s="167"/>
      <c r="GQ166" s="167"/>
      <c r="GR166" s="167"/>
      <c r="GS166" s="167"/>
      <c r="GT166" s="167"/>
      <c r="GU166" s="167"/>
      <c r="GV166" s="167"/>
      <c r="GW166" s="167"/>
      <c r="GX166" s="167"/>
      <c r="GY166" s="167"/>
      <c r="GZ166" s="167"/>
      <c r="HA166" s="167"/>
      <c r="HB166" s="167"/>
      <c r="HC166" s="167"/>
      <c r="HD166" s="167"/>
      <c r="HE166" s="167"/>
      <c r="HF166" s="167"/>
      <c r="HG166" s="167"/>
      <c r="HH166" s="167"/>
      <c r="HI166" s="167"/>
      <c r="HJ166" s="167"/>
      <c r="HK166" s="167"/>
      <c r="HL166" s="167"/>
      <c r="HM166" s="167"/>
    </row>
    <row r="167" spans="1:221" ht="45" customHeight="1" x14ac:dyDescent="0.2">
      <c r="A167" s="444">
        <v>3476</v>
      </c>
      <c r="B167" s="445" t="s">
        <v>51</v>
      </c>
      <c r="C167" s="445" t="s">
        <v>91</v>
      </c>
      <c r="D167" s="445"/>
      <c r="E167" s="445">
        <v>98</v>
      </c>
      <c r="F167" s="445"/>
      <c r="G167" s="445"/>
      <c r="H167" s="448" t="s">
        <v>55</v>
      </c>
      <c r="I167" s="451">
        <f>SUMIF('Wege im Detail'!$A:$A,"03476",'Wege im Detail'!$P:$P)</f>
        <v>8.1209999999999987</v>
      </c>
      <c r="J167" s="508" t="s">
        <v>475</v>
      </c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167"/>
      <c r="DH167" s="167"/>
      <c r="DI167" s="167"/>
      <c r="DJ167" s="167"/>
      <c r="DK167" s="167"/>
      <c r="DL167" s="167"/>
      <c r="DM167" s="167"/>
      <c r="DN167" s="167"/>
      <c r="DO167" s="167"/>
      <c r="DP167" s="167"/>
      <c r="DQ167" s="167"/>
      <c r="DR167" s="167"/>
      <c r="DS167" s="167"/>
      <c r="DT167" s="167"/>
      <c r="DU167" s="167"/>
      <c r="DV167" s="167"/>
      <c r="DW167" s="167"/>
      <c r="DX167" s="167"/>
      <c r="DY167" s="167"/>
      <c r="DZ167" s="167"/>
      <c r="EA167" s="1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7"/>
      <c r="ET167" s="167"/>
      <c r="EU167" s="167"/>
      <c r="EV167" s="167"/>
      <c r="EW167" s="167"/>
      <c r="EX167" s="167"/>
      <c r="EY167" s="167"/>
      <c r="EZ167" s="167"/>
      <c r="FA167" s="167"/>
      <c r="FB167" s="167"/>
      <c r="FC167" s="167"/>
      <c r="FD167" s="167"/>
      <c r="FE167" s="167"/>
      <c r="FF167" s="167"/>
      <c r="FG167" s="167"/>
      <c r="FH167" s="167"/>
      <c r="FI167" s="167"/>
      <c r="FJ167" s="167"/>
      <c r="FK167" s="167"/>
      <c r="FL167" s="167"/>
      <c r="FM167" s="167"/>
      <c r="FN167" s="167"/>
      <c r="FO167" s="167"/>
      <c r="FP167" s="167"/>
      <c r="FQ167" s="167"/>
      <c r="FR167" s="167"/>
      <c r="FS167" s="167"/>
      <c r="FT167" s="167"/>
      <c r="FU167" s="167"/>
      <c r="FV167" s="167"/>
      <c r="FW167" s="167"/>
      <c r="FX167" s="167"/>
      <c r="FY167" s="167"/>
      <c r="FZ167" s="167"/>
      <c r="GA167" s="167"/>
      <c r="GB167" s="167"/>
      <c r="GC167" s="167"/>
      <c r="GD167" s="167"/>
      <c r="GE167" s="167"/>
      <c r="GF167" s="167"/>
      <c r="GG167" s="167"/>
      <c r="GH167" s="167"/>
      <c r="GI167" s="167"/>
      <c r="GJ167" s="167"/>
      <c r="GK167" s="167"/>
      <c r="GL167" s="167"/>
      <c r="GM167" s="167"/>
      <c r="GN167" s="167"/>
      <c r="GO167" s="167"/>
      <c r="GP167" s="167"/>
      <c r="GQ167" s="167"/>
      <c r="GR167" s="167"/>
      <c r="GS167" s="167"/>
      <c r="GT167" s="167"/>
      <c r="GU167" s="167"/>
      <c r="GV167" s="167"/>
      <c r="GW167" s="167"/>
      <c r="GX167" s="167"/>
      <c r="GY167" s="167"/>
      <c r="GZ167" s="167"/>
      <c r="HA167" s="167"/>
      <c r="HB167" s="167"/>
      <c r="HC167" s="167"/>
      <c r="HD167" s="167"/>
      <c r="HE167" s="167"/>
      <c r="HF167" s="167"/>
      <c r="HG167" s="167"/>
      <c r="HH167" s="167"/>
      <c r="HI167" s="167"/>
      <c r="HJ167" s="167"/>
      <c r="HK167" s="167"/>
      <c r="HL167" s="167"/>
      <c r="HM167" s="167"/>
    </row>
    <row r="168" spans="1:221" ht="45" customHeight="1" x14ac:dyDescent="0.2">
      <c r="A168" s="444">
        <v>3477</v>
      </c>
      <c r="B168" s="445" t="s">
        <v>51</v>
      </c>
      <c r="C168" s="445" t="s">
        <v>91</v>
      </c>
      <c r="D168" s="445"/>
      <c r="E168" s="445">
        <v>107</v>
      </c>
      <c r="F168" s="445" t="s">
        <v>478</v>
      </c>
      <c r="G168" s="445"/>
      <c r="H168" s="448" t="s">
        <v>55</v>
      </c>
      <c r="I168" s="451">
        <f>SUMIF('Wege im Detail'!$A:$A,"03477",'Wege im Detail'!$P:$P)</f>
        <v>22.094000000000001</v>
      </c>
      <c r="J168" s="516" t="s">
        <v>479</v>
      </c>
      <c r="K168" s="427"/>
      <c r="L168" s="428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</row>
    <row r="169" spans="1:221" ht="45" customHeight="1" x14ac:dyDescent="0.2">
      <c r="A169" s="444">
        <v>6500</v>
      </c>
      <c r="B169" s="445" t="s">
        <v>51</v>
      </c>
      <c r="C169" s="445" t="s">
        <v>52</v>
      </c>
      <c r="D169" s="445"/>
      <c r="E169" s="445">
        <v>16</v>
      </c>
      <c r="F169" s="445" t="s">
        <v>481</v>
      </c>
      <c r="G169" s="445"/>
      <c r="H169" s="448" t="s">
        <v>55</v>
      </c>
      <c r="I169" s="451">
        <f>SUMIF('Wege im Detail'!$A:$A,"06500",'Wege im Detail'!$P:$P)</f>
        <v>61.263000000000005</v>
      </c>
      <c r="J169" s="508" t="s">
        <v>482</v>
      </c>
      <c r="K169" s="427"/>
      <c r="L169" s="428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</row>
    <row r="170" spans="1:221" ht="45" customHeight="1" x14ac:dyDescent="0.2">
      <c r="A170" s="444">
        <v>6602</v>
      </c>
      <c r="B170" s="445" t="s">
        <v>51</v>
      </c>
      <c r="C170" s="445" t="s">
        <v>91</v>
      </c>
      <c r="D170" s="445"/>
      <c r="E170" s="445">
        <v>134</v>
      </c>
      <c r="F170" s="445"/>
      <c r="G170" s="445"/>
      <c r="H170" s="448" t="s">
        <v>55</v>
      </c>
      <c r="I170" s="451">
        <f>SUMIF('Wege im Detail'!$A:$A,"06602",'Wege im Detail'!$P:$P)</f>
        <v>2.7389999999999999</v>
      </c>
      <c r="J170" s="508" t="s">
        <v>483</v>
      </c>
    </row>
    <row r="171" spans="1:221" s="56" customFormat="1" ht="45" customHeight="1" x14ac:dyDescent="0.2">
      <c r="A171" s="444">
        <v>7439</v>
      </c>
      <c r="B171" s="445" t="s">
        <v>84</v>
      </c>
      <c r="C171" s="455" t="s">
        <v>85</v>
      </c>
      <c r="D171" s="479"/>
      <c r="E171" s="445" t="s">
        <v>489</v>
      </c>
      <c r="F171" s="445" t="s">
        <v>138</v>
      </c>
      <c r="G171" s="445"/>
      <c r="H171" s="448" t="s">
        <v>55</v>
      </c>
      <c r="I171" s="451">
        <f>SUMIF('Wege im Detail'!$A:$A,"07439",'Wege im Detail'!$P:$P)</f>
        <v>2.806</v>
      </c>
      <c r="J171" s="508" t="s">
        <v>490</v>
      </c>
      <c r="K171" s="427"/>
      <c r="L171" s="428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</row>
    <row r="172" spans="1:221" ht="45" customHeight="1" x14ac:dyDescent="0.2">
      <c r="A172" s="444">
        <v>7443</v>
      </c>
      <c r="B172" s="445" t="s">
        <v>51</v>
      </c>
      <c r="C172" s="445" t="s">
        <v>52</v>
      </c>
      <c r="D172" s="479"/>
      <c r="E172" s="445">
        <v>600</v>
      </c>
      <c r="F172" s="445" t="s">
        <v>492</v>
      </c>
      <c r="G172" s="445"/>
      <c r="H172" s="448" t="s">
        <v>55</v>
      </c>
      <c r="I172" s="451">
        <f>SUMIF('Wege im Detail'!$A:$A,"07443",'Wege im Detail'!$P:$P)</f>
        <v>120.56900000000002</v>
      </c>
      <c r="J172" s="508" t="s">
        <v>2270</v>
      </c>
      <c r="K172" s="427"/>
      <c r="L172" s="428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</row>
    <row r="173" spans="1:221" ht="45" customHeight="1" x14ac:dyDescent="0.2">
      <c r="A173" s="444">
        <v>7589</v>
      </c>
      <c r="B173" s="445" t="s">
        <v>51</v>
      </c>
      <c r="C173" s="445" t="s">
        <v>52</v>
      </c>
      <c r="D173" s="479"/>
      <c r="E173" s="445">
        <v>19</v>
      </c>
      <c r="F173" s="445" t="s">
        <v>494</v>
      </c>
      <c r="G173" s="445"/>
      <c r="H173" s="448" t="s">
        <v>55</v>
      </c>
      <c r="I173" s="451">
        <f>SUMIF('Wege im Detail'!$A:$A,"007589",'Wege im Detail'!$P:$P)</f>
        <v>6.7990000000000004</v>
      </c>
      <c r="J173" s="508" t="s">
        <v>495</v>
      </c>
      <c r="K173" s="427"/>
      <c r="L173" s="428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</row>
    <row r="174" spans="1:221" ht="45" customHeight="1" x14ac:dyDescent="0.2">
      <c r="A174" s="444">
        <v>8500</v>
      </c>
      <c r="B174" s="445" t="s">
        <v>84</v>
      </c>
      <c r="C174" s="455" t="s">
        <v>85</v>
      </c>
      <c r="D174" s="445"/>
      <c r="E174" s="445" t="s">
        <v>497</v>
      </c>
      <c r="F174" s="445" t="s">
        <v>498</v>
      </c>
      <c r="G174" s="445"/>
      <c r="H174" s="448" t="s">
        <v>55</v>
      </c>
      <c r="I174" s="451">
        <f>SUMIF('Wege im Detail'!$A:$A,"08500",'Wege im Detail'!$P:$P)</f>
        <v>6.8040000000000003</v>
      </c>
      <c r="J174" s="508" t="s">
        <v>499</v>
      </c>
      <c r="K174" s="427"/>
      <c r="L174" s="428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</row>
    <row r="175" spans="1:221" ht="45" customHeight="1" x14ac:dyDescent="0.2">
      <c r="A175" s="444">
        <v>8501</v>
      </c>
      <c r="B175" s="445" t="s">
        <v>84</v>
      </c>
      <c r="C175" s="455" t="s">
        <v>85</v>
      </c>
      <c r="D175" s="445"/>
      <c r="E175" s="445" t="s">
        <v>500</v>
      </c>
      <c r="F175" s="445" t="s">
        <v>147</v>
      </c>
      <c r="G175" s="445"/>
      <c r="H175" s="448" t="s">
        <v>55</v>
      </c>
      <c r="I175" s="451">
        <f>SUMIF('Wege im Detail'!$A:$A,"08501",'Wege im Detail'!$P:$P)</f>
        <v>9.5239999999999991</v>
      </c>
      <c r="J175" s="514" t="s">
        <v>501</v>
      </c>
      <c r="K175" s="427"/>
      <c r="L175" s="428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</row>
    <row r="176" spans="1:221" ht="45" customHeight="1" x14ac:dyDescent="0.2">
      <c r="A176" s="444">
        <v>8507</v>
      </c>
      <c r="B176" s="445" t="s">
        <v>84</v>
      </c>
      <c r="C176" s="455" t="s">
        <v>85</v>
      </c>
      <c r="D176" s="445"/>
      <c r="E176" s="445" t="s">
        <v>503</v>
      </c>
      <c r="F176" s="445" t="s">
        <v>88</v>
      </c>
      <c r="G176" s="445"/>
      <c r="H176" s="448" t="s">
        <v>55</v>
      </c>
      <c r="I176" s="451">
        <f>SUMIF('Wege im Detail'!$A:$A,"08507",'Wege im Detail'!$P:$P)</f>
        <v>7.633</v>
      </c>
      <c r="J176" s="508" t="s">
        <v>504</v>
      </c>
    </row>
    <row r="177" spans="1:221" ht="45" customHeight="1" x14ac:dyDescent="0.2">
      <c r="A177" s="444">
        <v>8508</v>
      </c>
      <c r="B177" s="445" t="s">
        <v>84</v>
      </c>
      <c r="C177" s="455" t="s">
        <v>85</v>
      </c>
      <c r="D177" s="445"/>
      <c r="E177" s="445" t="s">
        <v>506</v>
      </c>
      <c r="F177" s="445" t="s">
        <v>138</v>
      </c>
      <c r="G177" s="445"/>
      <c r="H177" s="448" t="s">
        <v>55</v>
      </c>
      <c r="I177" s="451">
        <f>SUMIF('Wege im Detail'!$A:$A,"08508",'Wege im Detail'!$P:$P)</f>
        <v>7.609</v>
      </c>
      <c r="J177" s="508" t="s">
        <v>508</v>
      </c>
    </row>
    <row r="178" spans="1:221" ht="45" customHeight="1" x14ac:dyDescent="0.2">
      <c r="A178" s="444">
        <v>8513</v>
      </c>
      <c r="B178" s="445" t="s">
        <v>84</v>
      </c>
      <c r="C178" s="455" t="s">
        <v>85</v>
      </c>
      <c r="D178" s="445"/>
      <c r="E178" s="445" t="s">
        <v>509</v>
      </c>
      <c r="F178" s="445" t="s">
        <v>142</v>
      </c>
      <c r="G178" s="445"/>
      <c r="H178" s="448" t="s">
        <v>55</v>
      </c>
      <c r="I178" s="451">
        <f>SUMIF('Wege im Detail'!$A:$A,"08513",'Wege im Detail'!$P:$P)</f>
        <v>6.1349999999999998</v>
      </c>
      <c r="J178" s="508" t="s">
        <v>510</v>
      </c>
    </row>
    <row r="179" spans="1:221" ht="45" customHeight="1" x14ac:dyDescent="0.2">
      <c r="A179" s="444">
        <v>8516</v>
      </c>
      <c r="B179" s="445" t="s">
        <v>84</v>
      </c>
      <c r="C179" s="455" t="s">
        <v>85</v>
      </c>
      <c r="D179" s="445"/>
      <c r="E179" s="445" t="s">
        <v>512</v>
      </c>
      <c r="F179" s="445" t="s">
        <v>133</v>
      </c>
      <c r="G179" s="445"/>
      <c r="H179" s="448" t="s">
        <v>55</v>
      </c>
      <c r="I179" s="451">
        <f>SUMIF('Wege im Detail'!$A:$A,"08516",'Wege im Detail'!$P:$P)</f>
        <v>10.795999999999999</v>
      </c>
      <c r="J179" s="508" t="s">
        <v>513</v>
      </c>
      <c r="K179" s="427"/>
      <c r="L179" s="428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</row>
    <row r="180" spans="1:221" ht="45" customHeight="1" x14ac:dyDescent="0.2">
      <c r="A180" s="444">
        <v>8548</v>
      </c>
      <c r="B180" s="445" t="s">
        <v>84</v>
      </c>
      <c r="C180" s="455" t="s">
        <v>85</v>
      </c>
      <c r="D180" s="445"/>
      <c r="E180" s="445" t="s">
        <v>515</v>
      </c>
      <c r="F180" s="445" t="s">
        <v>138</v>
      </c>
      <c r="G180" s="445"/>
      <c r="H180" s="448" t="s">
        <v>55</v>
      </c>
      <c r="I180" s="451">
        <f>SUMIF('Wege im Detail'!$A:$A,"08548",'Wege im Detail'!$P:$P)</f>
        <v>8.58</v>
      </c>
      <c r="J180" s="508" t="s">
        <v>516</v>
      </c>
    </row>
    <row r="181" spans="1:221" ht="45" customHeight="1" x14ac:dyDescent="0.2">
      <c r="A181" s="444">
        <v>8549</v>
      </c>
      <c r="B181" s="445" t="s">
        <v>84</v>
      </c>
      <c r="C181" s="455" t="s">
        <v>85</v>
      </c>
      <c r="D181" s="445"/>
      <c r="E181" s="445" t="s">
        <v>518</v>
      </c>
      <c r="F181" s="445" t="s">
        <v>519</v>
      </c>
      <c r="G181" s="445"/>
      <c r="H181" s="448" t="s">
        <v>55</v>
      </c>
      <c r="I181" s="451">
        <f>SUMIF('Wege im Detail'!$A:$A,"08549",'Wege im Detail'!$P:$P)</f>
        <v>5.7619999999999996</v>
      </c>
      <c r="J181" s="508" t="s">
        <v>520</v>
      </c>
      <c r="K181" s="427"/>
      <c r="L181" s="428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</row>
    <row r="182" spans="1:221" ht="45" customHeight="1" x14ac:dyDescent="0.2">
      <c r="A182" s="444">
        <v>8550</v>
      </c>
      <c r="B182" s="445" t="s">
        <v>84</v>
      </c>
      <c r="C182" s="455" t="s">
        <v>85</v>
      </c>
      <c r="D182" s="445"/>
      <c r="E182" s="445" t="s">
        <v>522</v>
      </c>
      <c r="F182" s="445" t="s">
        <v>523</v>
      </c>
      <c r="G182" s="445"/>
      <c r="H182" s="448" t="s">
        <v>55</v>
      </c>
      <c r="I182" s="451">
        <f>SUMIF('Wege im Detail'!$A:$A,"08550",'Wege im Detail'!$P:$P)</f>
        <v>7.9939999999999998</v>
      </c>
      <c r="J182" s="508" t="s">
        <v>524</v>
      </c>
    </row>
    <row r="183" spans="1:221" ht="45" customHeight="1" x14ac:dyDescent="0.2">
      <c r="A183" s="444">
        <v>8551</v>
      </c>
      <c r="B183" s="445" t="s">
        <v>84</v>
      </c>
      <c r="C183" s="455" t="s">
        <v>85</v>
      </c>
      <c r="D183" s="445"/>
      <c r="E183" s="445" t="s">
        <v>526</v>
      </c>
      <c r="F183" s="445" t="s">
        <v>527</v>
      </c>
      <c r="G183" s="445"/>
      <c r="H183" s="448" t="s">
        <v>55</v>
      </c>
      <c r="I183" s="451">
        <f>SUMIF('Wege im Detail'!$A:$A,"08551",'Wege im Detail'!$P:$P)</f>
        <v>7.444</v>
      </c>
      <c r="J183" s="508" t="s">
        <v>528</v>
      </c>
      <c r="K183" s="427"/>
      <c r="L183" s="428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</row>
    <row r="184" spans="1:221" ht="45" customHeight="1" x14ac:dyDescent="0.2">
      <c r="A184" s="444">
        <v>8553</v>
      </c>
      <c r="B184" s="445" t="s">
        <v>84</v>
      </c>
      <c r="C184" s="455" t="s">
        <v>85</v>
      </c>
      <c r="D184" s="445"/>
      <c r="E184" s="445" t="s">
        <v>530</v>
      </c>
      <c r="F184" s="445" t="s">
        <v>531</v>
      </c>
      <c r="G184" s="445"/>
      <c r="H184" s="448" t="s">
        <v>55</v>
      </c>
      <c r="I184" s="451">
        <f>SUMIF('Wege im Detail'!$A:$A,"08553",'Wege im Detail'!$P:$P)</f>
        <v>4.915</v>
      </c>
      <c r="J184" s="508" t="s">
        <v>532</v>
      </c>
      <c r="K184" s="427"/>
      <c r="L184" s="428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</row>
    <row r="185" spans="1:221" ht="45" customHeight="1" x14ac:dyDescent="0.2">
      <c r="A185" s="444">
        <v>8554</v>
      </c>
      <c r="B185" s="445" t="s">
        <v>84</v>
      </c>
      <c r="C185" s="455" t="s">
        <v>85</v>
      </c>
      <c r="D185" s="445"/>
      <c r="E185" s="445" t="s">
        <v>534</v>
      </c>
      <c r="F185" s="445" t="s">
        <v>535</v>
      </c>
      <c r="G185" s="445"/>
      <c r="H185" s="448" t="s">
        <v>55</v>
      </c>
      <c r="I185" s="451">
        <f>SUMIF('Wege im Detail'!$A:$A,"08554",'Wege im Detail'!$P:$P)</f>
        <v>4.1150000000000002</v>
      </c>
      <c r="J185" s="508" t="s">
        <v>536</v>
      </c>
      <c r="K185" s="427"/>
      <c r="L185" s="428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</row>
    <row r="186" spans="1:221" ht="45" customHeight="1" x14ac:dyDescent="0.2">
      <c r="A186" s="444">
        <v>8558</v>
      </c>
      <c r="B186" s="445" t="s">
        <v>84</v>
      </c>
      <c r="C186" s="455" t="s">
        <v>85</v>
      </c>
      <c r="D186" s="445"/>
      <c r="E186" s="445" t="s">
        <v>538</v>
      </c>
      <c r="F186" s="445" t="s">
        <v>172</v>
      </c>
      <c r="G186" s="445"/>
      <c r="H186" s="448" t="s">
        <v>55</v>
      </c>
      <c r="I186" s="451">
        <f>SUMIF('Wege im Detail'!$A:$A,"08558",'Wege im Detail'!$P:$P)</f>
        <v>4.7169999999999996</v>
      </c>
      <c r="J186" s="508" t="s">
        <v>539</v>
      </c>
    </row>
    <row r="187" spans="1:221" ht="45" customHeight="1" x14ac:dyDescent="0.2">
      <c r="A187" s="444">
        <v>8559</v>
      </c>
      <c r="B187" s="445" t="s">
        <v>84</v>
      </c>
      <c r="C187" s="455" t="s">
        <v>85</v>
      </c>
      <c r="D187" s="445"/>
      <c r="E187" s="445" t="s">
        <v>541</v>
      </c>
      <c r="F187" s="445" t="s">
        <v>163</v>
      </c>
      <c r="G187" s="445"/>
      <c r="H187" s="448" t="s">
        <v>55</v>
      </c>
      <c r="I187" s="451">
        <f>SUMIF('Wege im Detail'!$A:$A,"08559",'Wege im Detail'!$P:$P)</f>
        <v>2.7909999999999999</v>
      </c>
      <c r="J187" s="508" t="s">
        <v>542</v>
      </c>
      <c r="K187" s="427"/>
      <c r="L187" s="428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</row>
    <row r="188" spans="1:221" ht="45" customHeight="1" x14ac:dyDescent="0.2">
      <c r="A188" s="444">
        <v>8560</v>
      </c>
      <c r="B188" s="445" t="s">
        <v>84</v>
      </c>
      <c r="C188" s="455" t="s">
        <v>85</v>
      </c>
      <c r="D188" s="445"/>
      <c r="E188" s="445" t="s">
        <v>544</v>
      </c>
      <c r="F188" s="445" t="s">
        <v>168</v>
      </c>
      <c r="G188" s="445"/>
      <c r="H188" s="448" t="s">
        <v>55</v>
      </c>
      <c r="I188" s="451">
        <f>SUMIF('Wege im Detail'!$A:$A,"08560",'Wege im Detail'!$P:$P)</f>
        <v>7.875</v>
      </c>
      <c r="J188" s="508" t="s">
        <v>545</v>
      </c>
    </row>
    <row r="189" spans="1:221" ht="45" customHeight="1" x14ac:dyDescent="0.2">
      <c r="A189" s="444">
        <v>8561</v>
      </c>
      <c r="B189" s="445" t="s">
        <v>84</v>
      </c>
      <c r="C189" s="455" t="s">
        <v>85</v>
      </c>
      <c r="D189" s="445"/>
      <c r="E189" s="445" t="s">
        <v>547</v>
      </c>
      <c r="F189" s="445" t="s">
        <v>273</v>
      </c>
      <c r="G189" s="445"/>
      <c r="H189" s="448" t="s">
        <v>55</v>
      </c>
      <c r="I189" s="451">
        <f>SUMIF('Wege im Detail'!$A:$A,"08561",'Wege im Detail'!$P:$P)</f>
        <v>6.9119999999999999</v>
      </c>
      <c r="J189" s="508" t="s">
        <v>548</v>
      </c>
    </row>
    <row r="190" spans="1:221" ht="45" customHeight="1" x14ac:dyDescent="0.2">
      <c r="A190" s="444">
        <v>8562</v>
      </c>
      <c r="B190" s="445" t="s">
        <v>84</v>
      </c>
      <c r="C190" s="455" t="s">
        <v>85</v>
      </c>
      <c r="D190" s="445"/>
      <c r="E190" s="445" t="s">
        <v>550</v>
      </c>
      <c r="F190" s="445" t="s">
        <v>277</v>
      </c>
      <c r="G190" s="445"/>
      <c r="H190" s="448" t="s">
        <v>55</v>
      </c>
      <c r="I190" s="451">
        <f>SUMIF('Wege im Detail'!$A:$A,"08562",'Wege im Detail'!$P:$P)</f>
        <v>6.6920000000000002</v>
      </c>
      <c r="J190" s="508" t="s">
        <v>551</v>
      </c>
    </row>
    <row r="191" spans="1:221" ht="45" customHeight="1" x14ac:dyDescent="0.2">
      <c r="A191" s="444">
        <v>8564</v>
      </c>
      <c r="B191" s="445" t="s">
        <v>84</v>
      </c>
      <c r="C191" s="455" t="s">
        <v>85</v>
      </c>
      <c r="D191" s="479"/>
      <c r="E191" s="445" t="s">
        <v>553</v>
      </c>
      <c r="F191" s="445" t="s">
        <v>554</v>
      </c>
      <c r="G191" s="445"/>
      <c r="H191" s="448" t="s">
        <v>55</v>
      </c>
      <c r="I191" s="451">
        <f>SUMIF('Wege im Detail'!$A:$A,"08564",'Wege im Detail'!$P:$P)</f>
        <v>13.002000000000001</v>
      </c>
      <c r="J191" s="508" t="s">
        <v>555</v>
      </c>
    </row>
    <row r="192" spans="1:221" ht="45" customHeight="1" x14ac:dyDescent="0.2">
      <c r="A192" s="444">
        <v>8566</v>
      </c>
      <c r="B192" s="445" t="s">
        <v>84</v>
      </c>
      <c r="C192" s="455" t="s">
        <v>85</v>
      </c>
      <c r="D192" s="445"/>
      <c r="E192" s="445" t="s">
        <v>558</v>
      </c>
      <c r="F192" s="445" t="s">
        <v>172</v>
      </c>
      <c r="G192" s="445"/>
      <c r="H192" s="448" t="s">
        <v>55</v>
      </c>
      <c r="I192" s="451">
        <f>SUMIF('Wege im Detail'!$A:$A,"08566",'Wege im Detail'!$P:$P)</f>
        <v>4.4240000000000004</v>
      </c>
      <c r="J192" s="508" t="s">
        <v>559</v>
      </c>
      <c r="K192" s="427"/>
      <c r="L192" s="428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</row>
    <row r="193" spans="1:221" ht="45" customHeight="1" x14ac:dyDescent="0.2">
      <c r="A193" s="444">
        <v>8572</v>
      </c>
      <c r="B193" s="445" t="s">
        <v>84</v>
      </c>
      <c r="C193" s="455" t="s">
        <v>85</v>
      </c>
      <c r="D193" s="479"/>
      <c r="E193" s="445" t="s">
        <v>561</v>
      </c>
      <c r="F193" s="445" t="s">
        <v>562</v>
      </c>
      <c r="G193" s="445"/>
      <c r="H193" s="448" t="s">
        <v>55</v>
      </c>
      <c r="I193" s="451">
        <f>SUMIF('Wege im Detail'!$A:$A,"08572",'Wege im Detail'!$P:$P)</f>
        <v>13.78</v>
      </c>
      <c r="J193" s="508" t="s">
        <v>563</v>
      </c>
    </row>
    <row r="194" spans="1:221" ht="45" customHeight="1" x14ac:dyDescent="0.2">
      <c r="A194" s="444">
        <v>8637</v>
      </c>
      <c r="B194" s="445" t="s">
        <v>51</v>
      </c>
      <c r="C194" s="445" t="s">
        <v>52</v>
      </c>
      <c r="D194" s="445"/>
      <c r="E194" s="445">
        <v>7</v>
      </c>
      <c r="F194" s="445" t="s">
        <v>565</v>
      </c>
      <c r="G194" s="445"/>
      <c r="H194" s="448" t="s">
        <v>55</v>
      </c>
      <c r="I194" s="451">
        <f>SUMIF('Wege im Detail'!$A:$A,"08637",'Wege im Detail'!$P:$P)</f>
        <v>46.429000000000002</v>
      </c>
      <c r="J194" s="508" t="s">
        <v>566</v>
      </c>
      <c r="K194" s="427"/>
      <c r="L194" s="428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</row>
    <row r="195" spans="1:221" ht="45" customHeight="1" x14ac:dyDescent="0.2">
      <c r="A195" s="444">
        <v>8644</v>
      </c>
      <c r="B195" s="445" t="s">
        <v>84</v>
      </c>
      <c r="C195" s="455" t="s">
        <v>85</v>
      </c>
      <c r="D195" s="479"/>
      <c r="E195" s="445" t="s">
        <v>569</v>
      </c>
      <c r="F195" s="445" t="s">
        <v>570</v>
      </c>
      <c r="G195" s="445"/>
      <c r="H195" s="448" t="s">
        <v>55</v>
      </c>
      <c r="I195" s="451">
        <f>SUMIF('Wege im Detail'!$A:$A,"08644",'Wege im Detail'!$P:$P)</f>
        <v>15.172000000000001</v>
      </c>
      <c r="J195" s="508" t="s">
        <v>571</v>
      </c>
    </row>
    <row r="196" spans="1:221" ht="45" customHeight="1" x14ac:dyDescent="0.2">
      <c r="A196" s="444">
        <v>8649</v>
      </c>
      <c r="B196" s="445" t="s">
        <v>84</v>
      </c>
      <c r="C196" s="455" t="s">
        <v>85</v>
      </c>
      <c r="D196" s="479"/>
      <c r="E196" s="445" t="s">
        <v>573</v>
      </c>
      <c r="F196" s="445" t="s">
        <v>574</v>
      </c>
      <c r="G196" s="445"/>
      <c r="H196" s="448" t="s">
        <v>55</v>
      </c>
      <c r="I196" s="451">
        <f>SUMIF('Wege im Detail'!$A:$A,"08649",'Wege im Detail'!$P:$P)</f>
        <v>4.8719999999999999</v>
      </c>
      <c r="J196" s="514" t="s">
        <v>575</v>
      </c>
    </row>
    <row r="197" spans="1:221" ht="45" customHeight="1" x14ac:dyDescent="0.2">
      <c r="A197" s="444">
        <v>8650</v>
      </c>
      <c r="B197" s="445" t="s">
        <v>84</v>
      </c>
      <c r="C197" s="455" t="s">
        <v>85</v>
      </c>
      <c r="D197" s="479"/>
      <c r="E197" s="445" t="s">
        <v>577</v>
      </c>
      <c r="F197" s="445" t="s">
        <v>578</v>
      </c>
      <c r="G197" s="445"/>
      <c r="H197" s="448" t="s">
        <v>55</v>
      </c>
      <c r="I197" s="451">
        <f>SUMIF('Wege im Detail'!$A:$A,"08650",'Wege im Detail'!$P:$P)</f>
        <v>14.58</v>
      </c>
      <c r="J197" s="508" t="s">
        <v>579</v>
      </c>
    </row>
    <row r="198" spans="1:221" ht="45" customHeight="1" x14ac:dyDescent="0.2">
      <c r="A198" s="444">
        <v>8651</v>
      </c>
      <c r="B198" s="445" t="s">
        <v>84</v>
      </c>
      <c r="C198" s="455" t="s">
        <v>85</v>
      </c>
      <c r="D198" s="479"/>
      <c r="E198" s="445" t="s">
        <v>580</v>
      </c>
      <c r="F198" s="445" t="s">
        <v>172</v>
      </c>
      <c r="G198" s="445"/>
      <c r="H198" s="448" t="s">
        <v>55</v>
      </c>
      <c r="I198" s="451">
        <f>SUMIF('Wege im Detail'!$A:$A,"08651",'Wege im Detail'!$P:$P)</f>
        <v>5.84</v>
      </c>
      <c r="J198" s="508" t="s">
        <v>581</v>
      </c>
      <c r="K198" s="427"/>
      <c r="L198" s="428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</row>
    <row r="199" spans="1:221" ht="45" customHeight="1" x14ac:dyDescent="0.2">
      <c r="A199" s="444">
        <v>8652</v>
      </c>
      <c r="B199" s="445" t="s">
        <v>84</v>
      </c>
      <c r="C199" s="455" t="s">
        <v>85</v>
      </c>
      <c r="D199" s="479"/>
      <c r="E199" s="445" t="s">
        <v>583</v>
      </c>
      <c r="F199" s="445" t="s">
        <v>163</v>
      </c>
      <c r="G199" s="445"/>
      <c r="H199" s="448" t="s">
        <v>55</v>
      </c>
      <c r="I199" s="451">
        <f>SUMIF('Wege im Detail'!$A:$A,"08652",'Wege im Detail'!$P:$P)</f>
        <v>10.773</v>
      </c>
      <c r="J199" s="508" t="s">
        <v>584</v>
      </c>
    </row>
    <row r="200" spans="1:221" ht="45" customHeight="1" x14ac:dyDescent="0.2">
      <c r="A200" s="444">
        <v>8653</v>
      </c>
      <c r="B200" s="445" t="s">
        <v>84</v>
      </c>
      <c r="C200" s="455" t="s">
        <v>85</v>
      </c>
      <c r="D200" s="479"/>
      <c r="E200" s="445" t="s">
        <v>586</v>
      </c>
      <c r="F200" s="445" t="s">
        <v>587</v>
      </c>
      <c r="G200" s="445"/>
      <c r="H200" s="448" t="s">
        <v>55</v>
      </c>
      <c r="I200" s="451">
        <f>SUMIF('Wege im Detail'!$A:$A,"08653",'Wege im Detail'!$P:$P)</f>
        <v>6.2969999999999997</v>
      </c>
      <c r="J200" s="508" t="s">
        <v>588</v>
      </c>
      <c r="K200" s="427"/>
      <c r="L200" s="428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</row>
    <row r="201" spans="1:221" ht="45" customHeight="1" x14ac:dyDescent="0.2">
      <c r="A201" s="444">
        <v>8654</v>
      </c>
      <c r="B201" s="445" t="s">
        <v>84</v>
      </c>
      <c r="C201" s="455" t="s">
        <v>85</v>
      </c>
      <c r="D201" s="479"/>
      <c r="E201" s="445" t="s">
        <v>590</v>
      </c>
      <c r="F201" s="445" t="s">
        <v>591</v>
      </c>
      <c r="G201" s="445"/>
      <c r="H201" s="448" t="s">
        <v>55</v>
      </c>
      <c r="I201" s="451">
        <f>SUMIF('Wege im Detail'!$A:$A,"08654",'Wege im Detail'!$P:$P)</f>
        <v>8.0500000000000007</v>
      </c>
      <c r="J201" s="508" t="s">
        <v>592</v>
      </c>
    </row>
    <row r="202" spans="1:221" ht="45" customHeight="1" x14ac:dyDescent="0.2">
      <c r="A202" s="444">
        <v>8655</v>
      </c>
      <c r="B202" s="445" t="s">
        <v>84</v>
      </c>
      <c r="C202" s="455" t="s">
        <v>85</v>
      </c>
      <c r="D202" s="445"/>
      <c r="E202" s="445" t="s">
        <v>593</v>
      </c>
      <c r="F202" s="445" t="s">
        <v>594</v>
      </c>
      <c r="G202" s="445"/>
      <c r="H202" s="448" t="s">
        <v>55</v>
      </c>
      <c r="I202" s="451">
        <f>SUMIF('Wege im Detail'!$A:$A,"08655",'Wege im Detail'!$P:$P)</f>
        <v>9.157</v>
      </c>
      <c r="J202" s="508" t="s">
        <v>595</v>
      </c>
      <c r="K202" s="427"/>
      <c r="L202" s="428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</row>
    <row r="203" spans="1:221" ht="45" customHeight="1" x14ac:dyDescent="0.2">
      <c r="A203" s="444">
        <v>8656</v>
      </c>
      <c r="B203" s="445" t="s">
        <v>84</v>
      </c>
      <c r="C203" s="455" t="s">
        <v>85</v>
      </c>
      <c r="D203" s="445"/>
      <c r="E203" s="445" t="s">
        <v>596</v>
      </c>
      <c r="F203" s="445" t="s">
        <v>597</v>
      </c>
      <c r="G203" s="445"/>
      <c r="H203" s="448" t="s">
        <v>55</v>
      </c>
      <c r="I203" s="451">
        <f>SUMIF('Wege im Detail'!$A:$A,"08656",'Wege im Detail'!$P:$P)</f>
        <v>18.768000000000001</v>
      </c>
      <c r="J203" s="508" t="s">
        <v>513</v>
      </c>
    </row>
    <row r="204" spans="1:221" ht="45" customHeight="1" x14ac:dyDescent="0.2">
      <c r="A204" s="444">
        <v>8667</v>
      </c>
      <c r="B204" s="445" t="s">
        <v>84</v>
      </c>
      <c r="C204" s="455" t="s">
        <v>85</v>
      </c>
      <c r="D204" s="479"/>
      <c r="E204" s="445" t="s">
        <v>598</v>
      </c>
      <c r="F204" s="445" t="s">
        <v>142</v>
      </c>
      <c r="G204" s="445"/>
      <c r="H204" s="448" t="s">
        <v>55</v>
      </c>
      <c r="I204" s="451">
        <f>SUMIF('Wege im Detail'!$A:$A,"08667",'Wege im Detail'!$P:$P)</f>
        <v>6.2679999999999998</v>
      </c>
      <c r="J204" s="508" t="s">
        <v>599</v>
      </c>
    </row>
    <row r="205" spans="1:221" ht="45" customHeight="1" x14ac:dyDescent="0.2">
      <c r="A205" s="444">
        <v>8668</v>
      </c>
      <c r="B205" s="445" t="s">
        <v>84</v>
      </c>
      <c r="C205" s="455" t="s">
        <v>85</v>
      </c>
      <c r="D205" s="479"/>
      <c r="E205" s="445" t="s">
        <v>600</v>
      </c>
      <c r="F205" s="445" t="s">
        <v>147</v>
      </c>
      <c r="G205" s="445"/>
      <c r="H205" s="448" t="s">
        <v>55</v>
      </c>
      <c r="I205" s="451">
        <f>SUMIF('Wege im Detail'!$A:$A,"08668",'Wege im Detail'!$P:$P)</f>
        <v>3.976</v>
      </c>
      <c r="J205" s="508" t="s">
        <v>601</v>
      </c>
    </row>
    <row r="206" spans="1:221" ht="45" customHeight="1" x14ac:dyDescent="0.2">
      <c r="A206" s="444">
        <v>8669</v>
      </c>
      <c r="B206" s="445" t="s">
        <v>84</v>
      </c>
      <c r="C206" s="455" t="s">
        <v>85</v>
      </c>
      <c r="D206" s="479"/>
      <c r="E206" s="445" t="s">
        <v>602</v>
      </c>
      <c r="F206" s="445" t="s">
        <v>133</v>
      </c>
      <c r="G206" s="445"/>
      <c r="H206" s="448" t="s">
        <v>55</v>
      </c>
      <c r="I206" s="451">
        <f>SUMIF('Wege im Detail'!$A:$A,"08669",'Wege im Detail'!$P:$P)</f>
        <v>5.66</v>
      </c>
      <c r="J206" s="508" t="s">
        <v>603</v>
      </c>
    </row>
    <row r="207" spans="1:221" ht="45" customHeight="1" x14ac:dyDescent="0.2">
      <c r="A207" s="444">
        <v>8670</v>
      </c>
      <c r="B207" s="445" t="s">
        <v>84</v>
      </c>
      <c r="C207" s="455" t="s">
        <v>85</v>
      </c>
      <c r="D207" s="479"/>
      <c r="E207" s="445" t="s">
        <v>602</v>
      </c>
      <c r="F207" s="445" t="s">
        <v>138</v>
      </c>
      <c r="G207" s="445"/>
      <c r="H207" s="448" t="s">
        <v>55</v>
      </c>
      <c r="I207" s="451">
        <f>SUMIF('Wege im Detail'!$A:$A,"08670",'Wege im Detail'!$P:$P)</f>
        <v>6.9340000000000002</v>
      </c>
      <c r="J207" s="508" t="s">
        <v>604</v>
      </c>
    </row>
    <row r="208" spans="1:221" ht="45" customHeight="1" x14ac:dyDescent="0.2">
      <c r="A208" s="444">
        <v>8672</v>
      </c>
      <c r="B208" s="445" t="s">
        <v>84</v>
      </c>
      <c r="C208" s="455" t="s">
        <v>85</v>
      </c>
      <c r="D208" s="479"/>
      <c r="E208" s="445" t="s">
        <v>606</v>
      </c>
      <c r="F208" s="445" t="s">
        <v>147</v>
      </c>
      <c r="G208" s="445"/>
      <c r="H208" s="448" t="s">
        <v>55</v>
      </c>
      <c r="I208" s="451">
        <f>SUMIF('Wege im Detail'!$A:$A,"08672",'Wege im Detail'!$P:$P)</f>
        <v>8.6509999999999998</v>
      </c>
      <c r="J208" s="508" t="s">
        <v>607</v>
      </c>
    </row>
    <row r="209" spans="1:221" ht="45" customHeight="1" x14ac:dyDescent="0.2">
      <c r="A209" s="444">
        <v>8673</v>
      </c>
      <c r="B209" s="445" t="s">
        <v>84</v>
      </c>
      <c r="C209" s="455" t="s">
        <v>85</v>
      </c>
      <c r="D209" s="479"/>
      <c r="E209" s="445" t="s">
        <v>608</v>
      </c>
      <c r="F209" s="445" t="s">
        <v>133</v>
      </c>
      <c r="G209" s="445"/>
      <c r="H209" s="448" t="s">
        <v>55</v>
      </c>
      <c r="I209" s="451">
        <f>SUMIF('Wege im Detail'!$A:$A,"08673",'Wege im Detail'!$P:$P)</f>
        <v>4.7519999999999998</v>
      </c>
      <c r="J209" s="508" t="s">
        <v>609</v>
      </c>
    </row>
    <row r="210" spans="1:221" ht="45" customHeight="1" x14ac:dyDescent="0.2">
      <c r="A210" s="444">
        <v>8675</v>
      </c>
      <c r="B210" s="445" t="s">
        <v>84</v>
      </c>
      <c r="C210" s="455" t="s">
        <v>85</v>
      </c>
      <c r="D210" s="479"/>
      <c r="E210" s="445" t="s">
        <v>610</v>
      </c>
      <c r="F210" s="445" t="s">
        <v>142</v>
      </c>
      <c r="G210" s="445"/>
      <c r="H210" s="448" t="s">
        <v>55</v>
      </c>
      <c r="I210" s="451">
        <f>SUMIF('Wege im Detail'!$A:$A,"08675",'Wege im Detail'!$P:$P)</f>
        <v>9.2330000000000005</v>
      </c>
      <c r="J210" s="508" t="s">
        <v>611</v>
      </c>
      <c r="K210" s="427"/>
      <c r="L210" s="428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</row>
    <row r="211" spans="1:221" ht="45" customHeight="1" x14ac:dyDescent="0.2">
      <c r="A211" s="444">
        <v>8677</v>
      </c>
      <c r="B211" s="445" t="s">
        <v>84</v>
      </c>
      <c r="C211" s="455" t="s">
        <v>85</v>
      </c>
      <c r="D211" s="479"/>
      <c r="E211" s="445" t="s">
        <v>612</v>
      </c>
      <c r="F211" s="445" t="s">
        <v>613</v>
      </c>
      <c r="G211" s="445"/>
      <c r="H211" s="448" t="s">
        <v>55</v>
      </c>
      <c r="I211" s="451">
        <f>SUMIF('Wege im Detail'!$A:$A,"08677",'Wege im Detail'!$P:$P)</f>
        <v>18.058</v>
      </c>
      <c r="J211" s="508" t="s">
        <v>614</v>
      </c>
    </row>
    <row r="212" spans="1:221" ht="45" customHeight="1" x14ac:dyDescent="0.2">
      <c r="A212" s="444">
        <v>8678</v>
      </c>
      <c r="B212" s="445" t="s">
        <v>84</v>
      </c>
      <c r="C212" s="455" t="s">
        <v>85</v>
      </c>
      <c r="D212" s="445"/>
      <c r="E212" s="445" t="s">
        <v>615</v>
      </c>
      <c r="F212" s="445" t="s">
        <v>616</v>
      </c>
      <c r="G212" s="445"/>
      <c r="H212" s="448" t="s">
        <v>55</v>
      </c>
      <c r="I212" s="451">
        <f>SUMIF('Wege im Detail'!$A:$A,"08678",'Wege im Detail'!$P:$P)</f>
        <v>4.4950000000000001</v>
      </c>
      <c r="J212" s="508" t="s">
        <v>617</v>
      </c>
    </row>
    <row r="213" spans="1:221" ht="45" customHeight="1" x14ac:dyDescent="0.2">
      <c r="A213" s="444">
        <v>8679</v>
      </c>
      <c r="B213" s="445" t="s">
        <v>51</v>
      </c>
      <c r="C213" s="445" t="s">
        <v>91</v>
      </c>
      <c r="D213" s="445"/>
      <c r="E213" s="445">
        <v>130</v>
      </c>
      <c r="F213" s="445"/>
      <c r="G213" s="445"/>
      <c r="H213" s="448" t="s">
        <v>55</v>
      </c>
      <c r="I213" s="451">
        <f>SUMIF('Wege im Detail'!$A:$A,"08679",'Wege im Detail'!$P:$P)</f>
        <v>2.194</v>
      </c>
      <c r="J213" s="508" t="s">
        <v>618</v>
      </c>
    </row>
    <row r="214" spans="1:221" ht="45" customHeight="1" x14ac:dyDescent="0.2">
      <c r="A214" s="444">
        <v>8682</v>
      </c>
      <c r="B214" s="445" t="s">
        <v>84</v>
      </c>
      <c r="C214" s="455" t="s">
        <v>85</v>
      </c>
      <c r="D214" s="479"/>
      <c r="E214" s="445" t="s">
        <v>619</v>
      </c>
      <c r="F214" s="445" t="s">
        <v>133</v>
      </c>
      <c r="G214" s="445"/>
      <c r="H214" s="448" t="s">
        <v>55</v>
      </c>
      <c r="I214" s="451">
        <f>SUMIF('Wege im Detail'!$A:$A,"08682",'Wege im Detail'!$P:$P)</f>
        <v>2.661</v>
      </c>
      <c r="J214" s="508" t="s">
        <v>620</v>
      </c>
    </row>
    <row r="215" spans="1:221" ht="45" customHeight="1" x14ac:dyDescent="0.2">
      <c r="A215" s="444">
        <v>8683</v>
      </c>
      <c r="B215" s="445" t="s">
        <v>84</v>
      </c>
      <c r="C215" s="455" t="s">
        <v>85</v>
      </c>
      <c r="D215" s="479"/>
      <c r="E215" s="445" t="s">
        <v>621</v>
      </c>
      <c r="F215" s="445" t="s">
        <v>142</v>
      </c>
      <c r="G215" s="445"/>
      <c r="H215" s="448" t="s">
        <v>55</v>
      </c>
      <c r="I215" s="451">
        <f>SUMIF('Wege im Detail'!$A:$A,"08683",'Wege im Detail'!$P:$P)</f>
        <v>6.5359999999999996</v>
      </c>
      <c r="J215" s="508" t="s">
        <v>622</v>
      </c>
    </row>
    <row r="216" spans="1:221" ht="45" customHeight="1" x14ac:dyDescent="0.2">
      <c r="A216" s="444">
        <v>8684</v>
      </c>
      <c r="B216" s="445" t="s">
        <v>84</v>
      </c>
      <c r="C216" s="455" t="s">
        <v>85</v>
      </c>
      <c r="D216" s="479"/>
      <c r="E216" s="445" t="s">
        <v>623</v>
      </c>
      <c r="F216" s="445" t="s">
        <v>147</v>
      </c>
      <c r="G216" s="445"/>
      <c r="H216" s="448" t="s">
        <v>55</v>
      </c>
      <c r="I216" s="451">
        <f>SUMIF('Wege im Detail'!$A:$A,"08684",'Wege im Detail'!$P:$P)</f>
        <v>5.2350000000000003</v>
      </c>
      <c r="J216" s="508" t="s">
        <v>624</v>
      </c>
    </row>
    <row r="217" spans="1:221" ht="45" customHeight="1" x14ac:dyDescent="0.2">
      <c r="A217" s="444">
        <v>8685</v>
      </c>
      <c r="B217" s="445" t="s">
        <v>84</v>
      </c>
      <c r="C217" s="455" t="s">
        <v>85</v>
      </c>
      <c r="D217" s="445"/>
      <c r="E217" s="445" t="s">
        <v>625</v>
      </c>
      <c r="F217" s="445" t="s">
        <v>138</v>
      </c>
      <c r="G217" s="445"/>
      <c r="H217" s="448" t="s">
        <v>55</v>
      </c>
      <c r="I217" s="451">
        <f>SUMIF('Wege im Detail'!$A:$A,"08685",'Wege im Detail'!$P:$P)</f>
        <v>9.4649999999999999</v>
      </c>
      <c r="J217" s="508" t="s">
        <v>626</v>
      </c>
    </row>
    <row r="218" spans="1:221" ht="45" customHeight="1" x14ac:dyDescent="0.2">
      <c r="A218" s="444">
        <v>8686</v>
      </c>
      <c r="B218" s="445" t="s">
        <v>84</v>
      </c>
      <c r="C218" s="455" t="s">
        <v>85</v>
      </c>
      <c r="D218" s="445"/>
      <c r="E218" s="445" t="s">
        <v>627</v>
      </c>
      <c r="F218" s="445" t="s">
        <v>147</v>
      </c>
      <c r="G218" s="445"/>
      <c r="H218" s="448" t="s">
        <v>55</v>
      </c>
      <c r="I218" s="451">
        <f>SUMIF('Wege im Detail'!$A:$A,"08686",'Wege im Detail'!$P:$P)</f>
        <v>8.7750000000000004</v>
      </c>
      <c r="J218" s="508" t="s">
        <v>628</v>
      </c>
      <c r="K218" s="427"/>
      <c r="L218" s="428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</row>
    <row r="219" spans="1:221" ht="45" customHeight="1" x14ac:dyDescent="0.2">
      <c r="A219" s="444">
        <v>8687</v>
      </c>
      <c r="B219" s="445" t="s">
        <v>84</v>
      </c>
      <c r="C219" s="455" t="s">
        <v>85</v>
      </c>
      <c r="D219" s="445"/>
      <c r="E219" s="445" t="s">
        <v>629</v>
      </c>
      <c r="F219" s="445" t="s">
        <v>133</v>
      </c>
      <c r="G219" s="445"/>
      <c r="H219" s="448" t="s">
        <v>55</v>
      </c>
      <c r="I219" s="451">
        <f>SUMIF('Wege im Detail'!$A:$A,"08687",'Wege im Detail'!$P:$P)</f>
        <v>8.14</v>
      </c>
      <c r="J219" s="508" t="s">
        <v>630</v>
      </c>
    </row>
    <row r="220" spans="1:221" ht="45" customHeight="1" x14ac:dyDescent="0.2">
      <c r="A220" s="444">
        <v>8689</v>
      </c>
      <c r="B220" s="445" t="s">
        <v>84</v>
      </c>
      <c r="C220" s="455" t="s">
        <v>85</v>
      </c>
      <c r="D220" s="479"/>
      <c r="E220" s="445" t="s">
        <v>632</v>
      </c>
      <c r="F220" s="445" t="s">
        <v>147</v>
      </c>
      <c r="G220" s="445"/>
      <c r="H220" s="448" t="s">
        <v>55</v>
      </c>
      <c r="I220" s="451">
        <f>SUMIF('Wege im Detail'!$A:$A,"08689",'Wege im Detail'!$P:$P)</f>
        <v>3.3450000000000002</v>
      </c>
      <c r="J220" s="508" t="s">
        <v>633</v>
      </c>
    </row>
    <row r="221" spans="1:221" ht="45" customHeight="1" x14ac:dyDescent="0.2">
      <c r="A221" s="444">
        <v>8690</v>
      </c>
      <c r="B221" s="445" t="s">
        <v>84</v>
      </c>
      <c r="C221" s="455" t="s">
        <v>85</v>
      </c>
      <c r="D221" s="479"/>
      <c r="E221" s="445" t="s">
        <v>635</v>
      </c>
      <c r="F221" s="445" t="s">
        <v>133</v>
      </c>
      <c r="G221" s="445"/>
      <c r="H221" s="448" t="s">
        <v>55</v>
      </c>
      <c r="I221" s="451">
        <f>SUMIF('Wege im Detail'!$A:$A,"08690",'Wege im Detail'!$P:$P)</f>
        <v>8.0879999999999992</v>
      </c>
      <c r="J221" s="508" t="s">
        <v>636</v>
      </c>
    </row>
    <row r="222" spans="1:221" ht="45" customHeight="1" x14ac:dyDescent="0.2">
      <c r="A222" s="444">
        <v>8691</v>
      </c>
      <c r="B222" s="445" t="s">
        <v>84</v>
      </c>
      <c r="C222" s="455" t="s">
        <v>85</v>
      </c>
      <c r="D222" s="479"/>
      <c r="E222" s="445" t="s">
        <v>638</v>
      </c>
      <c r="F222" s="445" t="s">
        <v>138</v>
      </c>
      <c r="G222" s="445"/>
      <c r="H222" s="448" t="s">
        <v>55</v>
      </c>
      <c r="I222" s="451">
        <f>SUMIF('Wege im Detail'!$A:$A,"08691",'Wege im Detail'!$P:$P)</f>
        <v>7.9790000000000001</v>
      </c>
      <c r="J222" s="508" t="s">
        <v>639</v>
      </c>
      <c r="K222" s="427"/>
      <c r="L222" s="428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</row>
    <row r="223" spans="1:221" ht="45" customHeight="1" x14ac:dyDescent="0.2">
      <c r="A223" s="444">
        <v>8692</v>
      </c>
      <c r="B223" s="445" t="s">
        <v>84</v>
      </c>
      <c r="C223" s="455" t="s">
        <v>85</v>
      </c>
      <c r="D223" s="479"/>
      <c r="E223" s="445" t="s">
        <v>640</v>
      </c>
      <c r="F223" s="445" t="s">
        <v>88</v>
      </c>
      <c r="G223" s="445"/>
      <c r="H223" s="448" t="s">
        <v>55</v>
      </c>
      <c r="I223" s="451">
        <f>SUMIF('Wege im Detail'!$A:$A,"08692",'Wege im Detail'!$P:$P)</f>
        <v>4.8689999999999998</v>
      </c>
      <c r="J223" s="508" t="s">
        <v>641</v>
      </c>
      <c r="K223" s="427"/>
      <c r="L223" s="428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</row>
    <row r="224" spans="1:221" ht="45" customHeight="1" x14ac:dyDescent="0.2">
      <c r="A224" s="444">
        <v>8693</v>
      </c>
      <c r="B224" s="445" t="s">
        <v>84</v>
      </c>
      <c r="C224" s="455" t="s">
        <v>85</v>
      </c>
      <c r="D224" s="445"/>
      <c r="E224" s="445" t="s">
        <v>642</v>
      </c>
      <c r="F224" s="445" t="s">
        <v>133</v>
      </c>
      <c r="G224" s="445"/>
      <c r="H224" s="448" t="s">
        <v>55</v>
      </c>
      <c r="I224" s="451">
        <f>SUMIF('Wege im Detail'!$A:$A,"08693",'Wege im Detail'!$P:$P)</f>
        <v>6.782</v>
      </c>
      <c r="J224" s="514" t="s">
        <v>643</v>
      </c>
    </row>
    <row r="225" spans="1:221" ht="45" customHeight="1" x14ac:dyDescent="0.2">
      <c r="A225" s="444">
        <v>8709</v>
      </c>
      <c r="B225" s="445" t="s">
        <v>84</v>
      </c>
      <c r="C225" s="455" t="s">
        <v>85</v>
      </c>
      <c r="D225" s="445"/>
      <c r="E225" s="445" t="s">
        <v>644</v>
      </c>
      <c r="F225" s="445" t="s">
        <v>142</v>
      </c>
      <c r="G225" s="445"/>
      <c r="H225" s="448" t="s">
        <v>55</v>
      </c>
      <c r="I225" s="451">
        <f>SUMIF('Wege im Detail'!$A:$A,"08709",'Wege im Detail'!$P:$P)</f>
        <v>4.4400000000000004</v>
      </c>
      <c r="J225" s="514" t="s">
        <v>645</v>
      </c>
      <c r="K225" s="427"/>
      <c r="L225" s="428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</row>
    <row r="226" spans="1:221" ht="45" customHeight="1" x14ac:dyDescent="0.2">
      <c r="A226" s="444">
        <v>8710</v>
      </c>
      <c r="B226" s="445" t="s">
        <v>84</v>
      </c>
      <c r="C226" s="455" t="s">
        <v>85</v>
      </c>
      <c r="D226" s="445"/>
      <c r="E226" s="445" t="s">
        <v>646</v>
      </c>
      <c r="F226" s="445" t="s">
        <v>172</v>
      </c>
      <c r="G226" s="445"/>
      <c r="H226" s="448" t="s">
        <v>55</v>
      </c>
      <c r="I226" s="451">
        <f>SUMIF('Wege im Detail'!$A:$A,"08710",'Wege im Detail'!$P:$P)</f>
        <v>11.631</v>
      </c>
      <c r="J226" s="514" t="s">
        <v>647</v>
      </c>
    </row>
    <row r="227" spans="1:221" ht="45" customHeight="1" x14ac:dyDescent="0.2">
      <c r="A227" s="444">
        <v>8711</v>
      </c>
      <c r="B227" s="445" t="s">
        <v>84</v>
      </c>
      <c r="C227" s="455" t="s">
        <v>85</v>
      </c>
      <c r="D227" s="445"/>
      <c r="E227" s="445" t="s">
        <v>648</v>
      </c>
      <c r="F227" s="445" t="s">
        <v>138</v>
      </c>
      <c r="G227" s="445"/>
      <c r="H227" s="448" t="s">
        <v>55</v>
      </c>
      <c r="I227" s="451">
        <f>SUMIF('Wege im Detail'!$A:$A,"08711",'Wege im Detail'!$P:$P)</f>
        <v>9.5920000000000005</v>
      </c>
      <c r="J227" s="508" t="s">
        <v>649</v>
      </c>
    </row>
    <row r="228" spans="1:221" ht="45" customHeight="1" x14ac:dyDescent="0.2">
      <c r="A228" s="444">
        <v>8714</v>
      </c>
      <c r="B228" s="445" t="s">
        <v>84</v>
      </c>
      <c r="C228" s="455" t="s">
        <v>85</v>
      </c>
      <c r="D228" s="445"/>
      <c r="E228" s="445" t="s">
        <v>651</v>
      </c>
      <c r="F228" s="445" t="s">
        <v>142</v>
      </c>
      <c r="G228" s="445"/>
      <c r="H228" s="448" t="s">
        <v>55</v>
      </c>
      <c r="I228" s="451">
        <f>SUMIF('Wege im Detail'!$A:$A,"08714",'Wege im Detail'!$P:$P)</f>
        <v>7.9630000000000001</v>
      </c>
      <c r="J228" s="508" t="s">
        <v>652</v>
      </c>
    </row>
    <row r="229" spans="1:221" ht="45" customHeight="1" x14ac:dyDescent="0.2">
      <c r="A229" s="444">
        <v>8715</v>
      </c>
      <c r="B229" s="445" t="s">
        <v>84</v>
      </c>
      <c r="C229" s="455" t="s">
        <v>85</v>
      </c>
      <c r="D229" s="479"/>
      <c r="E229" s="445" t="s">
        <v>653</v>
      </c>
      <c r="F229" s="445" t="s">
        <v>147</v>
      </c>
      <c r="G229" s="445"/>
      <c r="H229" s="448" t="s">
        <v>55</v>
      </c>
      <c r="I229" s="451">
        <f>SUMIF('Wege im Detail'!$A:$A,"08715",'Wege im Detail'!$P:$P)</f>
        <v>6.9420000000000002</v>
      </c>
      <c r="J229" s="508" t="s">
        <v>654</v>
      </c>
    </row>
    <row r="230" spans="1:221" ht="45" customHeight="1" x14ac:dyDescent="0.2">
      <c r="A230" s="444">
        <v>8716</v>
      </c>
      <c r="B230" s="445" t="s">
        <v>84</v>
      </c>
      <c r="C230" s="455" t="s">
        <v>85</v>
      </c>
      <c r="D230" s="479"/>
      <c r="E230" s="445" t="s">
        <v>655</v>
      </c>
      <c r="F230" s="445" t="s">
        <v>138</v>
      </c>
      <c r="G230" s="445"/>
      <c r="H230" s="448" t="s">
        <v>55</v>
      </c>
      <c r="I230" s="451">
        <f>SUMIF('Wege im Detail'!$A:$A,"08716",'Wege im Detail'!$P:$P)</f>
        <v>8.7539999999999996</v>
      </c>
      <c r="J230" s="508" t="s">
        <v>657</v>
      </c>
    </row>
    <row r="231" spans="1:221" ht="45" customHeight="1" x14ac:dyDescent="0.2">
      <c r="A231" s="444">
        <v>8717</v>
      </c>
      <c r="B231" s="445" t="s">
        <v>84</v>
      </c>
      <c r="C231" s="455" t="s">
        <v>85</v>
      </c>
      <c r="D231" s="445"/>
      <c r="E231" s="445" t="s">
        <v>658</v>
      </c>
      <c r="F231" s="445" t="s">
        <v>147</v>
      </c>
      <c r="G231" s="445"/>
      <c r="H231" s="448" t="s">
        <v>55</v>
      </c>
      <c r="I231" s="451">
        <f>SUMIF('Wege im Detail'!$A:$A,"08717",'Wege im Detail'!$P:$P)</f>
        <v>4.5129999999999999</v>
      </c>
      <c r="J231" s="508" t="s">
        <v>659</v>
      </c>
    </row>
    <row r="232" spans="1:221" s="35" customFormat="1" ht="45" customHeight="1" x14ac:dyDescent="0.2">
      <c r="A232" s="444">
        <v>8718</v>
      </c>
      <c r="B232" s="445" t="s">
        <v>84</v>
      </c>
      <c r="C232" s="455" t="s">
        <v>85</v>
      </c>
      <c r="D232" s="445"/>
      <c r="E232" s="445" t="s">
        <v>660</v>
      </c>
      <c r="F232" s="445" t="s">
        <v>133</v>
      </c>
      <c r="G232" s="445"/>
      <c r="H232" s="448" t="s">
        <v>55</v>
      </c>
      <c r="I232" s="451">
        <f>SUMIF('Wege im Detail'!$A:$A,"08718",'Wege im Detail'!$P:$P)</f>
        <v>6.5709999999999997</v>
      </c>
      <c r="J232" s="508" t="s">
        <v>661</v>
      </c>
      <c r="K232" s="425"/>
      <c r="L232" s="426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</row>
    <row r="233" spans="1:221" ht="45" customHeight="1" x14ac:dyDescent="0.2">
      <c r="A233" s="444">
        <v>8719</v>
      </c>
      <c r="B233" s="445" t="s">
        <v>84</v>
      </c>
      <c r="C233" s="455" t="s">
        <v>85</v>
      </c>
      <c r="D233" s="479"/>
      <c r="E233" s="445" t="s">
        <v>662</v>
      </c>
      <c r="F233" s="448" t="s">
        <v>88</v>
      </c>
      <c r="G233" s="448"/>
      <c r="H233" s="448" t="s">
        <v>55</v>
      </c>
      <c r="I233" s="451">
        <f>SUMIF('Wege im Detail'!$A:$A,"08719",'Wege im Detail'!$P:$P)</f>
        <v>6.6539999999999999</v>
      </c>
      <c r="J233" s="508" t="s">
        <v>663</v>
      </c>
    </row>
    <row r="234" spans="1:221" ht="45" customHeight="1" x14ac:dyDescent="0.2">
      <c r="A234" s="444">
        <v>8720</v>
      </c>
      <c r="B234" s="445" t="s">
        <v>84</v>
      </c>
      <c r="C234" s="455" t="s">
        <v>85</v>
      </c>
      <c r="D234" s="479"/>
      <c r="E234" s="445" t="s">
        <v>664</v>
      </c>
      <c r="F234" s="448" t="s">
        <v>163</v>
      </c>
      <c r="G234" s="448"/>
      <c r="H234" s="448" t="s">
        <v>55</v>
      </c>
      <c r="I234" s="451">
        <f>SUMIF('Wege im Detail'!$A:$A,"08720",'Wege im Detail'!$P:$P)</f>
        <v>7.4489999999999998</v>
      </c>
      <c r="J234" s="508" t="s">
        <v>665</v>
      </c>
    </row>
    <row r="235" spans="1:221" ht="45" customHeight="1" x14ac:dyDescent="0.2">
      <c r="A235" s="444">
        <v>8721</v>
      </c>
      <c r="B235" s="445" t="s">
        <v>84</v>
      </c>
      <c r="C235" s="455" t="s">
        <v>85</v>
      </c>
      <c r="D235" s="445"/>
      <c r="E235" s="445" t="s">
        <v>667</v>
      </c>
      <c r="F235" s="445" t="s">
        <v>168</v>
      </c>
      <c r="G235" s="445"/>
      <c r="H235" s="448" t="s">
        <v>55</v>
      </c>
      <c r="I235" s="451">
        <f>SUMIF('Wege im Detail'!$A:$A,"08721",'Wege im Detail'!$P:$P)</f>
        <v>1.599</v>
      </c>
      <c r="J235" s="508" t="s">
        <v>668</v>
      </c>
    </row>
    <row r="236" spans="1:221" ht="45" customHeight="1" x14ac:dyDescent="0.2">
      <c r="A236" s="444">
        <v>8722</v>
      </c>
      <c r="B236" s="445" t="s">
        <v>84</v>
      </c>
      <c r="C236" s="455" t="s">
        <v>85</v>
      </c>
      <c r="D236" s="479"/>
      <c r="E236" s="445" t="s">
        <v>669</v>
      </c>
      <c r="F236" s="448" t="s">
        <v>133</v>
      </c>
      <c r="G236" s="448"/>
      <c r="H236" s="448" t="s">
        <v>55</v>
      </c>
      <c r="I236" s="451">
        <f>SUMIF('Wege im Detail'!$A:$A,"08722",'Wege im Detail'!$P:$P)</f>
        <v>9.9819999999999993</v>
      </c>
      <c r="J236" s="514" t="s">
        <v>670</v>
      </c>
    </row>
    <row r="237" spans="1:221" ht="45" customHeight="1" x14ac:dyDescent="0.2">
      <c r="A237" s="444">
        <v>8723</v>
      </c>
      <c r="B237" s="445" t="s">
        <v>84</v>
      </c>
      <c r="C237" s="455" t="s">
        <v>85</v>
      </c>
      <c r="D237" s="445"/>
      <c r="E237" s="445" t="s">
        <v>671</v>
      </c>
      <c r="F237" s="445" t="s">
        <v>142</v>
      </c>
      <c r="G237" s="445"/>
      <c r="H237" s="448" t="s">
        <v>55</v>
      </c>
      <c r="I237" s="451">
        <f>SUMIF('Wege im Detail'!$A:$A,"08723",'Wege im Detail'!$P:$P)</f>
        <v>7.68</v>
      </c>
      <c r="J237" s="514" t="s">
        <v>672</v>
      </c>
    </row>
    <row r="238" spans="1:221" ht="45" customHeight="1" x14ac:dyDescent="0.2">
      <c r="A238" s="444">
        <v>8724</v>
      </c>
      <c r="B238" s="445" t="s">
        <v>84</v>
      </c>
      <c r="C238" s="455" t="s">
        <v>85</v>
      </c>
      <c r="D238" s="445"/>
      <c r="E238" s="445" t="s">
        <v>673</v>
      </c>
      <c r="F238" s="445" t="s">
        <v>147</v>
      </c>
      <c r="G238" s="445"/>
      <c r="H238" s="448" t="s">
        <v>55</v>
      </c>
      <c r="I238" s="451">
        <f>SUMIF('Wege im Detail'!$A:$A,"08724",'Wege im Detail'!$P:$P)</f>
        <v>9.8079999999999998</v>
      </c>
      <c r="J238" s="508" t="s">
        <v>674</v>
      </c>
    </row>
    <row r="239" spans="1:221" ht="45" customHeight="1" x14ac:dyDescent="0.2">
      <c r="A239" s="444">
        <v>8725</v>
      </c>
      <c r="B239" s="445" t="s">
        <v>84</v>
      </c>
      <c r="C239" s="455" t="s">
        <v>85</v>
      </c>
      <c r="D239" s="445"/>
      <c r="E239" s="445" t="s">
        <v>675</v>
      </c>
      <c r="F239" s="445" t="s">
        <v>133</v>
      </c>
      <c r="G239" s="445"/>
      <c r="H239" s="448" t="s">
        <v>55</v>
      </c>
      <c r="I239" s="451">
        <f>SUMIF('Wege im Detail'!$A:$A,"08725",'Wege im Detail'!$P:$P)</f>
        <v>10.605</v>
      </c>
      <c r="J239" s="514" t="s">
        <v>676</v>
      </c>
    </row>
    <row r="240" spans="1:221" ht="45" customHeight="1" x14ac:dyDescent="0.2">
      <c r="A240" s="444">
        <v>8726</v>
      </c>
      <c r="B240" s="445" t="s">
        <v>84</v>
      </c>
      <c r="C240" s="455" t="s">
        <v>85</v>
      </c>
      <c r="D240" s="479"/>
      <c r="E240" s="445" t="s">
        <v>677</v>
      </c>
      <c r="F240" s="445" t="s">
        <v>133</v>
      </c>
      <c r="G240" s="445"/>
      <c r="H240" s="448" t="s">
        <v>55</v>
      </c>
      <c r="I240" s="451">
        <f>SUMIF('Wege im Detail'!$A:$A,"08726",'Wege im Detail'!$P:$P)</f>
        <v>8.5640000000000001</v>
      </c>
      <c r="J240" s="508" t="s">
        <v>678</v>
      </c>
      <c r="K240" s="427"/>
      <c r="L240" s="428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</row>
    <row r="241" spans="1:221" ht="45" customHeight="1" x14ac:dyDescent="0.2">
      <c r="A241" s="444">
        <v>8727</v>
      </c>
      <c r="B241" s="445" t="s">
        <v>84</v>
      </c>
      <c r="C241" s="455" t="s">
        <v>85</v>
      </c>
      <c r="D241" s="479"/>
      <c r="E241" s="445" t="s">
        <v>679</v>
      </c>
      <c r="F241" s="445" t="s">
        <v>147</v>
      </c>
      <c r="G241" s="445"/>
      <c r="H241" s="448" t="s">
        <v>55</v>
      </c>
      <c r="I241" s="451">
        <f>SUMIF('Wege im Detail'!$A:$A,"08727",'Wege im Detail'!$P:$P)</f>
        <v>9.0220000000000002</v>
      </c>
      <c r="J241" s="508" t="s">
        <v>680</v>
      </c>
    </row>
    <row r="242" spans="1:221" ht="45" customHeight="1" x14ac:dyDescent="0.2">
      <c r="A242" s="444">
        <v>8728</v>
      </c>
      <c r="B242" s="445" t="s">
        <v>84</v>
      </c>
      <c r="C242" s="455" t="s">
        <v>85</v>
      </c>
      <c r="D242" s="479"/>
      <c r="E242" s="445" t="s">
        <v>681</v>
      </c>
      <c r="F242" s="445" t="s">
        <v>142</v>
      </c>
      <c r="G242" s="445"/>
      <c r="H242" s="448" t="s">
        <v>55</v>
      </c>
      <c r="I242" s="451">
        <f>SUMIF('Wege im Detail'!$A:$A,"08728",'Wege im Detail'!$P:$P)</f>
        <v>5.94</v>
      </c>
      <c r="J242" s="508" t="s">
        <v>682</v>
      </c>
    </row>
    <row r="243" spans="1:221" ht="45" customHeight="1" x14ac:dyDescent="0.2">
      <c r="A243" s="444">
        <v>8729</v>
      </c>
      <c r="B243" s="445" t="s">
        <v>84</v>
      </c>
      <c r="C243" s="455" t="s">
        <v>85</v>
      </c>
      <c r="D243" s="479"/>
      <c r="E243" s="445" t="s">
        <v>684</v>
      </c>
      <c r="F243" s="448"/>
      <c r="G243" s="448"/>
      <c r="H243" s="448" t="s">
        <v>55</v>
      </c>
      <c r="I243" s="451">
        <f>SUMIF('Wege im Detail'!$A:$A,"08729",'Wege im Detail'!$P:$P)</f>
        <v>9.6199999999999992</v>
      </c>
      <c r="J243" s="508" t="s">
        <v>685</v>
      </c>
    </row>
    <row r="244" spans="1:221" ht="45" customHeight="1" x14ac:dyDescent="0.2">
      <c r="A244" s="444">
        <v>8731</v>
      </c>
      <c r="B244" s="445" t="s">
        <v>84</v>
      </c>
      <c r="C244" s="455" t="s">
        <v>85</v>
      </c>
      <c r="D244" s="445"/>
      <c r="E244" s="445" t="s">
        <v>686</v>
      </c>
      <c r="F244" s="445" t="s">
        <v>147</v>
      </c>
      <c r="G244" s="445"/>
      <c r="H244" s="448" t="s">
        <v>55</v>
      </c>
      <c r="I244" s="451">
        <f>SUMIF('Wege im Detail'!$A:$A,"08731",'Wege im Detail'!$P:$P)</f>
        <v>9.6210000000000004</v>
      </c>
      <c r="J244" s="508" t="s">
        <v>687</v>
      </c>
    </row>
    <row r="245" spans="1:221" ht="45" customHeight="1" x14ac:dyDescent="0.2">
      <c r="A245" s="444">
        <v>8734</v>
      </c>
      <c r="B245" s="445" t="s">
        <v>84</v>
      </c>
      <c r="C245" s="455" t="s">
        <v>85</v>
      </c>
      <c r="D245" s="511"/>
      <c r="E245" s="445" t="s">
        <v>688</v>
      </c>
      <c r="F245" s="445" t="s">
        <v>88</v>
      </c>
      <c r="G245" s="445"/>
      <c r="H245" s="448" t="s">
        <v>55</v>
      </c>
      <c r="I245" s="451">
        <f>SUMIF('Wege im Detail'!$A:$A,"08734",'Wege im Detail'!$P:$P)</f>
        <v>3.177</v>
      </c>
      <c r="J245" s="508" t="s">
        <v>689</v>
      </c>
    </row>
    <row r="246" spans="1:221" ht="45" customHeight="1" x14ac:dyDescent="0.2">
      <c r="A246" s="444">
        <v>8735</v>
      </c>
      <c r="B246" s="445" t="s">
        <v>84</v>
      </c>
      <c r="C246" s="455" t="s">
        <v>85</v>
      </c>
      <c r="D246" s="511"/>
      <c r="E246" s="445" t="s">
        <v>690</v>
      </c>
      <c r="F246" s="445" t="s">
        <v>133</v>
      </c>
      <c r="G246" s="445"/>
      <c r="H246" s="448" t="s">
        <v>55</v>
      </c>
      <c r="I246" s="451">
        <f>SUMIF('Wege im Detail'!$A:$A,"08735",'Wege im Detail'!$P:$P)</f>
        <v>5.0510000000000002</v>
      </c>
      <c r="J246" s="508" t="s">
        <v>691</v>
      </c>
      <c r="K246" s="427"/>
      <c r="L246" s="428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</row>
    <row r="247" spans="1:221" ht="45" customHeight="1" x14ac:dyDescent="0.2">
      <c r="A247" s="444">
        <v>8737</v>
      </c>
      <c r="B247" s="445" t="s">
        <v>84</v>
      </c>
      <c r="C247" s="455" t="s">
        <v>85</v>
      </c>
      <c r="D247" s="511"/>
      <c r="E247" s="445" t="s">
        <v>692</v>
      </c>
      <c r="F247" s="445" t="s">
        <v>142</v>
      </c>
      <c r="G247" s="445"/>
      <c r="H247" s="448" t="s">
        <v>55</v>
      </c>
      <c r="I247" s="451">
        <f>SUMIF('Wege im Detail'!$A:$A,"08737",'Wege im Detail'!$P:$P)</f>
        <v>5.048</v>
      </c>
      <c r="J247" s="508" t="s">
        <v>693</v>
      </c>
    </row>
    <row r="248" spans="1:221" ht="45" customHeight="1" x14ac:dyDescent="0.2">
      <c r="A248" s="444">
        <v>8738</v>
      </c>
      <c r="B248" s="445" t="s">
        <v>84</v>
      </c>
      <c r="C248" s="455" t="s">
        <v>85</v>
      </c>
      <c r="D248" s="511"/>
      <c r="E248" s="445" t="s">
        <v>694</v>
      </c>
      <c r="F248" s="445" t="s">
        <v>147</v>
      </c>
      <c r="G248" s="445"/>
      <c r="H248" s="448" t="s">
        <v>55</v>
      </c>
      <c r="I248" s="451">
        <f>SUMIF('Wege im Detail'!$A:$A,"08738",'Wege im Detail'!$P:$P)</f>
        <v>5.2530000000000001</v>
      </c>
      <c r="J248" s="508" t="s">
        <v>695</v>
      </c>
      <c r="K248" s="427"/>
      <c r="L248" s="428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</row>
    <row r="249" spans="1:221" ht="45" customHeight="1" x14ac:dyDescent="0.2">
      <c r="A249" s="444">
        <v>8739</v>
      </c>
      <c r="B249" s="445" t="s">
        <v>84</v>
      </c>
      <c r="C249" s="455" t="s">
        <v>85</v>
      </c>
      <c r="D249" s="511"/>
      <c r="E249" s="445" t="s">
        <v>696</v>
      </c>
      <c r="F249" s="445" t="s">
        <v>138</v>
      </c>
      <c r="G249" s="445"/>
      <c r="H249" s="448" t="s">
        <v>55</v>
      </c>
      <c r="I249" s="451">
        <f>SUMIF('Wege im Detail'!$A:$A,"08739",'Wege im Detail'!$P:$P)</f>
        <v>3.8450000000000002</v>
      </c>
      <c r="J249" s="508" t="s">
        <v>697</v>
      </c>
      <c r="K249" s="427"/>
      <c r="L249" s="428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</row>
    <row r="250" spans="1:221" ht="45" customHeight="1" x14ac:dyDescent="0.2">
      <c r="A250" s="444">
        <v>8740</v>
      </c>
      <c r="B250" s="445" t="s">
        <v>84</v>
      </c>
      <c r="C250" s="455" t="s">
        <v>85</v>
      </c>
      <c r="D250" s="445"/>
      <c r="E250" s="445" t="s">
        <v>699</v>
      </c>
      <c r="F250" s="445" t="s">
        <v>147</v>
      </c>
      <c r="G250" s="445"/>
      <c r="H250" s="448" t="s">
        <v>55</v>
      </c>
      <c r="I250" s="451">
        <f>SUMIF('Wege im Detail'!$A:$A,"08740",'Wege im Detail'!$P:$P)</f>
        <v>5.33</v>
      </c>
      <c r="J250" s="508" t="s">
        <v>700</v>
      </c>
    </row>
    <row r="251" spans="1:221" ht="45" customHeight="1" x14ac:dyDescent="0.2">
      <c r="A251" s="444">
        <v>8741</v>
      </c>
      <c r="B251" s="445" t="s">
        <v>84</v>
      </c>
      <c r="C251" s="455" t="s">
        <v>85</v>
      </c>
      <c r="D251" s="445"/>
      <c r="E251" s="445" t="s">
        <v>702</v>
      </c>
      <c r="F251" s="445" t="s">
        <v>133</v>
      </c>
      <c r="G251" s="445"/>
      <c r="H251" s="448" t="s">
        <v>55</v>
      </c>
      <c r="I251" s="451">
        <f>SUMIF('Wege im Detail'!$A:$A,"08741",'Wege im Detail'!$P:$P)</f>
        <v>5.9459999999999997</v>
      </c>
      <c r="J251" s="508" t="s">
        <v>703</v>
      </c>
    </row>
    <row r="252" spans="1:221" ht="45" customHeight="1" x14ac:dyDescent="0.2">
      <c r="A252" s="444">
        <v>8742</v>
      </c>
      <c r="B252" s="445" t="s">
        <v>84</v>
      </c>
      <c r="C252" s="455" t="s">
        <v>85</v>
      </c>
      <c r="D252" s="445"/>
      <c r="E252" s="445" t="s">
        <v>705</v>
      </c>
      <c r="F252" s="445" t="s">
        <v>138</v>
      </c>
      <c r="G252" s="445"/>
      <c r="H252" s="448" t="s">
        <v>55</v>
      </c>
      <c r="I252" s="451">
        <f>SUMIF('Wege im Detail'!$A:$A,"08742",'Wege im Detail'!$P:$P)</f>
        <v>2.516</v>
      </c>
      <c r="J252" s="508" t="s">
        <v>706</v>
      </c>
      <c r="K252" s="427"/>
      <c r="L252" s="428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</row>
    <row r="253" spans="1:221" ht="45" customHeight="1" x14ac:dyDescent="0.2">
      <c r="A253" s="444">
        <v>8743</v>
      </c>
      <c r="B253" s="445" t="s">
        <v>84</v>
      </c>
      <c r="C253" s="455" t="s">
        <v>85</v>
      </c>
      <c r="D253" s="445"/>
      <c r="E253" s="445" t="s">
        <v>708</v>
      </c>
      <c r="F253" s="445" t="s">
        <v>172</v>
      </c>
      <c r="G253" s="445"/>
      <c r="H253" s="448" t="s">
        <v>55</v>
      </c>
      <c r="I253" s="451">
        <f>SUMIF('Wege im Detail'!$A:$A,"08743",'Wege im Detail'!$P:$P)</f>
        <v>5.2649999999999997</v>
      </c>
      <c r="J253" s="508" t="s">
        <v>709</v>
      </c>
    </row>
    <row r="254" spans="1:221" ht="45" customHeight="1" x14ac:dyDescent="0.2">
      <c r="A254" s="444">
        <v>8745</v>
      </c>
      <c r="B254" s="445" t="s">
        <v>84</v>
      </c>
      <c r="C254" s="455" t="s">
        <v>85</v>
      </c>
      <c r="D254" s="445"/>
      <c r="E254" s="445" t="s">
        <v>710</v>
      </c>
      <c r="F254" s="445" t="s">
        <v>711</v>
      </c>
      <c r="G254" s="445"/>
      <c r="H254" s="448" t="s">
        <v>55</v>
      </c>
      <c r="I254" s="451">
        <f>SUMIF('Wege im Detail'!$A:$A,"08745",'Wege im Detail'!$P:$P)</f>
        <v>6.0579999999999998</v>
      </c>
      <c r="J254" s="508" t="s">
        <v>712</v>
      </c>
    </row>
    <row r="255" spans="1:221" ht="45" customHeight="1" x14ac:dyDescent="0.2">
      <c r="A255" s="444">
        <v>8746</v>
      </c>
      <c r="B255" s="445" t="s">
        <v>84</v>
      </c>
      <c r="C255" s="455" t="s">
        <v>85</v>
      </c>
      <c r="D255" s="479"/>
      <c r="E255" s="445" t="s">
        <v>714</v>
      </c>
      <c r="F255" s="448" t="s">
        <v>147</v>
      </c>
      <c r="G255" s="448"/>
      <c r="H255" s="448" t="s">
        <v>55</v>
      </c>
      <c r="I255" s="451">
        <f>SUMIF('Wege im Detail'!$A:$A,"08746",'Wege im Detail'!$P:$P)</f>
        <v>0.80300000000000005</v>
      </c>
      <c r="J255" s="508" t="s">
        <v>715</v>
      </c>
    </row>
    <row r="256" spans="1:221" ht="45" customHeight="1" x14ac:dyDescent="0.2">
      <c r="A256" s="444">
        <v>8748</v>
      </c>
      <c r="B256" s="445" t="s">
        <v>84</v>
      </c>
      <c r="C256" s="455" t="s">
        <v>85</v>
      </c>
      <c r="D256" s="445"/>
      <c r="E256" s="445" t="s">
        <v>716</v>
      </c>
      <c r="F256" s="445" t="s">
        <v>142</v>
      </c>
      <c r="G256" s="445"/>
      <c r="H256" s="448" t="s">
        <v>55</v>
      </c>
      <c r="I256" s="451">
        <f>SUMIF('Wege im Detail'!$A:$A,"08748",'Wege im Detail'!$P:$P)</f>
        <v>5.48</v>
      </c>
      <c r="J256" s="508" t="s">
        <v>717</v>
      </c>
    </row>
    <row r="257" spans="1:221" ht="45" customHeight="1" x14ac:dyDescent="0.2">
      <c r="A257" s="444">
        <v>8753</v>
      </c>
      <c r="B257" s="445" t="s">
        <v>84</v>
      </c>
      <c r="C257" s="455" t="s">
        <v>85</v>
      </c>
      <c r="D257" s="479"/>
      <c r="E257" s="445" t="s">
        <v>718</v>
      </c>
      <c r="F257" s="448" t="s">
        <v>142</v>
      </c>
      <c r="G257" s="448"/>
      <c r="H257" s="448" t="s">
        <v>55</v>
      </c>
      <c r="I257" s="451">
        <f>SUMIF('Wege im Detail'!$A:$A,"08753",'Wege im Detail'!$P:$P)</f>
        <v>6.202</v>
      </c>
      <c r="J257" s="508" t="s">
        <v>719</v>
      </c>
    </row>
    <row r="258" spans="1:221" ht="45" customHeight="1" x14ac:dyDescent="0.2">
      <c r="A258" s="444">
        <v>8754</v>
      </c>
      <c r="B258" s="445" t="s">
        <v>84</v>
      </c>
      <c r="C258" s="455" t="s">
        <v>85</v>
      </c>
      <c r="D258" s="479"/>
      <c r="E258" s="445" t="s">
        <v>720</v>
      </c>
      <c r="F258" s="448" t="s">
        <v>147</v>
      </c>
      <c r="G258" s="448"/>
      <c r="H258" s="448" t="s">
        <v>55</v>
      </c>
      <c r="I258" s="451">
        <f>SUMIF('Wege im Detail'!$A:$A,"08754",'Wege im Detail'!$P:$P)</f>
        <v>4.327</v>
      </c>
      <c r="J258" s="508" t="s">
        <v>721</v>
      </c>
    </row>
    <row r="259" spans="1:221" ht="45" customHeight="1" x14ac:dyDescent="0.2">
      <c r="A259" s="444">
        <v>8775</v>
      </c>
      <c r="B259" s="445" t="s">
        <v>84</v>
      </c>
      <c r="C259" s="455" t="s">
        <v>85</v>
      </c>
      <c r="D259" s="479"/>
      <c r="E259" s="445" t="s">
        <v>723</v>
      </c>
      <c r="F259" s="448" t="s">
        <v>138</v>
      </c>
      <c r="G259" s="448"/>
      <c r="H259" s="448" t="s">
        <v>55</v>
      </c>
      <c r="I259" s="451">
        <f>SUMIF('Wege im Detail'!$A:$A,"08775",'Wege im Detail'!$P:$P)</f>
        <v>6.9459999999999997</v>
      </c>
      <c r="J259" s="508" t="s">
        <v>724</v>
      </c>
    </row>
    <row r="260" spans="1:221" ht="45" customHeight="1" x14ac:dyDescent="0.2">
      <c r="A260" s="444">
        <v>8777</v>
      </c>
      <c r="B260" s="445" t="s">
        <v>84</v>
      </c>
      <c r="C260" s="455" t="s">
        <v>85</v>
      </c>
      <c r="D260" s="479"/>
      <c r="E260" s="445" t="s">
        <v>726</v>
      </c>
      <c r="F260" s="448" t="s">
        <v>172</v>
      </c>
      <c r="G260" s="448"/>
      <c r="H260" s="448" t="s">
        <v>55</v>
      </c>
      <c r="I260" s="451">
        <f>SUMIF('Wege im Detail'!$A:$A,"08777",'Wege im Detail'!$P:$P)</f>
        <v>4.7569999999999997</v>
      </c>
      <c r="J260" s="508" t="s">
        <v>727</v>
      </c>
    </row>
    <row r="261" spans="1:221" ht="45" customHeight="1" x14ac:dyDescent="0.2">
      <c r="A261" s="444">
        <v>8778</v>
      </c>
      <c r="B261" s="445" t="s">
        <v>84</v>
      </c>
      <c r="C261" s="455" t="s">
        <v>85</v>
      </c>
      <c r="D261" s="479"/>
      <c r="E261" s="445" t="s">
        <v>729</v>
      </c>
      <c r="F261" s="448" t="s">
        <v>142</v>
      </c>
      <c r="G261" s="448"/>
      <c r="H261" s="448" t="s">
        <v>55</v>
      </c>
      <c r="I261" s="451">
        <f>SUMIF('Wege im Detail'!$A:$A,"08778",'Wege im Detail'!$P:$P)</f>
        <v>6.7489999999999997</v>
      </c>
      <c r="J261" s="508" t="s">
        <v>730</v>
      </c>
    </row>
    <row r="262" spans="1:221" ht="45" customHeight="1" x14ac:dyDescent="0.2">
      <c r="A262" s="444">
        <v>8779</v>
      </c>
      <c r="B262" s="445" t="s">
        <v>84</v>
      </c>
      <c r="C262" s="455" t="s">
        <v>85</v>
      </c>
      <c r="D262" s="479"/>
      <c r="E262" s="445" t="s">
        <v>732</v>
      </c>
      <c r="F262" s="448" t="s">
        <v>133</v>
      </c>
      <c r="G262" s="448"/>
      <c r="H262" s="448" t="s">
        <v>55</v>
      </c>
      <c r="I262" s="451">
        <f>SUMIF('Wege im Detail'!$A:$A,"08779",'Wege im Detail'!$P:$P)</f>
        <v>4.0250000000000004</v>
      </c>
      <c r="J262" s="508" t="s">
        <v>733</v>
      </c>
    </row>
    <row r="263" spans="1:221" ht="45" customHeight="1" x14ac:dyDescent="0.2">
      <c r="A263" s="444">
        <v>8780</v>
      </c>
      <c r="B263" s="445" t="s">
        <v>84</v>
      </c>
      <c r="C263" s="455" t="s">
        <v>85</v>
      </c>
      <c r="D263" s="479"/>
      <c r="E263" s="445" t="s">
        <v>735</v>
      </c>
      <c r="F263" s="448" t="s">
        <v>147</v>
      </c>
      <c r="G263" s="448"/>
      <c r="H263" s="448" t="s">
        <v>55</v>
      </c>
      <c r="I263" s="451">
        <f>SUMIF('Wege im Detail'!$A:$A,"08780",'Wege im Detail'!$P:$P)</f>
        <v>6.0540000000000003</v>
      </c>
      <c r="J263" s="508" t="s">
        <v>736</v>
      </c>
    </row>
    <row r="264" spans="1:221" ht="45" customHeight="1" x14ac:dyDescent="0.2">
      <c r="A264" s="444">
        <v>8781</v>
      </c>
      <c r="B264" s="445" t="s">
        <v>84</v>
      </c>
      <c r="C264" s="455" t="s">
        <v>85</v>
      </c>
      <c r="D264" s="479"/>
      <c r="E264" s="445" t="s">
        <v>738</v>
      </c>
      <c r="F264" s="448" t="s">
        <v>138</v>
      </c>
      <c r="G264" s="448"/>
      <c r="H264" s="448" t="s">
        <v>55</v>
      </c>
      <c r="I264" s="451">
        <f>SUMIF('Wege im Detail'!$A:$A,"08781",'Wege im Detail'!$P:$P)</f>
        <v>6.3029999999999999</v>
      </c>
      <c r="J264" s="508" t="s">
        <v>739</v>
      </c>
    </row>
    <row r="265" spans="1:221" ht="45" customHeight="1" x14ac:dyDescent="0.2">
      <c r="A265" s="444">
        <v>8869</v>
      </c>
      <c r="B265" s="445" t="s">
        <v>51</v>
      </c>
      <c r="C265" s="445" t="s">
        <v>91</v>
      </c>
      <c r="D265" s="445"/>
      <c r="E265" s="445">
        <v>133</v>
      </c>
      <c r="F265" s="445"/>
      <c r="G265" s="445"/>
      <c r="H265" s="448" t="s">
        <v>55</v>
      </c>
      <c r="I265" s="451">
        <f>SUMIF('Wege im Detail'!$A:$A,"08869",'Wege im Detail'!$P:$P)</f>
        <v>3.8140000000000001</v>
      </c>
      <c r="J265" s="508" t="s">
        <v>740</v>
      </c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</row>
    <row r="266" spans="1:221" ht="45" customHeight="1" x14ac:dyDescent="0.2">
      <c r="A266" s="444">
        <v>8894</v>
      </c>
      <c r="B266" s="445" t="s">
        <v>84</v>
      </c>
      <c r="C266" s="455" t="s">
        <v>85</v>
      </c>
      <c r="D266" s="445"/>
      <c r="E266" s="445" t="s">
        <v>742</v>
      </c>
      <c r="F266" s="445" t="s">
        <v>88</v>
      </c>
      <c r="G266" s="445"/>
      <c r="H266" s="448" t="s">
        <v>55</v>
      </c>
      <c r="I266" s="451">
        <f>SUMIF('Wege im Detail'!$A:$A,"08894",'Wege im Detail'!$P:$P)</f>
        <v>5.2380000000000004</v>
      </c>
      <c r="J266" s="508" t="s">
        <v>743</v>
      </c>
    </row>
    <row r="267" spans="1:221" ht="45" customHeight="1" x14ac:dyDescent="0.2">
      <c r="A267" s="444">
        <v>8909</v>
      </c>
      <c r="B267" s="445" t="s">
        <v>84</v>
      </c>
      <c r="C267" s="455" t="s">
        <v>85</v>
      </c>
      <c r="D267" s="445"/>
      <c r="E267" s="445" t="s">
        <v>744</v>
      </c>
      <c r="F267" s="445" t="s">
        <v>142</v>
      </c>
      <c r="G267" s="445"/>
      <c r="H267" s="448" t="s">
        <v>55</v>
      </c>
      <c r="I267" s="451">
        <f>SUMIF('Wege im Detail'!$A:$A,"08909",'Wege im Detail'!$P:$P)</f>
        <v>9.1159999999999997</v>
      </c>
      <c r="J267" s="508" t="s">
        <v>745</v>
      </c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0"/>
      <c r="DH267" s="180"/>
      <c r="DI267" s="180"/>
      <c r="DJ267" s="180"/>
      <c r="DK267" s="180"/>
      <c r="DL267" s="180"/>
      <c r="DM267" s="180"/>
      <c r="DN267" s="180"/>
      <c r="DO267" s="180"/>
      <c r="DP267" s="180"/>
      <c r="DQ267" s="180"/>
      <c r="DR267" s="180"/>
      <c r="DS267" s="180"/>
      <c r="DT267" s="180"/>
      <c r="DU267" s="180"/>
      <c r="DV267" s="180"/>
      <c r="DW267" s="180"/>
      <c r="DX267" s="180"/>
      <c r="DY267" s="180"/>
      <c r="DZ267" s="180"/>
      <c r="EA267" s="180"/>
      <c r="EB267" s="180"/>
      <c r="EC267" s="180"/>
      <c r="ED267" s="180"/>
      <c r="EE267" s="180"/>
      <c r="EF267" s="180"/>
      <c r="EG267" s="180"/>
      <c r="EH267" s="180"/>
      <c r="EI267" s="180"/>
      <c r="EJ267" s="180"/>
      <c r="EK267" s="180"/>
      <c r="EL267" s="180"/>
      <c r="EM267" s="180"/>
      <c r="EN267" s="180"/>
      <c r="EO267" s="180"/>
      <c r="EP267" s="180"/>
      <c r="EQ267" s="180"/>
      <c r="ER267" s="180"/>
      <c r="ES267" s="180"/>
      <c r="ET267" s="180"/>
      <c r="EU267" s="180"/>
      <c r="EV267" s="180"/>
      <c r="EW267" s="180"/>
      <c r="EX267" s="180"/>
      <c r="EY267" s="180"/>
      <c r="EZ267" s="180"/>
      <c r="FA267" s="180"/>
      <c r="FB267" s="180"/>
      <c r="FC267" s="180"/>
      <c r="FD267" s="180"/>
      <c r="FE267" s="180"/>
      <c r="FF267" s="180"/>
      <c r="FG267" s="180"/>
      <c r="FH267" s="180"/>
      <c r="FI267" s="180"/>
      <c r="FJ267" s="180"/>
      <c r="FK267" s="180"/>
      <c r="FL267" s="180"/>
      <c r="FM267" s="180"/>
      <c r="FN267" s="180"/>
      <c r="FO267" s="180"/>
      <c r="FP267" s="180"/>
      <c r="FQ267" s="180"/>
      <c r="FR267" s="180"/>
      <c r="FS267" s="180"/>
      <c r="FT267" s="180"/>
      <c r="FU267" s="180"/>
      <c r="FV267" s="180"/>
      <c r="FW267" s="180"/>
      <c r="FX267" s="180"/>
      <c r="FY267" s="180"/>
      <c r="FZ267" s="180"/>
      <c r="GA267" s="180"/>
      <c r="GB267" s="180"/>
      <c r="GC267" s="180"/>
      <c r="GD267" s="180"/>
      <c r="GE267" s="180"/>
      <c r="GF267" s="180"/>
      <c r="GG267" s="180"/>
      <c r="GH267" s="180"/>
      <c r="GI267" s="180"/>
      <c r="GJ267" s="180"/>
      <c r="GK267" s="180"/>
      <c r="GL267" s="180"/>
      <c r="GM267" s="180"/>
      <c r="GN267" s="180"/>
      <c r="GO267" s="180"/>
      <c r="GP267" s="180"/>
      <c r="GQ267" s="180"/>
      <c r="GR267" s="180"/>
      <c r="GS267" s="180"/>
      <c r="GT267" s="180"/>
      <c r="GU267" s="180"/>
      <c r="GV267" s="180"/>
      <c r="GW267" s="180"/>
      <c r="GX267" s="180"/>
      <c r="GY267" s="180"/>
      <c r="GZ267" s="180"/>
      <c r="HA267" s="180"/>
      <c r="HB267" s="180"/>
      <c r="HC267" s="180"/>
      <c r="HD267" s="180"/>
      <c r="HE267" s="180"/>
      <c r="HF267" s="180"/>
      <c r="HG267" s="180"/>
      <c r="HH267" s="180"/>
      <c r="HI267" s="180"/>
      <c r="HJ267" s="180"/>
      <c r="HK267" s="180"/>
      <c r="HL267" s="180"/>
      <c r="HM267" s="180"/>
    </row>
    <row r="268" spans="1:221" ht="45" customHeight="1" x14ac:dyDescent="0.2">
      <c r="A268" s="444">
        <v>8910</v>
      </c>
      <c r="B268" s="445" t="s">
        <v>84</v>
      </c>
      <c r="C268" s="455" t="s">
        <v>85</v>
      </c>
      <c r="D268" s="445"/>
      <c r="E268" s="445" t="s">
        <v>746</v>
      </c>
      <c r="F268" s="445" t="s">
        <v>147</v>
      </c>
      <c r="G268" s="445"/>
      <c r="H268" s="448" t="s">
        <v>55</v>
      </c>
      <c r="I268" s="451">
        <f>SUMIF('Wege im Detail'!$A:$A,"08910",'Wege im Detail'!$P:$P)</f>
        <v>15.246</v>
      </c>
      <c r="J268" s="508" t="s">
        <v>747</v>
      </c>
      <c r="K268" s="427"/>
      <c r="L268" s="428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79"/>
      <c r="DX268" s="179"/>
      <c r="DY268" s="179"/>
      <c r="DZ268" s="179"/>
      <c r="EA268" s="179"/>
      <c r="EB268" s="179"/>
      <c r="EC268" s="179"/>
      <c r="ED268" s="179"/>
      <c r="EE268" s="179"/>
      <c r="EF268" s="179"/>
      <c r="EG268" s="179"/>
      <c r="EH268" s="179"/>
      <c r="EI268" s="179"/>
      <c r="EJ268" s="179"/>
      <c r="EK268" s="179"/>
      <c r="EL268" s="179"/>
      <c r="EM268" s="179"/>
      <c r="EN268" s="179"/>
      <c r="EO268" s="179"/>
      <c r="EP268" s="179"/>
      <c r="EQ268" s="179"/>
      <c r="ER268" s="179"/>
      <c r="ES268" s="179"/>
      <c r="ET268" s="179"/>
      <c r="EU268" s="179"/>
      <c r="EV268" s="179"/>
      <c r="EW268" s="179"/>
      <c r="EX268" s="179"/>
      <c r="EY268" s="179"/>
      <c r="EZ268" s="179"/>
      <c r="FA268" s="179"/>
      <c r="FB268" s="179"/>
      <c r="FC268" s="179"/>
      <c r="FD268" s="179"/>
      <c r="FE268" s="179"/>
      <c r="FF268" s="179"/>
      <c r="FG268" s="179"/>
      <c r="FH268" s="179"/>
      <c r="FI268" s="179"/>
      <c r="FJ268" s="179"/>
      <c r="FK268" s="179"/>
      <c r="FL268" s="179"/>
      <c r="FM268" s="179"/>
      <c r="FN268" s="179"/>
      <c r="FO268" s="179"/>
      <c r="FP268" s="179"/>
      <c r="FQ268" s="179"/>
      <c r="FR268" s="179"/>
      <c r="FS268" s="179"/>
      <c r="FT268" s="179"/>
      <c r="FU268" s="179"/>
      <c r="FV268" s="179"/>
      <c r="FW268" s="179"/>
      <c r="FX268" s="179"/>
      <c r="FY268" s="179"/>
      <c r="FZ268" s="179"/>
      <c r="GA268" s="179"/>
      <c r="GB268" s="179"/>
      <c r="GC268" s="179"/>
      <c r="GD268" s="179"/>
      <c r="GE268" s="179"/>
      <c r="GF268" s="179"/>
      <c r="GG268" s="179"/>
      <c r="GH268" s="179"/>
      <c r="GI268" s="179"/>
      <c r="GJ268" s="179"/>
      <c r="GK268" s="179"/>
      <c r="GL268" s="179"/>
      <c r="GM268" s="179"/>
      <c r="GN268" s="179"/>
      <c r="GO268" s="179"/>
      <c r="GP268" s="179"/>
      <c r="GQ268" s="179"/>
      <c r="GR268" s="179"/>
      <c r="GS268" s="179"/>
      <c r="GT268" s="179"/>
      <c r="GU268" s="179"/>
      <c r="GV268" s="179"/>
      <c r="GW268" s="179"/>
      <c r="GX268" s="179"/>
      <c r="GY268" s="179"/>
      <c r="GZ268" s="179"/>
      <c r="HA268" s="179"/>
      <c r="HB268" s="179"/>
      <c r="HC268" s="179"/>
      <c r="HD268" s="179"/>
      <c r="HE268" s="179"/>
      <c r="HF268" s="179"/>
      <c r="HG268" s="179"/>
      <c r="HH268" s="179"/>
      <c r="HI268" s="179"/>
      <c r="HJ268" s="179"/>
      <c r="HK268" s="179"/>
      <c r="HL268" s="179"/>
      <c r="HM268" s="179"/>
    </row>
    <row r="269" spans="1:221" ht="45" customHeight="1" x14ac:dyDescent="0.2">
      <c r="A269" s="444">
        <v>8911</v>
      </c>
      <c r="B269" s="445" t="s">
        <v>84</v>
      </c>
      <c r="C269" s="455" t="s">
        <v>85</v>
      </c>
      <c r="D269" s="445"/>
      <c r="E269" s="445" t="s">
        <v>748</v>
      </c>
      <c r="F269" s="445" t="s">
        <v>133</v>
      </c>
      <c r="G269" s="445"/>
      <c r="H269" s="448" t="s">
        <v>55</v>
      </c>
      <c r="I269" s="451">
        <f>SUMIF('Wege im Detail'!$A:$A,"08911",'Wege im Detail'!$P:$P)</f>
        <v>8.7910000000000004</v>
      </c>
      <c r="J269" s="508" t="s">
        <v>749</v>
      </c>
      <c r="K269" s="427"/>
      <c r="L269" s="428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79"/>
      <c r="DX269" s="179"/>
      <c r="DY269" s="179"/>
      <c r="DZ269" s="179"/>
      <c r="EA269" s="179"/>
      <c r="EB269" s="179"/>
      <c r="EC269" s="179"/>
      <c r="ED269" s="179"/>
      <c r="EE269" s="179"/>
      <c r="EF269" s="179"/>
      <c r="EG269" s="179"/>
      <c r="EH269" s="179"/>
      <c r="EI269" s="179"/>
      <c r="EJ269" s="179"/>
      <c r="EK269" s="179"/>
      <c r="EL269" s="179"/>
      <c r="EM269" s="179"/>
      <c r="EN269" s="179"/>
      <c r="EO269" s="179"/>
      <c r="EP269" s="179"/>
      <c r="EQ269" s="179"/>
      <c r="ER269" s="179"/>
      <c r="ES269" s="179"/>
      <c r="ET269" s="179"/>
      <c r="EU269" s="179"/>
      <c r="EV269" s="179"/>
      <c r="EW269" s="179"/>
      <c r="EX269" s="179"/>
      <c r="EY269" s="179"/>
      <c r="EZ269" s="179"/>
      <c r="FA269" s="179"/>
      <c r="FB269" s="179"/>
      <c r="FC269" s="179"/>
      <c r="FD269" s="179"/>
      <c r="FE269" s="179"/>
      <c r="FF269" s="179"/>
      <c r="FG269" s="179"/>
      <c r="FH269" s="179"/>
      <c r="FI269" s="179"/>
      <c r="FJ269" s="179"/>
      <c r="FK269" s="179"/>
      <c r="FL269" s="179"/>
      <c r="FM269" s="179"/>
      <c r="FN269" s="179"/>
      <c r="FO269" s="179"/>
      <c r="FP269" s="179"/>
      <c r="FQ269" s="179"/>
      <c r="FR269" s="179"/>
      <c r="FS269" s="179"/>
      <c r="FT269" s="179"/>
      <c r="FU269" s="179"/>
      <c r="FV269" s="179"/>
      <c r="FW269" s="179"/>
      <c r="FX269" s="179"/>
      <c r="FY269" s="179"/>
      <c r="FZ269" s="179"/>
      <c r="GA269" s="179"/>
      <c r="GB269" s="179"/>
      <c r="GC269" s="179"/>
      <c r="GD269" s="179"/>
      <c r="GE269" s="179"/>
      <c r="GF269" s="179"/>
      <c r="GG269" s="179"/>
      <c r="GH269" s="179"/>
      <c r="GI269" s="179"/>
      <c r="GJ269" s="179"/>
      <c r="GK269" s="179"/>
      <c r="GL269" s="179"/>
      <c r="GM269" s="179"/>
      <c r="GN269" s="179"/>
      <c r="GO269" s="179"/>
      <c r="GP269" s="179"/>
      <c r="GQ269" s="179"/>
      <c r="GR269" s="179"/>
      <c r="GS269" s="179"/>
      <c r="GT269" s="179"/>
      <c r="GU269" s="179"/>
      <c r="GV269" s="179"/>
      <c r="GW269" s="179"/>
      <c r="GX269" s="179"/>
      <c r="GY269" s="179"/>
      <c r="GZ269" s="179"/>
      <c r="HA269" s="179"/>
      <c r="HB269" s="179"/>
      <c r="HC269" s="179"/>
      <c r="HD269" s="179"/>
      <c r="HE269" s="179"/>
      <c r="HF269" s="179"/>
      <c r="HG269" s="179"/>
      <c r="HH269" s="179"/>
      <c r="HI269" s="179"/>
      <c r="HJ269" s="179"/>
      <c r="HK269" s="179"/>
      <c r="HL269" s="179"/>
      <c r="HM269" s="179"/>
    </row>
    <row r="270" spans="1:221" s="180" customFormat="1" ht="45" customHeight="1" x14ac:dyDescent="0.2">
      <c r="A270" s="444">
        <v>8926</v>
      </c>
      <c r="B270" s="445" t="s">
        <v>51</v>
      </c>
      <c r="C270" s="445" t="s">
        <v>91</v>
      </c>
      <c r="D270" s="445"/>
      <c r="E270" s="445">
        <v>131</v>
      </c>
      <c r="F270" s="445"/>
      <c r="G270" s="445"/>
      <c r="H270" s="448" t="s">
        <v>55</v>
      </c>
      <c r="I270" s="451">
        <f>SUMIF('Wege im Detail'!$A:$A,"08926",'Wege im Detail'!$P:$P)</f>
        <v>7.2069999999999999</v>
      </c>
      <c r="J270" s="508" t="s">
        <v>750</v>
      </c>
      <c r="K270" s="425"/>
      <c r="L270" s="426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</row>
    <row r="271" spans="1:221" s="180" customFormat="1" ht="45" customHeight="1" x14ac:dyDescent="0.2">
      <c r="A271" s="444">
        <v>9009</v>
      </c>
      <c r="B271" s="445" t="s">
        <v>84</v>
      </c>
      <c r="C271" s="455" t="s">
        <v>85</v>
      </c>
      <c r="D271" s="445"/>
      <c r="E271" s="445" t="s">
        <v>751</v>
      </c>
      <c r="F271" s="445" t="s">
        <v>133</v>
      </c>
      <c r="G271" s="445"/>
      <c r="H271" s="448" t="s">
        <v>55</v>
      </c>
      <c r="I271" s="451">
        <f>SUMIF('Wege im Detail'!$A:$A,"09009",'Wege im Detail'!$P:$P)</f>
        <v>7.7</v>
      </c>
      <c r="J271" s="508" t="s">
        <v>752</v>
      </c>
      <c r="K271" s="427"/>
      <c r="L271" s="428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</row>
    <row r="272" spans="1:221" s="180" customFormat="1" ht="45" customHeight="1" x14ac:dyDescent="0.2">
      <c r="A272" s="444">
        <v>9010</v>
      </c>
      <c r="B272" s="445" t="s">
        <v>84</v>
      </c>
      <c r="C272" s="455" t="s">
        <v>85</v>
      </c>
      <c r="D272" s="445"/>
      <c r="E272" s="445" t="s">
        <v>753</v>
      </c>
      <c r="F272" s="445" t="s">
        <v>147</v>
      </c>
      <c r="G272" s="445"/>
      <c r="H272" s="448" t="s">
        <v>55</v>
      </c>
      <c r="I272" s="451">
        <f>SUMIF('Wege im Detail'!$A:$A,"09010",'Wege im Detail'!$P:$P)</f>
        <v>8.8879999999999999</v>
      </c>
      <c r="J272" s="508" t="s">
        <v>754</v>
      </c>
      <c r="K272" s="425"/>
      <c r="L272" s="426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</row>
    <row r="273" spans="1:221" s="35" customFormat="1" ht="45" customHeight="1" x14ac:dyDescent="0.2">
      <c r="A273" s="444">
        <v>9011</v>
      </c>
      <c r="B273" s="445" t="s">
        <v>84</v>
      </c>
      <c r="C273" s="455" t="s">
        <v>85</v>
      </c>
      <c r="D273" s="445"/>
      <c r="E273" s="445" t="s">
        <v>755</v>
      </c>
      <c r="F273" s="445" t="s">
        <v>756</v>
      </c>
      <c r="G273" s="445"/>
      <c r="H273" s="448" t="s">
        <v>55</v>
      </c>
      <c r="I273" s="451">
        <f>SUMIF('Wege im Detail'!$A:$A,"09011",'Wege im Detail'!$P:$P)</f>
        <v>7.0030000000000001</v>
      </c>
      <c r="J273" s="508" t="s">
        <v>757</v>
      </c>
      <c r="K273" s="425"/>
      <c r="L273" s="426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</row>
    <row r="274" spans="1:221" s="35" customFormat="1" ht="45" customHeight="1" x14ac:dyDescent="0.2">
      <c r="A274" s="444">
        <v>10503</v>
      </c>
      <c r="B274" s="445" t="s">
        <v>51</v>
      </c>
      <c r="C274" s="455" t="s">
        <v>52</v>
      </c>
      <c r="D274" s="479"/>
      <c r="E274" s="445">
        <v>610</v>
      </c>
      <c r="F274" s="445" t="s">
        <v>759</v>
      </c>
      <c r="G274" s="445"/>
      <c r="H274" s="448"/>
      <c r="I274" s="451">
        <f>SUMIF('Wege im Detail'!$A:$A,"10503",'Wege im Detail'!$P:$P)</f>
        <v>31.866</v>
      </c>
      <c r="J274" s="508" t="s">
        <v>760</v>
      </c>
      <c r="K274" s="427"/>
      <c r="L274" s="428"/>
    </row>
    <row r="275" spans="1:221" ht="45" customHeight="1" x14ac:dyDescent="0.2">
      <c r="A275" s="444">
        <v>10903</v>
      </c>
      <c r="B275" s="445" t="s">
        <v>84</v>
      </c>
      <c r="C275" s="455" t="s">
        <v>85</v>
      </c>
      <c r="D275" s="445"/>
      <c r="E275" s="445" t="s">
        <v>764</v>
      </c>
      <c r="F275" s="445" t="s">
        <v>142</v>
      </c>
      <c r="G275" s="445"/>
      <c r="H275" s="448" t="s">
        <v>55</v>
      </c>
      <c r="I275" s="451">
        <f>SUMIF('Wege im Detail'!$A:$A,"10903",'Wege im Detail'!$P:$P)</f>
        <v>8.9909999999999997</v>
      </c>
      <c r="J275" s="508" t="s">
        <v>765</v>
      </c>
    </row>
    <row r="276" spans="1:221" ht="45" customHeight="1" x14ac:dyDescent="0.2">
      <c r="A276" s="444">
        <v>11739</v>
      </c>
      <c r="B276" s="445" t="s">
        <v>51</v>
      </c>
      <c r="C276" s="445" t="s">
        <v>286</v>
      </c>
      <c r="D276" s="470"/>
      <c r="E276" s="445">
        <v>500</v>
      </c>
      <c r="F276" s="445" t="s">
        <v>767</v>
      </c>
      <c r="G276" s="445" t="s">
        <v>286</v>
      </c>
      <c r="H276" s="448" t="s">
        <v>55</v>
      </c>
      <c r="I276" s="451">
        <f>SUMIF('Wege im Detail'!$A:$A,"11739",'Wege im Detail'!$P:$P)</f>
        <v>225.90599999999998</v>
      </c>
      <c r="J276" s="508" t="s">
        <v>768</v>
      </c>
      <c r="K276" s="431"/>
      <c r="L276" s="443"/>
      <c r="M276" s="423"/>
    </row>
    <row r="277" spans="1:221" ht="45" customHeight="1" x14ac:dyDescent="0.2">
      <c r="A277" s="444">
        <v>13342</v>
      </c>
      <c r="B277" s="445" t="s">
        <v>84</v>
      </c>
      <c r="C277" s="455" t="s">
        <v>85</v>
      </c>
      <c r="D277" s="445"/>
      <c r="E277" s="445" t="s">
        <v>771</v>
      </c>
      <c r="F277" s="445" t="s">
        <v>168</v>
      </c>
      <c r="G277" s="445"/>
      <c r="H277" s="448" t="s">
        <v>55</v>
      </c>
      <c r="I277" s="451">
        <f>SUMIF('Wege im Detail'!$A:$A,"13342",'Wege im Detail'!$P:$P)</f>
        <v>3.3050000000000002</v>
      </c>
      <c r="J277" s="508" t="s">
        <v>772</v>
      </c>
    </row>
    <row r="278" spans="1:221" ht="45" customHeight="1" x14ac:dyDescent="0.2">
      <c r="A278" s="444">
        <v>13343</v>
      </c>
      <c r="B278" s="445" t="s">
        <v>84</v>
      </c>
      <c r="C278" s="455" t="s">
        <v>85</v>
      </c>
      <c r="D278" s="445"/>
      <c r="E278" s="445" t="s">
        <v>774</v>
      </c>
      <c r="F278" s="445" t="s">
        <v>273</v>
      </c>
      <c r="G278" s="445"/>
      <c r="H278" s="448" t="s">
        <v>55</v>
      </c>
      <c r="I278" s="451">
        <f>SUMIF('Wege im Detail'!$A:$A,"13343",'Wege im Detail'!$P:$P)</f>
        <v>5.48</v>
      </c>
      <c r="J278" s="508" t="s">
        <v>775</v>
      </c>
    </row>
    <row r="279" spans="1:221" ht="45" customHeight="1" x14ac:dyDescent="0.2">
      <c r="A279" s="444">
        <v>14123</v>
      </c>
      <c r="B279" s="445" t="s">
        <v>51</v>
      </c>
      <c r="C279" s="445" t="s">
        <v>91</v>
      </c>
      <c r="D279" s="470"/>
      <c r="E279" s="445">
        <v>508</v>
      </c>
      <c r="F279" s="445" t="s">
        <v>777</v>
      </c>
      <c r="G279" s="445"/>
      <c r="H279" s="448" t="s">
        <v>55</v>
      </c>
      <c r="I279" s="451">
        <f>SUMIF('Wege im Detail'!$A:$A,"14123",'Wege im Detail'!$P:$P)</f>
        <v>2.5190000000000001</v>
      </c>
      <c r="J279" s="516" t="s">
        <v>778</v>
      </c>
      <c r="M279" s="714"/>
    </row>
    <row r="280" spans="1:221" s="35" customFormat="1" ht="45" customHeight="1" x14ac:dyDescent="0.2">
      <c r="A280" s="444">
        <v>14124</v>
      </c>
      <c r="B280" s="445" t="s">
        <v>51</v>
      </c>
      <c r="C280" s="445" t="s">
        <v>91</v>
      </c>
      <c r="D280" s="470"/>
      <c r="E280" s="445">
        <v>509</v>
      </c>
      <c r="F280" s="445" t="s">
        <v>777</v>
      </c>
      <c r="G280" s="445"/>
      <c r="H280" s="448" t="s">
        <v>55</v>
      </c>
      <c r="I280" s="451">
        <f>SUMIF('Wege im Detail'!$A:$A,"14124",'Wege im Detail'!$P:$P)</f>
        <v>5.81</v>
      </c>
      <c r="J280" s="516" t="s">
        <v>779</v>
      </c>
      <c r="K280" s="427"/>
      <c r="L280" s="428"/>
      <c r="M280" s="428"/>
    </row>
    <row r="281" spans="1:221" s="35" customFormat="1" ht="45" customHeight="1" x14ac:dyDescent="0.2">
      <c r="A281" s="444">
        <v>14160</v>
      </c>
      <c r="B281" s="445" t="s">
        <v>51</v>
      </c>
      <c r="C281" s="445" t="s">
        <v>91</v>
      </c>
      <c r="D281" s="470"/>
      <c r="E281" s="445">
        <v>501</v>
      </c>
      <c r="F281" s="445" t="s">
        <v>777</v>
      </c>
      <c r="G281" s="445"/>
      <c r="H281" s="448" t="s">
        <v>55</v>
      </c>
      <c r="I281" s="451">
        <f>SUMIF('Wege im Detail'!$A:$A,"14160",'Wege im Detail'!$P:$P)</f>
        <v>11.629000000000001</v>
      </c>
      <c r="J281" s="516" t="s">
        <v>780</v>
      </c>
      <c r="K281" s="425"/>
      <c r="L281" s="426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</row>
    <row r="282" spans="1:221" s="35" customFormat="1" ht="45" customHeight="1" x14ac:dyDescent="0.2">
      <c r="A282" s="444">
        <v>14192</v>
      </c>
      <c r="B282" s="445" t="s">
        <v>51</v>
      </c>
      <c r="C282" s="445" t="s">
        <v>91</v>
      </c>
      <c r="D282" s="470"/>
      <c r="E282" s="445">
        <v>512</v>
      </c>
      <c r="F282" s="445" t="s">
        <v>777</v>
      </c>
      <c r="G282" s="445"/>
      <c r="H282" s="448" t="s">
        <v>55</v>
      </c>
      <c r="I282" s="451">
        <f>SUMIF('Wege im Detail'!$A:$A,"14192",'Wege im Detail'!$P:$P)</f>
        <v>2.4</v>
      </c>
      <c r="J282" s="516" t="s">
        <v>781</v>
      </c>
      <c r="K282" s="425"/>
      <c r="L282" s="426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</row>
    <row r="283" spans="1:221" s="35" customFormat="1" ht="45" customHeight="1" x14ac:dyDescent="0.2">
      <c r="A283" s="444">
        <v>14193</v>
      </c>
      <c r="B283" s="445" t="s">
        <v>51</v>
      </c>
      <c r="C283" s="445" t="s">
        <v>91</v>
      </c>
      <c r="D283" s="470"/>
      <c r="E283" s="445">
        <v>510</v>
      </c>
      <c r="F283" s="445" t="s">
        <v>777</v>
      </c>
      <c r="G283" s="445"/>
      <c r="H283" s="448" t="s">
        <v>55</v>
      </c>
      <c r="I283" s="451">
        <f>SUMIF('Wege im Detail'!$A:$A,"14193",'Wege im Detail'!$P:$P)</f>
        <v>2.4129999999999998</v>
      </c>
      <c r="J283" s="516" t="s">
        <v>782</v>
      </c>
      <c r="K283" s="425"/>
      <c r="L283" s="426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</row>
    <row r="284" spans="1:221" ht="45" customHeight="1" x14ac:dyDescent="0.2">
      <c r="A284" s="444">
        <v>14194</v>
      </c>
      <c r="B284" s="445" t="s">
        <v>51</v>
      </c>
      <c r="C284" s="445" t="s">
        <v>91</v>
      </c>
      <c r="D284" s="470"/>
      <c r="E284" s="445">
        <v>516</v>
      </c>
      <c r="F284" s="445" t="s">
        <v>777</v>
      </c>
      <c r="G284" s="445"/>
      <c r="H284" s="448" t="s">
        <v>55</v>
      </c>
      <c r="I284" s="451">
        <f>SUMIF('Wege im Detail'!$A:$A,"14194",'Wege im Detail'!$P:$P)</f>
        <v>2.6739999999999999</v>
      </c>
      <c r="J284" s="516" t="s">
        <v>783</v>
      </c>
    </row>
    <row r="285" spans="1:221" ht="45" customHeight="1" x14ac:dyDescent="0.2">
      <c r="A285" s="444">
        <v>14195</v>
      </c>
      <c r="B285" s="445" t="s">
        <v>51</v>
      </c>
      <c r="C285" s="445" t="s">
        <v>91</v>
      </c>
      <c r="D285" s="470"/>
      <c r="E285" s="445">
        <v>518</v>
      </c>
      <c r="F285" s="445" t="s">
        <v>777</v>
      </c>
      <c r="G285" s="445"/>
      <c r="H285" s="448" t="s">
        <v>55</v>
      </c>
      <c r="I285" s="451">
        <f>SUMIF('Wege im Detail'!$A:$A,"14195",'Wege im Detail'!$P:$P)</f>
        <v>13.849</v>
      </c>
      <c r="J285" s="516" t="s">
        <v>784</v>
      </c>
    </row>
    <row r="286" spans="1:221" ht="45" customHeight="1" x14ac:dyDescent="0.2">
      <c r="A286" s="444">
        <v>14196</v>
      </c>
      <c r="B286" s="445" t="s">
        <v>51</v>
      </c>
      <c r="C286" s="445" t="s">
        <v>91</v>
      </c>
      <c r="D286" s="470"/>
      <c r="E286" s="445">
        <v>507</v>
      </c>
      <c r="F286" s="445" t="s">
        <v>777</v>
      </c>
      <c r="G286" s="445"/>
      <c r="H286" s="448" t="s">
        <v>55</v>
      </c>
      <c r="I286" s="451">
        <f>SUMIF('Wege im Detail'!$A:$A,"14196",'Wege im Detail'!$P:$P)</f>
        <v>1.0569999999999999</v>
      </c>
      <c r="J286" s="516" t="s">
        <v>785</v>
      </c>
    </row>
    <row r="287" spans="1:221" ht="45" customHeight="1" x14ac:dyDescent="0.2">
      <c r="A287" s="444">
        <v>14197</v>
      </c>
      <c r="B287" s="445" t="s">
        <v>51</v>
      </c>
      <c r="C287" s="445" t="s">
        <v>91</v>
      </c>
      <c r="D287" s="470"/>
      <c r="E287" s="445">
        <v>506</v>
      </c>
      <c r="F287" s="445" t="s">
        <v>777</v>
      </c>
      <c r="G287" s="445"/>
      <c r="H287" s="448" t="s">
        <v>55</v>
      </c>
      <c r="I287" s="451">
        <f>SUMIF('Wege im Detail'!$A:$A,"14197",'Wege im Detail'!$P:$P)</f>
        <v>3.6890000000000001</v>
      </c>
      <c r="J287" s="516" t="s">
        <v>786</v>
      </c>
    </row>
    <row r="288" spans="1:221" ht="45" customHeight="1" x14ac:dyDescent="0.2">
      <c r="A288" s="444">
        <v>14225</v>
      </c>
      <c r="B288" s="445" t="s">
        <v>51</v>
      </c>
      <c r="C288" s="445" t="s">
        <v>91</v>
      </c>
      <c r="D288" s="470"/>
      <c r="E288" s="445">
        <v>513</v>
      </c>
      <c r="F288" s="445" t="s">
        <v>777</v>
      </c>
      <c r="G288" s="445"/>
      <c r="H288" s="448" t="s">
        <v>55</v>
      </c>
      <c r="I288" s="451">
        <f>SUMIF('Wege im Detail'!$A:$A,"14225",'Wege im Detail'!$P:$P)</f>
        <v>12.524000000000001</v>
      </c>
      <c r="J288" s="516" t="s">
        <v>787</v>
      </c>
      <c r="K288" s="427"/>
      <c r="L288" s="428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</row>
    <row r="289" spans="1:221" ht="45" customHeight="1" x14ac:dyDescent="0.2">
      <c r="A289" s="444">
        <v>14257</v>
      </c>
      <c r="B289" s="445" t="s">
        <v>51</v>
      </c>
      <c r="C289" s="445" t="s">
        <v>91</v>
      </c>
      <c r="D289" s="470"/>
      <c r="E289" s="445">
        <v>514</v>
      </c>
      <c r="F289" s="445" t="s">
        <v>777</v>
      </c>
      <c r="G289" s="445"/>
      <c r="H289" s="448" t="s">
        <v>55</v>
      </c>
      <c r="I289" s="451">
        <f>SUMIF('Wege im Detail'!$A:$A,"14257",'Wege im Detail'!$P:$P)</f>
        <v>5.9619999999999997</v>
      </c>
      <c r="J289" s="516" t="s">
        <v>788</v>
      </c>
    </row>
    <row r="290" spans="1:221" ht="45" customHeight="1" x14ac:dyDescent="0.2">
      <c r="A290" s="444">
        <v>14258</v>
      </c>
      <c r="B290" s="445" t="s">
        <v>51</v>
      </c>
      <c r="C290" s="445" t="s">
        <v>91</v>
      </c>
      <c r="D290" s="470"/>
      <c r="E290" s="445">
        <v>511</v>
      </c>
      <c r="F290" s="445" t="s">
        <v>777</v>
      </c>
      <c r="G290" s="445"/>
      <c r="H290" s="448" t="s">
        <v>55</v>
      </c>
      <c r="I290" s="451">
        <f>SUMIF('Wege im Detail'!$A:$A,"14258",'Wege im Detail'!$P:$P)</f>
        <v>6.83</v>
      </c>
      <c r="J290" s="516" t="s">
        <v>790</v>
      </c>
    </row>
    <row r="291" spans="1:221" ht="45" customHeight="1" x14ac:dyDescent="0.2">
      <c r="A291" s="444">
        <v>14259</v>
      </c>
      <c r="B291" s="445" t="s">
        <v>51</v>
      </c>
      <c r="C291" s="445" t="s">
        <v>91</v>
      </c>
      <c r="D291" s="470"/>
      <c r="E291" s="445">
        <v>504</v>
      </c>
      <c r="F291" s="445" t="s">
        <v>777</v>
      </c>
      <c r="G291" s="445"/>
      <c r="H291" s="448" t="s">
        <v>55</v>
      </c>
      <c r="I291" s="451">
        <f>SUMIF('Wege im Detail'!$A:$A,"14259",'Wege im Detail'!$P:$P)</f>
        <v>3.504</v>
      </c>
      <c r="J291" s="516" t="s">
        <v>791</v>
      </c>
      <c r="K291" s="427"/>
      <c r="L291" s="428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</row>
    <row r="292" spans="1:221" ht="45" customHeight="1" x14ac:dyDescent="0.2">
      <c r="A292" s="444">
        <v>14260</v>
      </c>
      <c r="B292" s="445" t="s">
        <v>51</v>
      </c>
      <c r="C292" s="445" t="s">
        <v>91</v>
      </c>
      <c r="D292" s="470"/>
      <c r="E292" s="445">
        <v>505</v>
      </c>
      <c r="F292" s="445" t="s">
        <v>777</v>
      </c>
      <c r="G292" s="445"/>
      <c r="H292" s="448" t="s">
        <v>55</v>
      </c>
      <c r="I292" s="451">
        <f>SUMIF('Wege im Detail'!$A:$A,"14260",'Wege im Detail'!$P:$P)</f>
        <v>10.871</v>
      </c>
      <c r="J292" s="516" t="s">
        <v>792</v>
      </c>
    </row>
    <row r="293" spans="1:221" ht="45" customHeight="1" x14ac:dyDescent="0.2">
      <c r="A293" s="444">
        <v>14263</v>
      </c>
      <c r="B293" s="445" t="s">
        <v>51</v>
      </c>
      <c r="C293" s="445" t="s">
        <v>91</v>
      </c>
      <c r="D293" s="470"/>
      <c r="E293" s="445">
        <v>515</v>
      </c>
      <c r="F293" s="445" t="s">
        <v>777</v>
      </c>
      <c r="G293" s="445"/>
      <c r="H293" s="448" t="s">
        <v>55</v>
      </c>
      <c r="I293" s="451">
        <f>SUMIF('Wege im Detail'!$A:$A,"14263",'Wege im Detail'!$P:$P)</f>
        <v>0.85399999999999998</v>
      </c>
      <c r="J293" s="516" t="s">
        <v>793</v>
      </c>
    </row>
    <row r="294" spans="1:221" ht="45" customHeight="1" x14ac:dyDescent="0.2">
      <c r="A294" s="444">
        <v>14265</v>
      </c>
      <c r="B294" s="445" t="s">
        <v>84</v>
      </c>
      <c r="C294" s="515" t="s">
        <v>320</v>
      </c>
      <c r="D294" s="470"/>
      <c r="E294" s="445" t="s">
        <v>794</v>
      </c>
      <c r="F294" s="445" t="s">
        <v>795</v>
      </c>
      <c r="G294" s="445"/>
      <c r="H294" s="448" t="s">
        <v>55</v>
      </c>
      <c r="I294" s="451">
        <f>SUMIF('Wege im Detail'!$A:$A,"14265",'Wege im Detail'!$P:$P)</f>
        <v>1.992</v>
      </c>
      <c r="J294" s="508" t="s">
        <v>796</v>
      </c>
      <c r="K294" s="427"/>
      <c r="L294" s="428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</row>
    <row r="295" spans="1:221" ht="45" customHeight="1" x14ac:dyDescent="0.2">
      <c r="A295" s="444">
        <v>14266</v>
      </c>
      <c r="B295" s="445" t="s">
        <v>51</v>
      </c>
      <c r="C295" s="445" t="s">
        <v>91</v>
      </c>
      <c r="D295" s="470"/>
      <c r="E295" s="445">
        <v>503</v>
      </c>
      <c r="F295" s="445" t="s">
        <v>777</v>
      </c>
      <c r="G295" s="445"/>
      <c r="H295" s="448" t="s">
        <v>55</v>
      </c>
      <c r="I295" s="451">
        <f>SUMIF('Wege im Detail'!$A:$A,"14266",'Wege im Detail'!$P:$P)</f>
        <v>4.3079999999999998</v>
      </c>
      <c r="J295" s="516" t="s">
        <v>797</v>
      </c>
    </row>
    <row r="296" spans="1:221" ht="45" customHeight="1" x14ac:dyDescent="0.2">
      <c r="A296" s="444">
        <v>15525</v>
      </c>
      <c r="B296" s="445" t="s">
        <v>51</v>
      </c>
      <c r="C296" s="445" t="s">
        <v>52</v>
      </c>
      <c r="D296" s="470"/>
      <c r="E296" s="445" t="s">
        <v>2272</v>
      </c>
      <c r="F296" s="445" t="s">
        <v>2274</v>
      </c>
      <c r="G296" s="445"/>
      <c r="H296" s="448" t="s">
        <v>55</v>
      </c>
      <c r="I296" s="451">
        <f>SUMIF('Wege im Detail'!$A:$A,"15525",'Wege im Detail'!$P:$P)</f>
        <v>70.3</v>
      </c>
      <c r="J296" s="516" t="s">
        <v>2271</v>
      </c>
    </row>
    <row r="297" spans="1:221" ht="45" customHeight="1" x14ac:dyDescent="0.2">
      <c r="A297" s="444">
        <v>16613</v>
      </c>
      <c r="B297" s="445" t="s">
        <v>84</v>
      </c>
      <c r="C297" s="455" t="s">
        <v>85</v>
      </c>
      <c r="D297" s="479"/>
      <c r="E297" s="445" t="s">
        <v>798</v>
      </c>
      <c r="F297" s="445" t="s">
        <v>142</v>
      </c>
      <c r="G297" s="445"/>
      <c r="H297" s="448" t="s">
        <v>55</v>
      </c>
      <c r="I297" s="451">
        <f>SUMIF('Wege im Detail'!$A:$A,"16613",'Wege im Detail'!$P:$P)</f>
        <v>4.6060999999999996</v>
      </c>
      <c r="J297" s="508" t="s">
        <v>799</v>
      </c>
    </row>
    <row r="298" spans="1:221" ht="45" customHeight="1" x14ac:dyDescent="0.2">
      <c r="A298" s="444">
        <v>16614</v>
      </c>
      <c r="B298" s="445" t="s">
        <v>84</v>
      </c>
      <c r="C298" s="455" t="s">
        <v>85</v>
      </c>
      <c r="D298" s="445"/>
      <c r="E298" s="445" t="s">
        <v>801</v>
      </c>
      <c r="F298" s="445" t="s">
        <v>172</v>
      </c>
      <c r="G298" s="445"/>
      <c r="H298" s="448" t="s">
        <v>55</v>
      </c>
      <c r="I298" s="451">
        <f>SUMIF('Wege im Detail'!$A:$A,"16614",'Wege im Detail'!$P:$P)</f>
        <v>4.944</v>
      </c>
      <c r="J298" s="508" t="s">
        <v>802</v>
      </c>
      <c r="K298" s="427"/>
      <c r="L298" s="428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</row>
    <row r="299" spans="1:221" ht="45" customHeight="1" x14ac:dyDescent="0.2">
      <c r="A299" s="444">
        <v>16615</v>
      </c>
      <c r="B299" s="445" t="s">
        <v>84</v>
      </c>
      <c r="C299" s="455" t="s">
        <v>85</v>
      </c>
      <c r="D299" s="445"/>
      <c r="E299" s="445" t="s">
        <v>804</v>
      </c>
      <c r="F299" s="445" t="s">
        <v>273</v>
      </c>
      <c r="G299" s="445"/>
      <c r="H299" s="448" t="s">
        <v>55</v>
      </c>
      <c r="I299" s="451">
        <f>SUMIF('Wege im Detail'!$A:$A,"16615",'Wege im Detail'!$P:$P)</f>
        <v>6.5380000000000003</v>
      </c>
      <c r="J299" s="508" t="s">
        <v>805</v>
      </c>
      <c r="K299" s="427"/>
      <c r="L299" s="428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</row>
    <row r="300" spans="1:221" s="35" customFormat="1" ht="45" customHeight="1" x14ac:dyDescent="0.2">
      <c r="A300" s="444">
        <v>16616</v>
      </c>
      <c r="B300" s="445" t="s">
        <v>84</v>
      </c>
      <c r="C300" s="455" t="s">
        <v>85</v>
      </c>
      <c r="D300" s="445"/>
      <c r="E300" s="445" t="s">
        <v>807</v>
      </c>
      <c r="F300" s="445" t="s">
        <v>142</v>
      </c>
      <c r="G300" s="445"/>
      <c r="H300" s="448" t="s">
        <v>55</v>
      </c>
      <c r="I300" s="451">
        <f>SUMIF('Wege im Detail'!$A:$A,"16616",'Wege im Detail'!$P:$P)</f>
        <v>6.4269999999999996</v>
      </c>
      <c r="J300" s="514" t="s">
        <v>808</v>
      </c>
      <c r="K300" s="425"/>
      <c r="L300" s="426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</row>
    <row r="301" spans="1:221" ht="45" customHeight="1" x14ac:dyDescent="0.2">
      <c r="A301" s="444">
        <v>16617</v>
      </c>
      <c r="B301" s="445" t="s">
        <v>84</v>
      </c>
      <c r="C301" s="455" t="s">
        <v>85</v>
      </c>
      <c r="D301" s="445"/>
      <c r="E301" s="445" t="s">
        <v>810</v>
      </c>
      <c r="F301" s="445" t="s">
        <v>163</v>
      </c>
      <c r="G301" s="445"/>
      <c r="H301" s="448" t="s">
        <v>55</v>
      </c>
      <c r="I301" s="451">
        <f>SUMIF('Wege im Detail'!$A:$A,"16617",'Wege im Detail'!$P:$P)</f>
        <v>6.4329999999999998</v>
      </c>
      <c r="J301" s="508" t="s">
        <v>811</v>
      </c>
    </row>
    <row r="302" spans="1:221" ht="45" customHeight="1" x14ac:dyDescent="0.2">
      <c r="A302" s="444">
        <v>16618</v>
      </c>
      <c r="B302" s="445" t="s">
        <v>84</v>
      </c>
      <c r="C302" s="455" t="s">
        <v>85</v>
      </c>
      <c r="D302" s="445"/>
      <c r="E302" s="445" t="s">
        <v>813</v>
      </c>
      <c r="F302" s="445" t="s">
        <v>88</v>
      </c>
      <c r="G302" s="445"/>
      <c r="H302" s="448" t="s">
        <v>55</v>
      </c>
      <c r="I302" s="451">
        <f>SUMIF('Wege im Detail'!$A:$A,"16618",'Wege im Detail'!$P:$P)</f>
        <v>4.4119999999999999</v>
      </c>
      <c r="J302" s="508" t="s">
        <v>814</v>
      </c>
    </row>
    <row r="303" spans="1:221" s="35" customFormat="1" ht="45" customHeight="1" x14ac:dyDescent="0.2">
      <c r="A303" s="444">
        <v>16619</v>
      </c>
      <c r="B303" s="445" t="s">
        <v>84</v>
      </c>
      <c r="C303" s="455" t="s">
        <v>85</v>
      </c>
      <c r="D303" s="479"/>
      <c r="E303" s="445" t="s">
        <v>815</v>
      </c>
      <c r="F303" s="445" t="s">
        <v>142</v>
      </c>
      <c r="G303" s="445"/>
      <c r="H303" s="448" t="s">
        <v>55</v>
      </c>
      <c r="I303" s="451">
        <f>SUMIF('Wege im Detail'!$A:$A,"16619",'Wege im Detail'!$P:$P)</f>
        <v>7.0439999999999996</v>
      </c>
      <c r="J303" s="508" t="s">
        <v>816</v>
      </c>
      <c r="K303" s="425"/>
      <c r="L303" s="426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</row>
    <row r="304" spans="1:221" s="168" customFormat="1" ht="45" customHeight="1" x14ac:dyDescent="0.2">
      <c r="A304" s="444">
        <v>16621</v>
      </c>
      <c r="B304" s="445" t="s">
        <v>84</v>
      </c>
      <c r="C304" s="455" t="s">
        <v>85</v>
      </c>
      <c r="D304" s="479"/>
      <c r="E304" s="445" t="s">
        <v>817</v>
      </c>
      <c r="F304" s="445" t="s">
        <v>133</v>
      </c>
      <c r="G304" s="445"/>
      <c r="H304" s="448" t="s">
        <v>55</v>
      </c>
      <c r="I304" s="451">
        <f>SUMIF('Wege im Detail'!$A:$A,"16621",'Wege im Detail'!$P:$P)</f>
        <v>3.327</v>
      </c>
      <c r="J304" s="508" t="s">
        <v>818</v>
      </c>
      <c r="K304" s="425"/>
      <c r="L304" s="426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</row>
    <row r="305" spans="1:221" s="706" customFormat="1" ht="45" customHeight="1" x14ac:dyDescent="0.2">
      <c r="A305" s="444">
        <v>17892</v>
      </c>
      <c r="B305" s="445" t="s">
        <v>51</v>
      </c>
      <c r="C305" s="445" t="s">
        <v>91</v>
      </c>
      <c r="D305" s="479"/>
      <c r="E305" s="445">
        <v>133</v>
      </c>
      <c r="F305" s="445" t="s">
        <v>822</v>
      </c>
      <c r="G305" s="445"/>
      <c r="H305" s="448" t="s">
        <v>55</v>
      </c>
      <c r="I305" s="451">
        <f>SUMIF('Wege im Detail'!$A:$A,"17892",'Wege im Detail'!$P:$P)</f>
        <v>19.706</v>
      </c>
      <c r="J305" s="508" t="s">
        <v>2281</v>
      </c>
      <c r="K305" s="425"/>
      <c r="L305" s="425"/>
      <c r="M305" s="707"/>
      <c r="N305" s="707"/>
      <c r="O305" s="707"/>
      <c r="P305" s="707"/>
      <c r="Q305" s="707"/>
      <c r="R305" s="707"/>
      <c r="S305" s="707"/>
      <c r="T305" s="707"/>
      <c r="U305" s="707"/>
      <c r="V305" s="707"/>
      <c r="W305" s="707"/>
      <c r="X305" s="707"/>
      <c r="Y305" s="707"/>
      <c r="Z305" s="707"/>
      <c r="AA305" s="707"/>
      <c r="AB305" s="707"/>
      <c r="AC305" s="707"/>
      <c r="AD305" s="707"/>
      <c r="AE305" s="707"/>
      <c r="AF305" s="707"/>
      <c r="AG305" s="707"/>
      <c r="AH305" s="707"/>
      <c r="AI305" s="707"/>
      <c r="AJ305" s="707"/>
      <c r="AK305" s="707"/>
      <c r="AL305" s="707"/>
      <c r="AM305" s="707"/>
      <c r="AN305" s="707"/>
      <c r="AO305" s="707"/>
      <c r="AP305" s="707"/>
      <c r="AQ305" s="707"/>
      <c r="AR305" s="707"/>
      <c r="AS305" s="707"/>
      <c r="AT305" s="707"/>
      <c r="AU305" s="707"/>
      <c r="AV305" s="707"/>
      <c r="AW305" s="707"/>
      <c r="AX305" s="707"/>
      <c r="AY305" s="707"/>
      <c r="AZ305" s="707"/>
      <c r="BA305" s="707"/>
      <c r="BB305" s="707"/>
      <c r="BC305" s="707"/>
      <c r="BD305" s="707"/>
      <c r="BE305" s="707"/>
      <c r="BF305" s="707"/>
      <c r="BG305" s="707"/>
      <c r="BH305" s="707"/>
      <c r="BI305" s="707"/>
      <c r="BJ305" s="707"/>
      <c r="BK305" s="707"/>
      <c r="BL305" s="707"/>
      <c r="BM305" s="707"/>
      <c r="BN305" s="707"/>
      <c r="BO305" s="707"/>
      <c r="BP305" s="707"/>
      <c r="BQ305" s="707"/>
      <c r="BR305" s="707"/>
      <c r="BS305" s="707"/>
      <c r="BT305" s="707"/>
      <c r="BU305" s="707"/>
      <c r="BV305" s="707"/>
      <c r="BW305" s="707"/>
      <c r="BX305" s="707"/>
      <c r="BY305" s="707"/>
      <c r="BZ305" s="707"/>
      <c r="CA305" s="707"/>
      <c r="CB305" s="707"/>
      <c r="CC305" s="707"/>
      <c r="CD305" s="707"/>
      <c r="CE305" s="707"/>
      <c r="CF305" s="707"/>
      <c r="CG305" s="707"/>
      <c r="CH305" s="707"/>
      <c r="CI305" s="707"/>
      <c r="CJ305" s="707"/>
      <c r="CK305" s="707"/>
      <c r="CL305" s="707"/>
      <c r="CM305" s="707"/>
      <c r="CN305" s="707"/>
      <c r="CO305" s="707"/>
      <c r="CP305" s="707"/>
      <c r="CQ305" s="707"/>
      <c r="CR305" s="707"/>
      <c r="CS305" s="707"/>
      <c r="CT305" s="707"/>
      <c r="CU305" s="707"/>
      <c r="CV305" s="707"/>
      <c r="CW305" s="707"/>
      <c r="CX305" s="707"/>
      <c r="CY305" s="707"/>
      <c r="CZ305" s="707"/>
      <c r="DA305" s="707"/>
      <c r="DB305" s="707"/>
      <c r="DC305" s="707"/>
      <c r="DD305" s="707"/>
      <c r="DE305" s="707"/>
      <c r="DF305" s="707"/>
      <c r="DG305" s="707"/>
      <c r="DH305" s="707"/>
      <c r="DI305" s="707"/>
      <c r="DJ305" s="707"/>
      <c r="DK305" s="707"/>
      <c r="DL305" s="707"/>
      <c r="DM305" s="707"/>
      <c r="DN305" s="707"/>
      <c r="DO305" s="707"/>
      <c r="DP305" s="707"/>
      <c r="DQ305" s="707"/>
      <c r="DR305" s="707"/>
      <c r="DS305" s="707"/>
      <c r="DT305" s="707"/>
      <c r="DU305" s="707"/>
      <c r="DV305" s="707"/>
      <c r="DW305" s="707"/>
      <c r="DX305" s="707"/>
      <c r="DY305" s="707"/>
      <c r="DZ305" s="707"/>
      <c r="EA305" s="707"/>
      <c r="EB305" s="707"/>
      <c r="EC305" s="707"/>
      <c r="ED305" s="707"/>
      <c r="EE305" s="707"/>
      <c r="EF305" s="707"/>
      <c r="EG305" s="707"/>
      <c r="EH305" s="707"/>
      <c r="EI305" s="707"/>
      <c r="EJ305" s="707"/>
      <c r="EK305" s="707"/>
      <c r="EL305" s="707"/>
      <c r="EM305" s="707"/>
      <c r="EN305" s="707"/>
      <c r="EO305" s="707"/>
      <c r="EP305" s="707"/>
      <c r="EQ305" s="707"/>
      <c r="ER305" s="707"/>
      <c r="ES305" s="707"/>
      <c r="ET305" s="707"/>
      <c r="EU305" s="707"/>
      <c r="EV305" s="707"/>
      <c r="EW305" s="707"/>
      <c r="EX305" s="707"/>
      <c r="EY305" s="707"/>
      <c r="EZ305" s="707"/>
      <c r="FA305" s="707"/>
      <c r="FB305" s="707"/>
      <c r="FC305" s="707"/>
      <c r="FD305" s="707"/>
      <c r="FE305" s="707"/>
      <c r="FF305" s="707"/>
      <c r="FG305" s="707"/>
      <c r="FH305" s="707"/>
      <c r="FI305" s="707"/>
      <c r="FJ305" s="707"/>
      <c r="FK305" s="707"/>
      <c r="FL305" s="707"/>
      <c r="FM305" s="707"/>
      <c r="FN305" s="707"/>
      <c r="FO305" s="707"/>
      <c r="FP305" s="707"/>
      <c r="FQ305" s="707"/>
      <c r="FR305" s="707"/>
      <c r="FS305" s="707"/>
      <c r="FT305" s="707"/>
      <c r="FU305" s="707"/>
      <c r="FV305" s="707"/>
      <c r="FW305" s="707"/>
      <c r="FX305" s="707"/>
      <c r="FY305" s="707"/>
      <c r="FZ305" s="707"/>
      <c r="GA305" s="707"/>
      <c r="GB305" s="707"/>
      <c r="GC305" s="707"/>
      <c r="GD305" s="707"/>
      <c r="GE305" s="707"/>
      <c r="GF305" s="707"/>
      <c r="GG305" s="707"/>
      <c r="GH305" s="707"/>
      <c r="GI305" s="707"/>
      <c r="GJ305" s="707"/>
      <c r="GK305" s="707"/>
      <c r="GL305" s="707"/>
      <c r="GM305" s="707"/>
      <c r="GN305" s="707"/>
      <c r="GO305" s="707"/>
      <c r="GP305" s="707"/>
      <c r="GQ305" s="707"/>
      <c r="GR305" s="707"/>
      <c r="GS305" s="707"/>
      <c r="GT305" s="707"/>
      <c r="GU305" s="707"/>
      <c r="GV305" s="707"/>
      <c r="GW305" s="707"/>
      <c r="GX305" s="707"/>
      <c r="GY305" s="707"/>
      <c r="GZ305" s="707"/>
      <c r="HA305" s="707"/>
      <c r="HB305" s="707"/>
      <c r="HC305" s="707"/>
      <c r="HD305" s="707"/>
      <c r="HE305" s="707"/>
      <c r="HF305" s="707"/>
      <c r="HG305" s="707"/>
      <c r="HH305" s="707"/>
      <c r="HI305" s="707"/>
      <c r="HJ305" s="707"/>
      <c r="HK305" s="707"/>
      <c r="HL305" s="707"/>
      <c r="HM305" s="707"/>
    </row>
    <row r="306" spans="1:221" ht="45" customHeight="1" x14ac:dyDescent="0.2">
      <c r="A306" s="444">
        <v>18993</v>
      </c>
      <c r="B306" s="445" t="s">
        <v>84</v>
      </c>
      <c r="C306" s="455" t="s">
        <v>85</v>
      </c>
      <c r="D306" s="445"/>
      <c r="E306" s="445" t="s">
        <v>826</v>
      </c>
      <c r="F306" s="445" t="s">
        <v>827</v>
      </c>
      <c r="G306" s="445"/>
      <c r="H306" s="448" t="s">
        <v>55</v>
      </c>
      <c r="I306" s="451">
        <f>SUMIF('Wege im Detail'!$A:$A,"18993",'Wege im Detail'!$P:$P)</f>
        <v>4.2240000000000002</v>
      </c>
      <c r="J306" s="508" t="s">
        <v>828</v>
      </c>
      <c r="K306" s="427"/>
      <c r="L306" s="428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</row>
    <row r="307" spans="1:221" ht="45" customHeight="1" x14ac:dyDescent="0.2">
      <c r="A307" s="444">
        <v>19021</v>
      </c>
      <c r="B307" s="445" t="s">
        <v>84</v>
      </c>
      <c r="C307" s="455" t="s">
        <v>85</v>
      </c>
      <c r="D307" s="511"/>
      <c r="E307" s="445" t="s">
        <v>829</v>
      </c>
      <c r="F307" s="445" t="s">
        <v>830</v>
      </c>
      <c r="G307" s="445"/>
      <c r="H307" s="448" t="s">
        <v>55</v>
      </c>
      <c r="I307" s="451">
        <f>SUMIF('Wege im Detail'!$A:$A,"19021",'Wege im Detail'!$P:$P)</f>
        <v>2.4430000000000001</v>
      </c>
      <c r="J307" s="514" t="s">
        <v>831</v>
      </c>
    </row>
    <row r="308" spans="1:221" ht="45" customHeight="1" x14ac:dyDescent="0.2">
      <c r="A308" s="444">
        <v>19022</v>
      </c>
      <c r="B308" s="445" t="s">
        <v>84</v>
      </c>
      <c r="C308" s="515" t="s">
        <v>320</v>
      </c>
      <c r="D308" s="470"/>
      <c r="E308" s="445" t="s">
        <v>832</v>
      </c>
      <c r="F308" s="445" t="s">
        <v>833</v>
      </c>
      <c r="G308" s="445"/>
      <c r="H308" s="448" t="s">
        <v>55</v>
      </c>
      <c r="I308" s="451">
        <f>SUMIF('Wege im Detail'!$A:$A,"19022",'Wege im Detail'!$P:$P)</f>
        <v>12.702999999999999</v>
      </c>
      <c r="J308" s="514" t="s">
        <v>835</v>
      </c>
      <c r="K308" s="427"/>
      <c r="L308" s="428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</row>
    <row r="309" spans="1:221" ht="45" customHeight="1" x14ac:dyDescent="0.2">
      <c r="A309" s="444">
        <v>19023</v>
      </c>
      <c r="B309" s="445" t="s">
        <v>84</v>
      </c>
      <c r="C309" s="515" t="s">
        <v>320</v>
      </c>
      <c r="D309" s="470"/>
      <c r="E309" s="445" t="s">
        <v>837</v>
      </c>
      <c r="F309" s="445" t="s">
        <v>838</v>
      </c>
      <c r="G309" s="445"/>
      <c r="H309" s="448" t="s">
        <v>55</v>
      </c>
      <c r="I309" s="451">
        <f>SUMIF('Wege im Detail'!$A:$A,"19023",'Wege im Detail'!$P:$P)</f>
        <v>4.742</v>
      </c>
      <c r="J309" s="603" t="s">
        <v>839</v>
      </c>
    </row>
    <row r="310" spans="1:221" s="8" customFormat="1" ht="45" customHeight="1" x14ac:dyDescent="0.2">
      <c r="A310" s="444">
        <v>19024</v>
      </c>
      <c r="B310" s="445" t="s">
        <v>51</v>
      </c>
      <c r="C310" s="445" t="s">
        <v>91</v>
      </c>
      <c r="D310" s="445"/>
      <c r="E310" s="445">
        <v>72</v>
      </c>
      <c r="F310" s="445"/>
      <c r="G310" s="445"/>
      <c r="H310" s="448" t="s">
        <v>55</v>
      </c>
      <c r="I310" s="451">
        <f>SUMIF('Wege im Detail'!$A:$A,"19024",'Wege im Detail'!$P:$P)</f>
        <v>1.0229999999999999</v>
      </c>
      <c r="J310" s="508" t="s">
        <v>840</v>
      </c>
      <c r="K310" s="427"/>
      <c r="L310" s="428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</row>
    <row r="311" spans="1:221" ht="45" customHeight="1" x14ac:dyDescent="0.2">
      <c r="A311" s="444">
        <v>19025</v>
      </c>
      <c r="B311" s="445" t="s">
        <v>84</v>
      </c>
      <c r="C311" s="515" t="s">
        <v>320</v>
      </c>
      <c r="D311" s="470"/>
      <c r="E311" s="445" t="s">
        <v>842</v>
      </c>
      <c r="F311" s="445" t="s">
        <v>843</v>
      </c>
      <c r="G311" s="445"/>
      <c r="H311" s="448" t="s">
        <v>55</v>
      </c>
      <c r="I311" s="451">
        <f>SUMIF('Wege im Detail'!$A:$A,"19025",'Wege im Detail'!$P:$P)</f>
        <v>5.01</v>
      </c>
      <c r="J311" s="508" t="s">
        <v>844</v>
      </c>
    </row>
    <row r="312" spans="1:221" ht="45" customHeight="1" x14ac:dyDescent="0.2">
      <c r="A312" s="444">
        <v>19026</v>
      </c>
      <c r="B312" s="445" t="s">
        <v>84</v>
      </c>
      <c r="C312" s="515" t="s">
        <v>320</v>
      </c>
      <c r="D312" s="470"/>
      <c r="E312" s="445" t="s">
        <v>846</v>
      </c>
      <c r="F312" s="445" t="s">
        <v>847</v>
      </c>
      <c r="G312" s="445"/>
      <c r="H312" s="448" t="s">
        <v>55</v>
      </c>
      <c r="I312" s="451">
        <f>SUMIF('Wege im Detail'!$A:$A,"19026",'Wege im Detail'!$P:$P)</f>
        <v>6.2439999999999998</v>
      </c>
      <c r="J312" s="508" t="s">
        <v>848</v>
      </c>
      <c r="K312" s="427"/>
      <c r="L312" s="428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</row>
    <row r="313" spans="1:221" ht="45" customHeight="1" x14ac:dyDescent="0.2">
      <c r="A313" s="444">
        <v>19128</v>
      </c>
      <c r="B313" s="445" t="s">
        <v>51</v>
      </c>
      <c r="C313" s="445" t="s">
        <v>91</v>
      </c>
      <c r="D313" s="445"/>
      <c r="E313" s="445">
        <v>72</v>
      </c>
      <c r="F313" s="445"/>
      <c r="G313" s="445"/>
      <c r="H313" s="448" t="s">
        <v>55</v>
      </c>
      <c r="I313" s="451">
        <f>SUMIF('Wege im Detail'!$A:$A,"19128",'Wege im Detail'!$P:$P)</f>
        <v>0.9</v>
      </c>
      <c r="J313" s="508" t="s">
        <v>849</v>
      </c>
    </row>
    <row r="314" spans="1:221" ht="45" customHeight="1" x14ac:dyDescent="0.2">
      <c r="A314" s="444">
        <v>19129</v>
      </c>
      <c r="B314" s="445" t="s">
        <v>51</v>
      </c>
      <c r="C314" s="445" t="s">
        <v>91</v>
      </c>
      <c r="D314" s="445"/>
      <c r="E314" s="445">
        <v>72</v>
      </c>
      <c r="F314" s="445"/>
      <c r="G314" s="445"/>
      <c r="H314" s="448" t="s">
        <v>55</v>
      </c>
      <c r="I314" s="451">
        <f>SUMIF('Wege im Detail'!$A:$A,"19129",'Wege im Detail'!$P:$P)</f>
        <v>0.59099999999999997</v>
      </c>
      <c r="J314" s="508" t="s">
        <v>850</v>
      </c>
    </row>
    <row r="315" spans="1:221" ht="45" customHeight="1" x14ac:dyDescent="0.2">
      <c r="A315" s="444">
        <v>19361</v>
      </c>
      <c r="B315" s="445" t="s">
        <v>51</v>
      </c>
      <c r="C315" s="445" t="s">
        <v>91</v>
      </c>
      <c r="D315" s="470"/>
      <c r="E315" s="445">
        <v>517</v>
      </c>
      <c r="F315" s="445" t="s">
        <v>777</v>
      </c>
      <c r="G315" s="445"/>
      <c r="H315" s="448" t="s">
        <v>55</v>
      </c>
      <c r="I315" s="451">
        <f>SUMIF('Wege im Detail'!$A:$A,"19361",'Wege im Detail'!$P:$P)</f>
        <v>5.4869999999999992</v>
      </c>
      <c r="J315" s="516" t="s">
        <v>851</v>
      </c>
    </row>
    <row r="316" spans="1:221" ht="45" customHeight="1" x14ac:dyDescent="0.2">
      <c r="A316" s="444">
        <v>20316</v>
      </c>
      <c r="B316" s="445" t="s">
        <v>84</v>
      </c>
      <c r="C316" s="455" t="s">
        <v>85</v>
      </c>
      <c r="D316" s="479"/>
      <c r="E316" s="445" t="s">
        <v>854</v>
      </c>
      <c r="F316" s="448" t="s">
        <v>855</v>
      </c>
      <c r="G316" s="448"/>
      <c r="H316" s="448" t="s">
        <v>55</v>
      </c>
      <c r="I316" s="451">
        <f>SUMIF('Wege im Detail'!$A:$A,"20316",'Wege im Detail'!$P:$P)</f>
        <v>7.7610000000000001</v>
      </c>
      <c r="J316" s="508" t="s">
        <v>856</v>
      </c>
    </row>
    <row r="317" spans="1:221" ht="45" customHeight="1" x14ac:dyDescent="0.2">
      <c r="A317" s="444">
        <v>20322</v>
      </c>
      <c r="B317" s="445" t="s">
        <v>84</v>
      </c>
      <c r="C317" s="455" t="s">
        <v>85</v>
      </c>
      <c r="D317" s="479"/>
      <c r="E317" s="445" t="s">
        <v>857</v>
      </c>
      <c r="F317" s="448" t="s">
        <v>142</v>
      </c>
      <c r="G317" s="448"/>
      <c r="H317" s="448" t="s">
        <v>55</v>
      </c>
      <c r="I317" s="451">
        <f>SUMIF('Wege im Detail'!$A:$A,"20322",'Wege im Detail'!$P:$P)</f>
        <v>6.4169999999999998</v>
      </c>
      <c r="J317" s="508" t="s">
        <v>858</v>
      </c>
    </row>
    <row r="318" spans="1:221" ht="45" customHeight="1" x14ac:dyDescent="0.2">
      <c r="A318" s="444">
        <v>20362</v>
      </c>
      <c r="B318" s="445" t="s">
        <v>51</v>
      </c>
      <c r="C318" s="445" t="s">
        <v>286</v>
      </c>
      <c r="D318" s="479"/>
      <c r="E318" s="445">
        <v>550</v>
      </c>
      <c r="F318" s="448" t="s">
        <v>859</v>
      </c>
      <c r="G318" s="448" t="s">
        <v>286</v>
      </c>
      <c r="H318" s="448" t="s">
        <v>55</v>
      </c>
      <c r="I318" s="451">
        <f>SUMIF('Wege im Detail'!$A:$A,"20362",'Wege im Detail'!$P:$P)</f>
        <v>35.606000000000002</v>
      </c>
      <c r="J318" s="508" t="s">
        <v>860</v>
      </c>
    </row>
    <row r="319" spans="1:221" ht="45" customHeight="1" x14ac:dyDescent="0.2">
      <c r="A319" s="444">
        <v>22153</v>
      </c>
      <c r="B319" s="445" t="s">
        <v>84</v>
      </c>
      <c r="C319" s="445" t="s">
        <v>85</v>
      </c>
      <c r="D319" s="445"/>
      <c r="E319" s="445" t="s">
        <v>861</v>
      </c>
      <c r="F319" s="448" t="s">
        <v>320</v>
      </c>
      <c r="G319" s="448"/>
      <c r="H319" s="448" t="s">
        <v>55</v>
      </c>
      <c r="I319" s="451">
        <f>SUMIF('Wege im Detail'!$A:$A,"22153",'Wege im Detail'!$P:$P)</f>
        <v>3.49</v>
      </c>
      <c r="J319" s="508" t="s">
        <v>862</v>
      </c>
    </row>
    <row r="320" spans="1:221" ht="45" customHeight="1" x14ac:dyDescent="0.2">
      <c r="A320" s="444">
        <v>22176</v>
      </c>
      <c r="B320" s="445" t="s">
        <v>84</v>
      </c>
      <c r="C320" s="445" t="s">
        <v>320</v>
      </c>
      <c r="D320" s="511"/>
      <c r="E320" s="445" t="s">
        <v>863</v>
      </c>
      <c r="F320" s="448" t="s">
        <v>864</v>
      </c>
      <c r="G320" s="448"/>
      <c r="H320" s="448" t="s">
        <v>55</v>
      </c>
      <c r="I320" s="451">
        <f>SUMIF('Wege im Detail'!$A:$A,"22176",'Wege im Detail'!$P:$P)</f>
        <v>2.7679999999999998</v>
      </c>
      <c r="J320" s="508" t="s">
        <v>865</v>
      </c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8"/>
    </row>
    <row r="321" spans="1:221" ht="45" customHeight="1" x14ac:dyDescent="0.2">
      <c r="A321" s="444">
        <v>22178</v>
      </c>
      <c r="B321" s="499" t="s">
        <v>84</v>
      </c>
      <c r="C321" s="499" t="s">
        <v>320</v>
      </c>
      <c r="D321" s="513"/>
      <c r="E321" s="445" t="s">
        <v>866</v>
      </c>
      <c r="F321" s="501" t="s">
        <v>867</v>
      </c>
      <c r="G321" s="501"/>
      <c r="H321" s="501" t="s">
        <v>55</v>
      </c>
      <c r="I321" s="451">
        <f>SUMIF('Wege im Detail'!$A:$A,"22178",'Wege im Detail'!$P:$P)</f>
        <v>2.1320000000000001</v>
      </c>
      <c r="J321" s="508" t="s">
        <v>868</v>
      </c>
    </row>
    <row r="322" spans="1:221" ht="45" customHeight="1" x14ac:dyDescent="0.2">
      <c r="A322" s="444">
        <v>22180</v>
      </c>
      <c r="B322" s="499" t="s">
        <v>84</v>
      </c>
      <c r="C322" s="499" t="s">
        <v>320</v>
      </c>
      <c r="D322" s="513"/>
      <c r="E322" s="445" t="s">
        <v>869</v>
      </c>
      <c r="F322" s="501" t="s">
        <v>870</v>
      </c>
      <c r="G322" s="501"/>
      <c r="H322" s="501" t="s">
        <v>55</v>
      </c>
      <c r="I322" s="451">
        <f>SUMIF('Wege im Detail'!$A:$A,"22180",'Wege im Detail'!$P:$P)</f>
        <v>1.022</v>
      </c>
      <c r="J322" s="512" t="s">
        <v>871</v>
      </c>
      <c r="K322" s="427"/>
      <c r="L322" s="428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</row>
    <row r="323" spans="1:221" s="8" customFormat="1" ht="45" customHeight="1" x14ac:dyDescent="0.2">
      <c r="A323" s="517">
        <v>22740</v>
      </c>
      <c r="B323" s="518" t="s">
        <v>51</v>
      </c>
      <c r="C323" s="519" t="s">
        <v>91</v>
      </c>
      <c r="D323" s="525"/>
      <c r="E323" s="519">
        <v>100</v>
      </c>
      <c r="F323" s="520" t="s">
        <v>872</v>
      </c>
      <c r="G323" s="521"/>
      <c r="H323" s="521" t="s">
        <v>55</v>
      </c>
      <c r="I323" s="507">
        <f>SUMIF('Wege im Detail'!$A:$A,"22740",'Wege im Detail'!$P:$P)</f>
        <v>7.2859999999999996</v>
      </c>
      <c r="J323" s="514" t="s">
        <v>873</v>
      </c>
      <c r="K323" s="427"/>
      <c r="L323" s="428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</row>
    <row r="324" spans="1:221" s="8" customFormat="1" ht="45" customHeight="1" x14ac:dyDescent="0.2">
      <c r="A324" s="517">
        <v>23464</v>
      </c>
      <c r="B324" s="518" t="s">
        <v>84</v>
      </c>
      <c r="C324" s="518" t="s">
        <v>85</v>
      </c>
      <c r="D324" s="518"/>
      <c r="E324" s="445" t="s">
        <v>874</v>
      </c>
      <c r="F324" s="448" t="s">
        <v>872</v>
      </c>
      <c r="G324" s="554"/>
      <c r="H324" s="522" t="s">
        <v>55</v>
      </c>
      <c r="I324" s="451">
        <f>SUMIF('Wege im Detail'!$A:$A,"23464",'Wege im Detail'!$P:$P)</f>
        <v>3.3170000000000002</v>
      </c>
      <c r="J324" s="514" t="s">
        <v>875</v>
      </c>
      <c r="K324" s="425"/>
      <c r="L324" s="426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</row>
    <row r="325" spans="1:221" ht="45" customHeight="1" x14ac:dyDescent="0.2">
      <c r="A325" s="517">
        <v>23465</v>
      </c>
      <c r="B325" s="518" t="s">
        <v>84</v>
      </c>
      <c r="C325" s="598" t="s">
        <v>366</v>
      </c>
      <c r="D325" s="599"/>
      <c r="E325" s="523" t="s">
        <v>876</v>
      </c>
      <c r="F325" s="448" t="s">
        <v>877</v>
      </c>
      <c r="G325" s="554"/>
      <c r="H325" s="522" t="s">
        <v>55</v>
      </c>
      <c r="I325" s="451">
        <f>SUMIF('Wege im Detail'!$A:$A,"23465",'Wege im Detail'!$P:$P)</f>
        <v>2.3340000000000001</v>
      </c>
      <c r="J325" s="514" t="s">
        <v>878</v>
      </c>
      <c r="K325" s="427"/>
      <c r="L325" s="428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</row>
    <row r="326" spans="1:221" ht="45" customHeight="1" x14ac:dyDescent="0.2">
      <c r="A326" s="596">
        <v>24187</v>
      </c>
      <c r="B326" s="597" t="s">
        <v>51</v>
      </c>
      <c r="C326" s="445" t="s">
        <v>91</v>
      </c>
      <c r="D326" s="470"/>
      <c r="E326" s="445">
        <v>101</v>
      </c>
      <c r="F326" s="445" t="s">
        <v>879</v>
      </c>
      <c r="G326" s="600"/>
      <c r="H326" s="601" t="s">
        <v>55</v>
      </c>
      <c r="I326" s="451">
        <f>SUMIF('Wege im Detail'!$A:$A,"24187",'Wege im Detail'!$P:$P)</f>
        <v>8.218</v>
      </c>
      <c r="J326" s="514" t="s">
        <v>880</v>
      </c>
    </row>
    <row r="327" spans="1:221" ht="45" customHeight="1" x14ac:dyDescent="0.2">
      <c r="A327" s="444">
        <v>24321</v>
      </c>
      <c r="B327" s="445" t="s">
        <v>84</v>
      </c>
      <c r="C327" s="455" t="s">
        <v>366</v>
      </c>
      <c r="D327" s="445"/>
      <c r="E327" s="445" t="s">
        <v>881</v>
      </c>
      <c r="F327" s="445" t="s">
        <v>882</v>
      </c>
      <c r="G327" s="600"/>
      <c r="H327" s="522" t="s">
        <v>55</v>
      </c>
      <c r="I327" s="451">
        <f>SUMIF('Wege im Detail'!$A:$A,"24321",'Wege im Detail'!$P:$P)</f>
        <v>20.419</v>
      </c>
      <c r="J327" s="514" t="s">
        <v>883</v>
      </c>
      <c r="K327" s="427"/>
      <c r="L327" s="428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</row>
    <row r="328" spans="1:221" ht="45" customHeight="1" x14ac:dyDescent="0.2">
      <c r="A328" s="444">
        <v>24322</v>
      </c>
      <c r="B328" s="445" t="s">
        <v>51</v>
      </c>
      <c r="C328" s="515" t="s">
        <v>366</v>
      </c>
      <c r="D328" s="479"/>
      <c r="E328" s="445">
        <v>102</v>
      </c>
      <c r="F328" s="445" t="s">
        <v>885</v>
      </c>
      <c r="G328" s="600"/>
      <c r="H328" s="522" t="s">
        <v>55</v>
      </c>
      <c r="I328" s="451">
        <f>SUMIF('Wege im Detail'!$A:$A,"24322",'Wege im Detail'!$P:$P)</f>
        <v>11.615</v>
      </c>
      <c r="J328" s="508" t="s">
        <v>886</v>
      </c>
      <c r="K328" s="427"/>
      <c r="L328" s="428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</row>
    <row r="329" spans="1:221" s="168" customFormat="1" ht="45" customHeight="1" x14ac:dyDescent="0.2">
      <c r="A329" s="444">
        <v>24547</v>
      </c>
      <c r="B329" s="445" t="s">
        <v>84</v>
      </c>
      <c r="C329" s="455" t="s">
        <v>85</v>
      </c>
      <c r="D329" s="479"/>
      <c r="E329" s="445" t="s">
        <v>887</v>
      </c>
      <c r="F329" s="501" t="s">
        <v>888</v>
      </c>
      <c r="G329" s="501"/>
      <c r="H329" s="448" t="s">
        <v>55</v>
      </c>
      <c r="I329" s="451">
        <f>SUMIF('Wege im Detail'!$A:$A,"24547",'Wege im Detail'!$P:$P)</f>
        <v>11.068</v>
      </c>
      <c r="J329" s="508" t="s">
        <v>889</v>
      </c>
      <c r="K329" s="427"/>
      <c r="L329" s="428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</row>
    <row r="330" spans="1:221" ht="45" customHeight="1" x14ac:dyDescent="0.2">
      <c r="A330" s="517">
        <v>24711</v>
      </c>
      <c r="B330" s="518" t="s">
        <v>84</v>
      </c>
      <c r="C330" s="524" t="s">
        <v>85</v>
      </c>
      <c r="D330" s="518"/>
      <c r="E330" s="445" t="s">
        <v>891</v>
      </c>
      <c r="F330" s="445" t="s">
        <v>142</v>
      </c>
      <c r="G330" s="445"/>
      <c r="H330" s="448" t="s">
        <v>55</v>
      </c>
      <c r="I330" s="451">
        <f>SUMIF('Wege im Detail'!$A:$A,"24711",'Wege im Detail'!$P:$P)</f>
        <v>3.452</v>
      </c>
      <c r="J330" s="514" t="s">
        <v>892</v>
      </c>
      <c r="K330" s="427"/>
      <c r="L330" s="428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</row>
    <row r="331" spans="1:221" ht="45" customHeight="1" x14ac:dyDescent="0.2">
      <c r="A331" s="517">
        <v>24713</v>
      </c>
      <c r="B331" s="518" t="s">
        <v>84</v>
      </c>
      <c r="C331" s="524" t="s">
        <v>85</v>
      </c>
      <c r="D331" s="518"/>
      <c r="E331" s="445" t="s">
        <v>894</v>
      </c>
      <c r="F331" s="445" t="s">
        <v>172</v>
      </c>
      <c r="G331" s="445"/>
      <c r="H331" s="448" t="s">
        <v>55</v>
      </c>
      <c r="I331" s="451">
        <f>SUMIF('Wege im Detail'!$A:$A,"24713",'Wege im Detail'!$P:$P)</f>
        <v>15.282999999999999</v>
      </c>
      <c r="J331" s="514" t="s">
        <v>895</v>
      </c>
    </row>
    <row r="332" spans="1:221" ht="45" customHeight="1" x14ac:dyDescent="0.2">
      <c r="A332" s="444">
        <v>24714</v>
      </c>
      <c r="B332" s="445" t="s">
        <v>84</v>
      </c>
      <c r="C332" s="524" t="s">
        <v>85</v>
      </c>
      <c r="D332" s="445"/>
      <c r="E332" s="445" t="s">
        <v>897</v>
      </c>
      <c r="F332" s="445" t="s">
        <v>147</v>
      </c>
      <c r="G332" s="445"/>
      <c r="H332" s="448" t="s">
        <v>55</v>
      </c>
      <c r="I332" s="451">
        <f>SUMIF('Wege im Detail'!$A:$A,"24714",'Wege im Detail'!$P:$P)</f>
        <v>4.8120000000000003</v>
      </c>
      <c r="J332" s="508" t="s">
        <v>898</v>
      </c>
    </row>
    <row r="333" spans="1:221" ht="45" customHeight="1" x14ac:dyDescent="0.2">
      <c r="A333" s="444">
        <v>24844</v>
      </c>
      <c r="B333" s="445" t="s">
        <v>84</v>
      </c>
      <c r="C333" s="455" t="s">
        <v>85</v>
      </c>
      <c r="D333" s="479"/>
      <c r="E333" s="445" t="s">
        <v>899</v>
      </c>
      <c r="F333" s="499" t="s">
        <v>142</v>
      </c>
      <c r="G333" s="501"/>
      <c r="H333" s="448" t="s">
        <v>55</v>
      </c>
      <c r="I333" s="451">
        <f>SUMIF('Wege im Detail'!$A:$A,"24844",'Wege im Detail'!$P:$P)</f>
        <v>9.5530000000000008</v>
      </c>
      <c r="J333" s="508" t="s">
        <v>900</v>
      </c>
      <c r="K333" s="427"/>
      <c r="L333" s="428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</row>
    <row r="334" spans="1:221" ht="45" customHeight="1" x14ac:dyDescent="0.2">
      <c r="A334" s="444">
        <v>24845</v>
      </c>
      <c r="B334" s="445" t="s">
        <v>84</v>
      </c>
      <c r="C334" s="455" t="s">
        <v>85</v>
      </c>
      <c r="D334" s="479"/>
      <c r="E334" s="445" t="s">
        <v>901</v>
      </c>
      <c r="F334" s="499" t="s">
        <v>147</v>
      </c>
      <c r="G334" s="501"/>
      <c r="H334" s="448" t="s">
        <v>55</v>
      </c>
      <c r="I334" s="451">
        <f>SUMIF('Wege im Detail'!$A:$A,"24845",'Wege im Detail'!$P:$P)</f>
        <v>3.0139999999999998</v>
      </c>
      <c r="J334" s="508" t="s">
        <v>902</v>
      </c>
      <c r="K334" s="427"/>
      <c r="L334" s="428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</row>
    <row r="335" spans="1:221" ht="45" customHeight="1" x14ac:dyDescent="0.2">
      <c r="A335" s="444">
        <v>24846</v>
      </c>
      <c r="B335" s="445" t="s">
        <v>84</v>
      </c>
      <c r="C335" s="455" t="s">
        <v>85</v>
      </c>
      <c r="D335" s="479"/>
      <c r="E335" s="445" t="s">
        <v>903</v>
      </c>
      <c r="F335" s="499" t="s">
        <v>133</v>
      </c>
      <c r="G335" s="501"/>
      <c r="H335" s="448" t="s">
        <v>55</v>
      </c>
      <c r="I335" s="451">
        <f>SUMIF('Wege im Detail'!$A:$A,"24846",'Wege im Detail'!$P:$P)</f>
        <v>6.5110000000000001</v>
      </c>
      <c r="J335" s="508" t="s">
        <v>904</v>
      </c>
      <c r="K335" s="427"/>
      <c r="L335" s="428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</row>
    <row r="336" spans="1:221" ht="45" customHeight="1" x14ac:dyDescent="0.2">
      <c r="A336" s="444">
        <v>25194</v>
      </c>
      <c r="B336" s="445" t="s">
        <v>84</v>
      </c>
      <c r="C336" s="445" t="s">
        <v>85</v>
      </c>
      <c r="D336" s="479"/>
      <c r="E336" s="445" t="s">
        <v>905</v>
      </c>
      <c r="F336" s="499" t="s">
        <v>906</v>
      </c>
      <c r="G336" s="501"/>
      <c r="H336" s="448" t="s">
        <v>55</v>
      </c>
      <c r="I336" s="451">
        <f>SUMIF('Wege im Detail'!$A:$A,"025194",'Wege im Detail'!$P:$P)</f>
        <v>4.4610000000000003</v>
      </c>
      <c r="J336" s="508" t="s">
        <v>907</v>
      </c>
      <c r="K336" s="427"/>
      <c r="L336" s="428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</row>
    <row r="337" spans="1:221" ht="45" customHeight="1" x14ac:dyDescent="0.2">
      <c r="A337" s="444">
        <v>25195</v>
      </c>
      <c r="B337" s="445" t="s">
        <v>84</v>
      </c>
      <c r="C337" s="445" t="s">
        <v>85</v>
      </c>
      <c r="D337" s="479"/>
      <c r="E337" s="445" t="s">
        <v>908</v>
      </c>
      <c r="F337" s="499" t="s">
        <v>909</v>
      </c>
      <c r="G337" s="501"/>
      <c r="H337" s="448" t="s">
        <v>55</v>
      </c>
      <c r="I337" s="451">
        <f>SUMIF('Wege im Detail'!$A:$A,"025195",'Wege im Detail'!$P:$P)</f>
        <v>5.4539999999999997</v>
      </c>
      <c r="J337" s="508" t="s">
        <v>910</v>
      </c>
      <c r="K337" s="427"/>
      <c r="L337" s="428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</row>
    <row r="338" spans="1:221" ht="45" customHeight="1" x14ac:dyDescent="0.2">
      <c r="A338" s="444">
        <v>25196</v>
      </c>
      <c r="B338" s="445" t="s">
        <v>84</v>
      </c>
      <c r="C338" s="445" t="s">
        <v>85</v>
      </c>
      <c r="D338" s="479"/>
      <c r="E338" s="445" t="s">
        <v>911</v>
      </c>
      <c r="F338" s="499" t="s">
        <v>912</v>
      </c>
      <c r="G338" s="501"/>
      <c r="H338" s="448" t="s">
        <v>55</v>
      </c>
      <c r="I338" s="451">
        <f>SUMIF('Wege im Detail'!$A:$A,"025196",'Wege im Detail'!$P:$P)</f>
        <v>3.17</v>
      </c>
      <c r="J338" s="508" t="s">
        <v>913</v>
      </c>
      <c r="K338" s="427"/>
      <c r="L338" s="428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</row>
    <row r="339" spans="1:221" ht="45" customHeight="1" x14ac:dyDescent="0.2">
      <c r="A339" s="444">
        <v>25197</v>
      </c>
      <c r="B339" s="445" t="s">
        <v>84</v>
      </c>
      <c r="C339" s="445" t="s">
        <v>85</v>
      </c>
      <c r="D339" s="479"/>
      <c r="E339" s="445" t="s">
        <v>914</v>
      </c>
      <c r="F339" s="499" t="s">
        <v>915</v>
      </c>
      <c r="G339" s="501"/>
      <c r="H339" s="448" t="s">
        <v>55</v>
      </c>
      <c r="I339" s="451">
        <f>SUMIF('Wege im Detail'!$A:$A,"025197",'Wege im Detail'!$P:$P)</f>
        <v>2.5190000000000001</v>
      </c>
      <c r="J339" s="508" t="s">
        <v>916</v>
      </c>
      <c r="K339" s="427"/>
      <c r="L339" s="428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</row>
    <row r="340" spans="1:221" ht="45" customHeight="1" x14ac:dyDescent="0.2">
      <c r="A340" s="444">
        <v>25353</v>
      </c>
      <c r="B340" s="445" t="s">
        <v>84</v>
      </c>
      <c r="C340" s="455" t="s">
        <v>85</v>
      </c>
      <c r="D340" s="479"/>
      <c r="E340" s="445" t="s">
        <v>917</v>
      </c>
      <c r="F340" s="499" t="s">
        <v>147</v>
      </c>
      <c r="G340" s="501"/>
      <c r="H340" s="448" t="s">
        <v>1719</v>
      </c>
      <c r="I340" s="451">
        <f>SUMIF('Wege im Detail'!$A:$A,"025353",'Wege im Detail'!$P:$P)</f>
        <v>9.8800000000000008</v>
      </c>
      <c r="J340" s="508" t="s">
        <v>918</v>
      </c>
      <c r="K340" s="427"/>
      <c r="L340" s="428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</row>
    <row r="341" spans="1:221" ht="45" customHeight="1" x14ac:dyDescent="0.2">
      <c r="A341" s="444">
        <v>25354</v>
      </c>
      <c r="B341" s="445" t="s">
        <v>84</v>
      </c>
      <c r="C341" s="455" t="s">
        <v>85</v>
      </c>
      <c r="D341" s="479"/>
      <c r="E341" s="445" t="s">
        <v>919</v>
      </c>
      <c r="F341" s="499" t="s">
        <v>138</v>
      </c>
      <c r="G341" s="501"/>
      <c r="H341" s="448" t="s">
        <v>1719</v>
      </c>
      <c r="I341" s="451">
        <f>SUMIF('Wege im Detail'!$A:$A,"025354",'Wege im Detail'!$P:$P)</f>
        <v>8.6440000000000001</v>
      </c>
      <c r="J341" s="508" t="s">
        <v>918</v>
      </c>
      <c r="K341" s="427"/>
      <c r="L341" s="428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</row>
    <row r="342" spans="1:221" ht="45" customHeight="1" x14ac:dyDescent="0.2">
      <c r="A342" s="444">
        <v>25355</v>
      </c>
      <c r="B342" s="445" t="s">
        <v>84</v>
      </c>
      <c r="C342" s="455" t="s">
        <v>85</v>
      </c>
      <c r="D342" s="479"/>
      <c r="E342" s="445" t="s">
        <v>920</v>
      </c>
      <c r="F342" s="499" t="s">
        <v>133</v>
      </c>
      <c r="G342" s="501"/>
      <c r="H342" s="448" t="s">
        <v>1719</v>
      </c>
      <c r="I342" s="451">
        <f>SUMIF('Wege im Detail'!$A:$A,"025355",'Wege im Detail'!$P:$P)</f>
        <v>9.0090000000000003</v>
      </c>
      <c r="J342" s="508" t="s">
        <v>918</v>
      </c>
      <c r="K342" s="427"/>
      <c r="L342" s="428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</row>
    <row r="343" spans="1:221" ht="45" customHeight="1" x14ac:dyDescent="0.2">
      <c r="A343" s="444">
        <v>25356</v>
      </c>
      <c r="B343" s="445" t="s">
        <v>84</v>
      </c>
      <c r="C343" s="455" t="s">
        <v>85</v>
      </c>
      <c r="D343" s="479"/>
      <c r="E343" s="445" t="s">
        <v>921</v>
      </c>
      <c r="F343" s="499" t="s">
        <v>142</v>
      </c>
      <c r="G343" s="501"/>
      <c r="H343" s="448" t="s">
        <v>1719</v>
      </c>
      <c r="I343" s="451">
        <f>SUMIF('Wege im Detail'!$A:$A,"025356",'Wege im Detail'!$P:$P)</f>
        <v>9.08</v>
      </c>
      <c r="J343" s="508" t="s">
        <v>922</v>
      </c>
      <c r="K343" s="427"/>
      <c r="L343" s="428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</row>
    <row r="344" spans="1:221" ht="45" customHeight="1" x14ac:dyDescent="0.2">
      <c r="A344" s="444">
        <v>25732</v>
      </c>
      <c r="B344" s="445" t="s">
        <v>84</v>
      </c>
      <c r="C344" s="445" t="s">
        <v>85</v>
      </c>
      <c r="E344" s="445" t="s">
        <v>923</v>
      </c>
      <c r="F344" s="41" t="s">
        <v>172</v>
      </c>
      <c r="H344" s="83" t="s">
        <v>55</v>
      </c>
      <c r="I344" s="451">
        <f>SUMIF('Wege im Detail'!$A:$A,"025732",'Wege im Detail'!$P:$P)</f>
        <v>7.5250000000000004</v>
      </c>
      <c r="J344" s="508" t="s">
        <v>924</v>
      </c>
      <c r="K344" s="427"/>
      <c r="L344" s="428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</row>
    <row r="345" spans="1:221" ht="45" customHeight="1" x14ac:dyDescent="0.2">
      <c r="A345" s="444">
        <v>25912</v>
      </c>
      <c r="B345" s="445" t="s">
        <v>84</v>
      </c>
      <c r="C345" s="445" t="s">
        <v>85</v>
      </c>
      <c r="D345" s="479"/>
      <c r="E345" s="445" t="s">
        <v>925</v>
      </c>
      <c r="F345" s="445" t="s">
        <v>926</v>
      </c>
      <c r="G345" s="448" t="s">
        <v>286</v>
      </c>
      <c r="H345" s="448" t="s">
        <v>55</v>
      </c>
      <c r="I345" s="451">
        <f>SUMIF('Wege im Detail'!$A:$A,"025912",'Wege im Detail'!$P:$P)</f>
        <v>10.5</v>
      </c>
      <c r="J345" s="508" t="s">
        <v>927</v>
      </c>
      <c r="K345" s="427"/>
      <c r="L345" s="428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</row>
    <row r="346" spans="1:221" ht="45" customHeight="1" x14ac:dyDescent="0.2">
      <c r="A346" s="444">
        <v>26469</v>
      </c>
      <c r="B346" s="445" t="s">
        <v>84</v>
      </c>
      <c r="C346" s="445" t="s">
        <v>85</v>
      </c>
      <c r="D346" s="479"/>
      <c r="E346" s="445" t="s">
        <v>928</v>
      </c>
      <c r="F346" s="445" t="s">
        <v>929</v>
      </c>
      <c r="G346" s="448" t="s">
        <v>286</v>
      </c>
      <c r="H346" s="448" t="s">
        <v>55</v>
      </c>
      <c r="I346" s="451">
        <f>SUMIF('Wege im Detail'!$A:$A,"026469",'Wege im Detail'!$P:$P)</f>
        <v>10.51</v>
      </c>
      <c r="J346" s="508" t="s">
        <v>930</v>
      </c>
      <c r="K346" s="427"/>
      <c r="L346" s="428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</row>
    <row r="347" spans="1:221" s="707" customFormat="1" ht="45" customHeight="1" x14ac:dyDescent="0.2">
      <c r="A347" s="444" t="s">
        <v>931</v>
      </c>
      <c r="B347" s="445" t="s">
        <v>84</v>
      </c>
      <c r="C347" s="445" t="s">
        <v>85</v>
      </c>
      <c r="D347" s="479"/>
      <c r="E347" s="445" t="s">
        <v>932</v>
      </c>
      <c r="F347" s="445" t="s">
        <v>933</v>
      </c>
      <c r="G347" s="448"/>
      <c r="H347" s="448" t="s">
        <v>55</v>
      </c>
      <c r="I347" s="451">
        <f>SUMIF('Wege im Detail'!$A:$A,"N-2023_Erfahrungspfad",'Wege im Detail'!$P:$P)</f>
        <v>0</v>
      </c>
      <c r="J347" s="508" t="s">
        <v>2267</v>
      </c>
      <c r="K347" s="427"/>
      <c r="L347" s="427"/>
      <c r="M347" s="706"/>
      <c r="N347" s="706"/>
      <c r="O347" s="706"/>
      <c r="P347" s="706"/>
      <c r="Q347" s="706"/>
      <c r="R347" s="706"/>
      <c r="S347" s="706"/>
      <c r="T347" s="706"/>
      <c r="U347" s="706"/>
      <c r="V347" s="706"/>
      <c r="W347" s="706"/>
      <c r="X347" s="706"/>
      <c r="Y347" s="706"/>
      <c r="Z347" s="706"/>
      <c r="AA347" s="706"/>
      <c r="AB347" s="706"/>
      <c r="AC347" s="706"/>
      <c r="AD347" s="706"/>
      <c r="AE347" s="706"/>
      <c r="AF347" s="706"/>
      <c r="AG347" s="706"/>
      <c r="AH347" s="706"/>
      <c r="AI347" s="706"/>
      <c r="AJ347" s="706"/>
      <c r="AK347" s="706"/>
      <c r="AL347" s="706"/>
      <c r="AM347" s="706"/>
      <c r="AN347" s="706"/>
      <c r="AO347" s="706"/>
      <c r="AP347" s="706"/>
      <c r="AQ347" s="706"/>
      <c r="AR347" s="706"/>
      <c r="AS347" s="706"/>
      <c r="AT347" s="706"/>
      <c r="AU347" s="706"/>
      <c r="AV347" s="706"/>
      <c r="AW347" s="706"/>
      <c r="AX347" s="706"/>
      <c r="AY347" s="706"/>
      <c r="AZ347" s="706"/>
      <c r="BA347" s="706"/>
      <c r="BB347" s="706"/>
      <c r="BC347" s="706"/>
      <c r="BD347" s="706"/>
      <c r="BE347" s="706"/>
      <c r="BF347" s="706"/>
      <c r="BG347" s="706"/>
      <c r="BH347" s="706"/>
      <c r="BI347" s="706"/>
      <c r="BJ347" s="706"/>
      <c r="BK347" s="706"/>
      <c r="BL347" s="706"/>
      <c r="BM347" s="706"/>
      <c r="BN347" s="706"/>
      <c r="BO347" s="706"/>
      <c r="BP347" s="706"/>
      <c r="BQ347" s="706"/>
      <c r="BR347" s="706"/>
      <c r="BS347" s="706"/>
      <c r="BT347" s="706"/>
      <c r="BU347" s="706"/>
      <c r="BV347" s="706"/>
      <c r="BW347" s="706"/>
      <c r="BX347" s="706"/>
      <c r="BY347" s="706"/>
      <c r="BZ347" s="706"/>
      <c r="CA347" s="706"/>
      <c r="CB347" s="706"/>
      <c r="CC347" s="706"/>
      <c r="CD347" s="706"/>
      <c r="CE347" s="706"/>
      <c r="CF347" s="706"/>
      <c r="CG347" s="706"/>
      <c r="CH347" s="706"/>
      <c r="CI347" s="706"/>
      <c r="CJ347" s="706"/>
      <c r="CK347" s="706"/>
      <c r="CL347" s="706"/>
      <c r="CM347" s="706"/>
      <c r="CN347" s="706"/>
      <c r="CO347" s="706"/>
      <c r="CP347" s="706"/>
      <c r="CQ347" s="706"/>
      <c r="CR347" s="706"/>
      <c r="CS347" s="706"/>
      <c r="CT347" s="706"/>
      <c r="CU347" s="706"/>
      <c r="CV347" s="706"/>
      <c r="CW347" s="706"/>
      <c r="CX347" s="706"/>
      <c r="CY347" s="706"/>
      <c r="CZ347" s="706"/>
      <c r="DA347" s="706"/>
      <c r="DB347" s="706"/>
      <c r="DC347" s="706"/>
      <c r="DD347" s="706"/>
      <c r="DE347" s="706"/>
      <c r="DF347" s="706"/>
      <c r="DG347" s="706"/>
      <c r="DH347" s="706"/>
      <c r="DI347" s="706"/>
      <c r="DJ347" s="706"/>
      <c r="DK347" s="706"/>
      <c r="DL347" s="706"/>
      <c r="DM347" s="706"/>
      <c r="DN347" s="706"/>
      <c r="DO347" s="706"/>
      <c r="DP347" s="706"/>
      <c r="DQ347" s="706"/>
      <c r="DR347" s="706"/>
      <c r="DS347" s="706"/>
      <c r="DT347" s="706"/>
      <c r="DU347" s="706"/>
      <c r="DV347" s="706"/>
      <c r="DW347" s="706"/>
      <c r="DX347" s="706"/>
      <c r="DY347" s="706"/>
      <c r="DZ347" s="706"/>
      <c r="EA347" s="706"/>
      <c r="EB347" s="706"/>
      <c r="EC347" s="706"/>
      <c r="ED347" s="706"/>
      <c r="EE347" s="706"/>
      <c r="EF347" s="706"/>
      <c r="EG347" s="706"/>
      <c r="EH347" s="706"/>
      <c r="EI347" s="706"/>
      <c r="EJ347" s="706"/>
      <c r="EK347" s="706"/>
      <c r="EL347" s="706"/>
      <c r="EM347" s="706"/>
      <c r="EN347" s="706"/>
      <c r="EO347" s="706"/>
      <c r="EP347" s="706"/>
      <c r="EQ347" s="706"/>
      <c r="ER347" s="706"/>
      <c r="ES347" s="706"/>
      <c r="ET347" s="706"/>
      <c r="EU347" s="706"/>
      <c r="EV347" s="706"/>
      <c r="EW347" s="706"/>
      <c r="EX347" s="706"/>
      <c r="EY347" s="706"/>
      <c r="EZ347" s="706"/>
      <c r="FA347" s="706"/>
      <c r="FB347" s="706"/>
      <c r="FC347" s="706"/>
      <c r="FD347" s="706"/>
      <c r="FE347" s="706"/>
      <c r="FF347" s="706"/>
      <c r="FG347" s="706"/>
      <c r="FH347" s="706"/>
      <c r="FI347" s="706"/>
      <c r="FJ347" s="706"/>
      <c r="FK347" s="706"/>
      <c r="FL347" s="706"/>
      <c r="FM347" s="706"/>
      <c r="FN347" s="706"/>
      <c r="FO347" s="706"/>
      <c r="FP347" s="706"/>
      <c r="FQ347" s="706"/>
      <c r="FR347" s="706"/>
      <c r="FS347" s="706"/>
      <c r="FT347" s="706"/>
      <c r="FU347" s="706"/>
      <c r="FV347" s="706"/>
      <c r="FW347" s="706"/>
      <c r="FX347" s="706"/>
      <c r="FY347" s="706"/>
      <c r="FZ347" s="706"/>
      <c r="GA347" s="706"/>
      <c r="GB347" s="706"/>
      <c r="GC347" s="706"/>
      <c r="GD347" s="706"/>
      <c r="GE347" s="706"/>
      <c r="GF347" s="706"/>
      <c r="GG347" s="706"/>
      <c r="GH347" s="706"/>
      <c r="GI347" s="706"/>
      <c r="GJ347" s="706"/>
      <c r="GK347" s="706"/>
      <c r="GL347" s="706"/>
      <c r="GM347" s="706"/>
      <c r="GN347" s="706"/>
      <c r="GO347" s="706"/>
      <c r="GP347" s="706"/>
      <c r="GQ347" s="706"/>
      <c r="GR347" s="706"/>
      <c r="GS347" s="706"/>
      <c r="GT347" s="706"/>
      <c r="GU347" s="706"/>
      <c r="GV347" s="706"/>
      <c r="GW347" s="706"/>
      <c r="GX347" s="706"/>
      <c r="GY347" s="706"/>
      <c r="GZ347" s="706"/>
      <c r="HA347" s="706"/>
      <c r="HB347" s="706"/>
      <c r="HC347" s="706"/>
      <c r="HD347" s="706"/>
      <c r="HE347" s="706"/>
      <c r="HF347" s="706"/>
      <c r="HG347" s="706"/>
      <c r="HH347" s="706"/>
      <c r="HI347" s="706"/>
      <c r="HJ347" s="706"/>
      <c r="HK347" s="706"/>
      <c r="HL347" s="706"/>
      <c r="HM347" s="706"/>
    </row>
    <row r="348" spans="1:221" ht="45" customHeight="1" x14ac:dyDescent="0.2">
      <c r="B348" s="445"/>
      <c r="F348" s="740" t="s">
        <v>2279</v>
      </c>
      <c r="G348" s="748"/>
      <c r="H348" s="749"/>
      <c r="I348" s="276">
        <f>SUM(I2:I346)</f>
        <v>3884.5381000000002</v>
      </c>
      <c r="K348" s="427"/>
      <c r="L348" s="428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</row>
    <row r="349" spans="1:221" ht="45" customHeight="1" x14ac:dyDescent="0.2">
      <c r="B349" s="716"/>
      <c r="F349" s="734" t="s">
        <v>2280</v>
      </c>
      <c r="G349" s="735"/>
      <c r="H349" s="736"/>
      <c r="I349" s="715">
        <f>SUMIF(Wegeübersicht_EXPORT_Aug23!$H:$H,"JA",Wegeübersicht_EXPORT_Aug23!$I:$I)</f>
        <v>3805.6961000000001</v>
      </c>
      <c r="K349" s="427"/>
      <c r="L349" s="428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</row>
    <row r="350" spans="1:221" ht="45" customHeight="1" x14ac:dyDescent="0.2">
      <c r="B350" s="717"/>
      <c r="K350" s="427"/>
      <c r="L350" s="428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</row>
    <row r="351" spans="1:221" ht="84" customHeight="1" x14ac:dyDescent="0.2">
      <c r="B351" s="717"/>
      <c r="K351" s="427"/>
      <c r="L351" s="428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</row>
    <row r="352" spans="1:221" ht="45" customHeight="1" x14ac:dyDescent="0.2">
      <c r="K352" s="427"/>
      <c r="L352" s="428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</row>
    <row r="353" spans="11:221" ht="45" customHeight="1" x14ac:dyDescent="0.2">
      <c r="K353" s="427"/>
      <c r="L353" s="428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</row>
    <row r="357" spans="11:221" ht="45" customHeight="1" x14ac:dyDescent="0.2">
      <c r="K357" s="427"/>
      <c r="L357" s="428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</row>
    <row r="370" spans="1:221" s="35" customFormat="1" ht="45" customHeight="1" x14ac:dyDescent="0.2">
      <c r="A370" s="444"/>
      <c r="B370" s="41"/>
      <c r="C370" s="57"/>
      <c r="D370" s="57"/>
      <c r="E370" s="41"/>
      <c r="F370" s="83"/>
      <c r="G370" s="83"/>
      <c r="H370" s="83"/>
      <c r="I370" s="111"/>
      <c r="J370" s="108"/>
      <c r="K370" s="425"/>
      <c r="L370" s="426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</row>
    <row r="372" spans="1:221" ht="45" customHeight="1" x14ac:dyDescent="0.2">
      <c r="C372" s="36"/>
      <c r="D372" s="41"/>
      <c r="F372" s="41"/>
      <c r="G372" s="41"/>
      <c r="K372" s="427"/>
      <c r="L372" s="428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</row>
    <row r="373" spans="1:221" ht="45" customHeight="1" x14ac:dyDescent="0.2">
      <c r="K373" s="427"/>
      <c r="L373" s="428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</row>
    <row r="374" spans="1:221" ht="45" customHeight="1" x14ac:dyDescent="0.2">
      <c r="K374" s="427"/>
      <c r="L374" s="428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</row>
    <row r="375" spans="1:221" ht="45" customHeight="1" x14ac:dyDescent="0.2">
      <c r="K375" s="427"/>
      <c r="L375" s="428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</row>
    <row r="380" spans="1:221" ht="45" customHeight="1" x14ac:dyDescent="0.2">
      <c r="A380" s="709"/>
      <c r="B380" s="112"/>
      <c r="C380" s="113"/>
      <c r="D380" s="113"/>
      <c r="E380" s="112"/>
      <c r="F380" s="114"/>
      <c r="G380" s="114"/>
      <c r="H380" s="114"/>
      <c r="I380" s="115"/>
      <c r="J380" s="116"/>
      <c r="K380" s="432"/>
      <c r="L380" s="433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</row>
    <row r="388" spans="1:221" s="35" customFormat="1" ht="45" customHeight="1" x14ac:dyDescent="0.2">
      <c r="A388" s="444"/>
      <c r="B388" s="41"/>
      <c r="C388" s="57"/>
      <c r="D388" s="57"/>
      <c r="E388" s="41"/>
      <c r="F388" s="83"/>
      <c r="G388" s="83"/>
      <c r="H388" s="83"/>
      <c r="I388" s="111"/>
      <c r="J388" s="108"/>
      <c r="K388" s="425"/>
      <c r="L388" s="426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</row>
    <row r="389" spans="1:221" s="35" customFormat="1" ht="45" customHeight="1" x14ac:dyDescent="0.2">
      <c r="A389" s="444"/>
      <c r="B389" s="41"/>
      <c r="C389" s="57"/>
      <c r="D389" s="57"/>
      <c r="E389" s="41"/>
      <c r="F389" s="83"/>
      <c r="G389" s="83"/>
      <c r="H389" s="83"/>
      <c r="I389" s="111"/>
      <c r="J389" s="108"/>
      <c r="K389" s="425"/>
      <c r="L389" s="426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</row>
    <row r="390" spans="1:221" s="35" customFormat="1" ht="45" customHeight="1" x14ac:dyDescent="0.2">
      <c r="A390" s="444"/>
      <c r="B390" s="41"/>
      <c r="C390" s="57"/>
      <c r="D390" s="57"/>
      <c r="E390" s="41"/>
      <c r="F390" s="83"/>
      <c r="G390" s="83"/>
      <c r="H390" s="83"/>
      <c r="I390" s="111"/>
      <c r="J390" s="108"/>
      <c r="K390" s="425"/>
      <c r="L390" s="426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</row>
    <row r="391" spans="1:221" s="35" customFormat="1" ht="45" customHeight="1" x14ac:dyDescent="0.2">
      <c r="A391" s="444"/>
      <c r="B391" s="41"/>
      <c r="C391" s="57"/>
      <c r="D391" s="57"/>
      <c r="E391" s="41"/>
      <c r="F391" s="83"/>
      <c r="G391" s="83"/>
      <c r="H391" s="83"/>
      <c r="I391" s="111"/>
      <c r="J391" s="108"/>
      <c r="K391" s="425"/>
      <c r="L391" s="426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</row>
    <row r="392" spans="1:221" s="35" customFormat="1" ht="45" customHeight="1" x14ac:dyDescent="0.2">
      <c r="A392" s="444"/>
      <c r="B392" s="41"/>
      <c r="C392" s="57"/>
      <c r="D392" s="57"/>
      <c r="E392" s="41"/>
      <c r="F392" s="83"/>
      <c r="G392" s="83"/>
      <c r="H392" s="83"/>
      <c r="I392" s="111"/>
      <c r="J392" s="108"/>
      <c r="K392" s="425"/>
      <c r="L392" s="426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</row>
    <row r="393" spans="1:221" s="35" customFormat="1" ht="45" customHeight="1" x14ac:dyDescent="0.2">
      <c r="A393" s="444"/>
      <c r="B393" s="41"/>
      <c r="C393" s="57"/>
      <c r="D393" s="57"/>
      <c r="E393" s="41"/>
      <c r="F393" s="83"/>
      <c r="G393" s="83"/>
      <c r="H393" s="83"/>
      <c r="I393" s="111"/>
      <c r="J393" s="108"/>
      <c r="K393" s="425"/>
      <c r="L393" s="426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</row>
    <row r="394" spans="1:221" s="35" customFormat="1" ht="45" customHeight="1" x14ac:dyDescent="0.2">
      <c r="A394" s="444"/>
      <c r="B394" s="41"/>
      <c r="C394" s="57"/>
      <c r="D394" s="57"/>
      <c r="E394" s="41"/>
      <c r="F394" s="83"/>
      <c r="G394" s="83"/>
      <c r="H394" s="83"/>
      <c r="I394" s="111"/>
      <c r="J394" s="108"/>
      <c r="K394" s="425"/>
      <c r="L394" s="426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</row>
    <row r="395" spans="1:221" s="35" customFormat="1" ht="45" customHeight="1" x14ac:dyDescent="0.2">
      <c r="A395" s="444"/>
      <c r="B395" s="41"/>
      <c r="C395" s="57"/>
      <c r="D395" s="57"/>
      <c r="E395" s="41"/>
      <c r="F395" s="83"/>
      <c r="G395" s="83"/>
      <c r="H395" s="83"/>
      <c r="I395" s="111"/>
      <c r="J395" s="108"/>
      <c r="K395" s="425"/>
      <c r="L395" s="426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</row>
    <row r="397" spans="1:221" s="35" customFormat="1" ht="45" customHeight="1" x14ac:dyDescent="0.2">
      <c r="A397" s="444"/>
      <c r="B397" s="41"/>
      <c r="C397" s="57"/>
      <c r="D397" s="57"/>
      <c r="E397" s="41"/>
      <c r="F397" s="83"/>
      <c r="G397" s="83"/>
      <c r="H397" s="83"/>
      <c r="I397" s="111"/>
      <c r="J397" s="108"/>
      <c r="K397" s="425"/>
      <c r="L397" s="426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</row>
    <row r="398" spans="1:221" s="35" customFormat="1" ht="45" customHeight="1" x14ac:dyDescent="0.2">
      <c r="A398" s="444"/>
      <c r="B398" s="41"/>
      <c r="C398" s="57"/>
      <c r="D398" s="57"/>
      <c r="E398" s="41"/>
      <c r="F398" s="83"/>
      <c r="G398" s="83"/>
      <c r="H398" s="83"/>
      <c r="I398" s="111"/>
      <c r="J398" s="108"/>
      <c r="K398" s="425"/>
      <c r="L398" s="426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</row>
    <row r="399" spans="1:221" s="35" customFormat="1" ht="45" customHeight="1" x14ac:dyDescent="0.2">
      <c r="A399" s="444"/>
      <c r="B399" s="41"/>
      <c r="C399" s="57"/>
      <c r="D399" s="57"/>
      <c r="E399" s="41"/>
      <c r="F399" s="83"/>
      <c r="G399" s="83"/>
      <c r="H399" s="83"/>
      <c r="I399" s="111"/>
      <c r="J399" s="108"/>
      <c r="K399" s="425"/>
      <c r="L399" s="426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</row>
    <row r="400" spans="1:221" s="35" customFormat="1" ht="45" customHeight="1" x14ac:dyDescent="0.2">
      <c r="A400" s="444"/>
      <c r="B400" s="41"/>
      <c r="C400" s="57"/>
      <c r="D400" s="57"/>
      <c r="E400" s="41"/>
      <c r="F400" s="83"/>
      <c r="G400" s="83"/>
      <c r="H400" s="83"/>
      <c r="I400" s="111"/>
      <c r="J400" s="108"/>
      <c r="K400" s="425"/>
      <c r="L400" s="426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</row>
    <row r="401" spans="1:221" s="35" customFormat="1" ht="45" customHeight="1" x14ac:dyDescent="0.2">
      <c r="A401" s="444"/>
      <c r="B401" s="41"/>
      <c r="C401" s="57"/>
      <c r="D401" s="57"/>
      <c r="E401" s="41"/>
      <c r="F401" s="83"/>
      <c r="G401" s="83"/>
      <c r="H401" s="83"/>
      <c r="I401" s="111"/>
      <c r="J401" s="108"/>
      <c r="K401" s="425"/>
      <c r="L401" s="426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</row>
    <row r="402" spans="1:221" s="35" customFormat="1" ht="45" customHeight="1" x14ac:dyDescent="0.2">
      <c r="A402" s="444"/>
      <c r="B402" s="41"/>
      <c r="C402" s="57"/>
      <c r="D402" s="57"/>
      <c r="E402" s="41"/>
      <c r="F402" s="83"/>
      <c r="G402" s="83"/>
      <c r="H402" s="83"/>
      <c r="I402" s="111"/>
      <c r="J402" s="108"/>
      <c r="K402" s="425"/>
      <c r="L402" s="426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</row>
    <row r="406" spans="1:221" s="35" customFormat="1" ht="45" customHeight="1" x14ac:dyDescent="0.2">
      <c r="A406" s="444"/>
      <c r="B406" s="41"/>
      <c r="C406" s="57"/>
      <c r="D406" s="57"/>
      <c r="E406" s="41"/>
      <c r="F406" s="83"/>
      <c r="G406" s="83"/>
      <c r="H406" s="83"/>
      <c r="I406" s="111"/>
      <c r="J406" s="108"/>
      <c r="K406" s="425"/>
      <c r="L406" s="426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</row>
    <row r="408" spans="1:221" s="35" customFormat="1" ht="45" customHeight="1" x14ac:dyDescent="0.2">
      <c r="A408" s="444"/>
      <c r="B408" s="41"/>
      <c r="C408" s="57"/>
      <c r="D408" s="57"/>
      <c r="E408" s="41"/>
      <c r="F408" s="83"/>
      <c r="G408" s="83"/>
      <c r="H408" s="83"/>
      <c r="I408" s="111"/>
      <c r="J408" s="108"/>
      <c r="K408" s="425"/>
      <c r="L408" s="426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</row>
    <row r="409" spans="1:221" s="35" customFormat="1" ht="45" customHeight="1" x14ac:dyDescent="0.2">
      <c r="A409" s="444"/>
      <c r="B409" s="41"/>
      <c r="C409" s="57"/>
      <c r="D409" s="57"/>
      <c r="E409" s="41"/>
      <c r="F409" s="83"/>
      <c r="G409" s="83"/>
      <c r="H409" s="83"/>
      <c r="I409" s="111"/>
      <c r="J409" s="108"/>
      <c r="K409" s="425"/>
      <c r="L409" s="426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</row>
    <row r="410" spans="1:221" s="35" customFormat="1" ht="45" customHeight="1" x14ac:dyDescent="0.2">
      <c r="A410" s="444"/>
      <c r="B410" s="41"/>
      <c r="C410" s="57"/>
      <c r="D410" s="57"/>
      <c r="E410" s="41"/>
      <c r="F410" s="83"/>
      <c r="G410" s="83"/>
      <c r="H410" s="83"/>
      <c r="I410" s="111"/>
      <c r="J410" s="108"/>
      <c r="K410" s="425"/>
      <c r="L410" s="426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</row>
    <row r="411" spans="1:221" s="35" customFormat="1" ht="45" customHeight="1" x14ac:dyDescent="0.2">
      <c r="A411" s="444"/>
      <c r="B411" s="41"/>
      <c r="C411" s="57"/>
      <c r="D411" s="57"/>
      <c r="E411" s="41"/>
      <c r="F411" s="83"/>
      <c r="G411" s="83"/>
      <c r="H411" s="83"/>
      <c r="I411" s="111"/>
      <c r="J411" s="108"/>
      <c r="K411" s="425"/>
      <c r="L411" s="426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</row>
    <row r="412" spans="1:221" s="35" customFormat="1" ht="45" customHeight="1" x14ac:dyDescent="0.2">
      <c r="A412" s="444"/>
      <c r="B412" s="41"/>
      <c r="C412" s="57"/>
      <c r="D412" s="57"/>
      <c r="E412" s="41"/>
      <c r="F412" s="83"/>
      <c r="G412" s="83"/>
      <c r="H412" s="83"/>
      <c r="I412" s="111"/>
      <c r="J412" s="108"/>
      <c r="K412" s="425"/>
      <c r="L412" s="426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</row>
    <row r="413" spans="1:221" s="35" customFormat="1" ht="45" customHeight="1" x14ac:dyDescent="0.2">
      <c r="A413" s="444"/>
      <c r="B413" s="41"/>
      <c r="C413" s="57"/>
      <c r="D413" s="57"/>
      <c r="E413" s="41"/>
      <c r="F413" s="83"/>
      <c r="G413" s="83"/>
      <c r="H413" s="83"/>
      <c r="I413" s="111"/>
      <c r="J413" s="108"/>
      <c r="K413" s="425"/>
      <c r="L413" s="426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</row>
    <row r="414" spans="1:221" s="35" customFormat="1" ht="45" customHeight="1" x14ac:dyDescent="0.2">
      <c r="A414" s="444"/>
      <c r="B414" s="41"/>
      <c r="C414" s="57"/>
      <c r="D414" s="57"/>
      <c r="E414" s="41"/>
      <c r="F414" s="83"/>
      <c r="G414" s="83"/>
      <c r="H414" s="83"/>
      <c r="I414" s="111"/>
      <c r="J414" s="108"/>
      <c r="K414" s="425"/>
      <c r="L414" s="426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</row>
    <row r="415" spans="1:221" ht="45" customHeight="1" x14ac:dyDescent="0.2">
      <c r="C415" s="42"/>
      <c r="E415" s="36"/>
      <c r="F415" s="42"/>
      <c r="G415" s="42"/>
      <c r="H415" s="42"/>
      <c r="I415" s="117"/>
      <c r="J415" s="123"/>
    </row>
    <row r="419" spans="1:221" s="35" customFormat="1" ht="45" customHeight="1" x14ac:dyDescent="0.2">
      <c r="A419" s="444"/>
      <c r="B419" s="41"/>
      <c r="C419" s="57"/>
      <c r="D419" s="57"/>
      <c r="E419" s="41"/>
      <c r="F419" s="83"/>
      <c r="G419" s="83"/>
      <c r="H419" s="83"/>
      <c r="I419" s="111"/>
      <c r="J419" s="108"/>
      <c r="K419" s="425"/>
      <c r="L419" s="426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</row>
    <row r="421" spans="1:221" s="35" customFormat="1" ht="45" customHeight="1" x14ac:dyDescent="0.2">
      <c r="A421" s="444"/>
      <c r="B421" s="41"/>
      <c r="C421" s="57"/>
      <c r="D421" s="57"/>
      <c r="E421" s="41"/>
      <c r="F421" s="83"/>
      <c r="G421" s="83"/>
      <c r="H421" s="83"/>
      <c r="I421" s="111"/>
      <c r="J421" s="108"/>
      <c r="K421" s="425"/>
      <c r="L421" s="426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</row>
    <row r="422" spans="1:221" s="35" customFormat="1" ht="45" customHeight="1" x14ac:dyDescent="0.2">
      <c r="A422" s="444"/>
      <c r="B422" s="41"/>
      <c r="C422" s="57"/>
      <c r="D422" s="57"/>
      <c r="E422" s="41"/>
      <c r="F422" s="83"/>
      <c r="G422" s="83"/>
      <c r="H422" s="83"/>
      <c r="I422" s="111"/>
      <c r="J422" s="108"/>
      <c r="K422" s="425"/>
      <c r="L422" s="426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</row>
    <row r="423" spans="1:221" s="35" customFormat="1" ht="45" customHeight="1" x14ac:dyDescent="0.2">
      <c r="A423" s="444"/>
      <c r="B423" s="41"/>
      <c r="C423" s="57"/>
      <c r="D423" s="57"/>
      <c r="E423" s="41"/>
      <c r="F423" s="83"/>
      <c r="G423" s="83"/>
      <c r="H423" s="83"/>
      <c r="I423" s="111"/>
      <c r="J423" s="108"/>
      <c r="K423" s="425"/>
      <c r="L423" s="426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</row>
    <row r="424" spans="1:221" s="35" customFormat="1" ht="45" customHeight="1" x14ac:dyDescent="0.2">
      <c r="A424" s="710"/>
      <c r="B424" s="118"/>
      <c r="C424" s="57"/>
      <c r="D424" s="57"/>
      <c r="E424" s="41"/>
      <c r="F424" s="83"/>
      <c r="G424" s="83"/>
      <c r="H424" s="83"/>
      <c r="I424" s="111"/>
      <c r="J424" s="108"/>
      <c r="K424" s="425"/>
      <c r="L424" s="426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</row>
    <row r="425" spans="1:221" ht="45" customHeight="1" x14ac:dyDescent="0.2">
      <c r="A425" s="710"/>
      <c r="B425" s="118"/>
    </row>
    <row r="426" spans="1:221" ht="45" customHeight="1" x14ac:dyDescent="0.2">
      <c r="A426" s="710"/>
      <c r="B426" s="118"/>
    </row>
    <row r="427" spans="1:221" ht="45" customHeight="1" x14ac:dyDescent="0.2">
      <c r="A427" s="710"/>
      <c r="B427" s="118"/>
    </row>
    <row r="432" spans="1:221" s="35" customFormat="1" ht="45" customHeight="1" x14ac:dyDescent="0.2">
      <c r="A432" s="444"/>
      <c r="B432" s="41"/>
      <c r="C432" s="57"/>
      <c r="D432" s="57"/>
      <c r="E432" s="41"/>
      <c r="F432" s="83"/>
      <c r="G432" s="83"/>
      <c r="H432" s="83"/>
      <c r="I432" s="111"/>
      <c r="J432" s="108"/>
      <c r="K432" s="425"/>
      <c r="L432" s="426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</row>
    <row r="435" spans="1:221" s="35" customFormat="1" ht="45" customHeight="1" x14ac:dyDescent="0.2">
      <c r="A435" s="444"/>
      <c r="B435" s="41"/>
      <c r="C435" s="57"/>
      <c r="D435" s="57"/>
      <c r="E435" s="41"/>
      <c r="F435" s="83"/>
      <c r="G435" s="83"/>
      <c r="H435" s="83"/>
      <c r="I435" s="111"/>
      <c r="J435" s="108"/>
      <c r="K435" s="425"/>
      <c r="L435" s="426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</row>
  </sheetData>
  <mergeCells count="3">
    <mergeCell ref="A1:J1"/>
    <mergeCell ref="F348:H348"/>
    <mergeCell ref="F349:H349"/>
  </mergeCells>
  <printOptions horizontalCentered="1" verticalCentered="1" gridLines="1"/>
  <pageMargins left="0.23622047244094491" right="0.23622047244094491" top="0.74803149606299213" bottom="0.74803149606299213" header="0.31496062992125984" footer="0.31496062992125984"/>
  <pageSetup paperSize="9" scale="72" fitToHeight="0" orientation="portrait" horizontalDpi="150" verticalDpi="150" r:id="rId1"/>
  <headerFooter>
    <oddHeader>&amp;LWegeliste NEU, RegNr. 2.2.10&amp;C&amp;"Arial,Fett"&amp;12Wegeübersicht&amp;RStand: &amp;D</oddHeader>
    <oddFooter>&amp;C&amp;P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O100"/>
  <sheetViews>
    <sheetView zoomScale="110" zoomScaleNormal="110" workbookViewId="0">
      <selection activeCell="F26" sqref="F26"/>
    </sheetView>
  </sheetViews>
  <sheetFormatPr baseColWidth="10" defaultColWidth="11.42578125" defaultRowHeight="12.75" x14ac:dyDescent="0.2"/>
  <cols>
    <col min="2" max="2" width="20.42578125" customWidth="1"/>
    <col min="4" max="4" width="12.5703125" customWidth="1"/>
    <col min="6" max="6" width="12.140625" bestFit="1" customWidth="1"/>
    <col min="8" max="8" width="33.7109375" customWidth="1"/>
    <col min="9" max="9" width="21" customWidth="1"/>
    <col min="10" max="10" width="18.7109375" customWidth="1"/>
    <col min="11" max="11" width="11.7109375" bestFit="1" customWidth="1"/>
    <col min="12" max="12" width="12.140625" bestFit="1" customWidth="1"/>
    <col min="13" max="13" width="13.42578125" bestFit="1" customWidth="1"/>
    <col min="14" max="14" width="11.7109375" bestFit="1" customWidth="1"/>
  </cols>
  <sheetData>
    <row r="1" spans="1:15" x14ac:dyDescent="0.2">
      <c r="A1" s="11" t="s">
        <v>1740</v>
      </c>
      <c r="B1" s="386">
        <f ca="1">TODAY()</f>
        <v>45165</v>
      </c>
      <c r="G1" s="11"/>
      <c r="H1" s="11" t="s">
        <v>1741</v>
      </c>
      <c r="I1" s="11"/>
      <c r="J1" s="11"/>
      <c r="K1" s="11"/>
    </row>
    <row r="2" spans="1:15" s="52" customFormat="1" x14ac:dyDescent="0.2">
      <c r="A2" s="52" t="s">
        <v>1742</v>
      </c>
    </row>
    <row r="3" spans="1:15" x14ac:dyDescent="0.2">
      <c r="H3" s="11"/>
      <c r="I3" s="11"/>
      <c r="J3" s="11"/>
      <c r="K3" s="11"/>
    </row>
    <row r="4" spans="1:15" ht="18" x14ac:dyDescent="0.25">
      <c r="A4" s="69" t="s">
        <v>1743</v>
      </c>
      <c r="F4" s="125">
        <f>SUM('Wege im Detail'!$P:$P,)</f>
        <v>3914.8580999999958</v>
      </c>
      <c r="G4" s="11"/>
      <c r="H4" s="132" t="s">
        <v>1744</v>
      </c>
      <c r="I4" s="11" t="s">
        <v>1745</v>
      </c>
      <c r="J4" s="11"/>
      <c r="K4" s="11"/>
    </row>
    <row r="5" spans="1:15" ht="15.75" x14ac:dyDescent="0.25">
      <c r="F5" s="126"/>
      <c r="G5" s="11"/>
      <c r="H5" s="132"/>
      <c r="I5" s="11"/>
      <c r="J5" s="11"/>
      <c r="K5" s="11"/>
    </row>
    <row r="6" spans="1:15" ht="15.75" x14ac:dyDescent="0.25">
      <c r="A6" s="70" t="s">
        <v>1746</v>
      </c>
      <c r="B6" s="64"/>
      <c r="C6" s="64"/>
      <c r="D6" s="64"/>
      <c r="E6" s="64"/>
      <c r="F6" s="127">
        <f>SUMIF('Wege im Detail'!$B:$B,"Wanderweg",'Wege im Detail'!$P:$P)</f>
        <v>2519.1989999999969</v>
      </c>
      <c r="H6" s="151" t="s">
        <v>1747</v>
      </c>
      <c r="I6" s="151" t="s">
        <v>1748</v>
      </c>
      <c r="J6" s="151" t="s">
        <v>1749</v>
      </c>
      <c r="K6" s="151" t="s">
        <v>1750</v>
      </c>
      <c r="L6" s="151" t="s">
        <v>1751</v>
      </c>
      <c r="M6" s="151" t="s">
        <v>1752</v>
      </c>
      <c r="N6" s="151" t="s">
        <v>1753</v>
      </c>
      <c r="O6" s="158" t="s">
        <v>1754</v>
      </c>
    </row>
    <row r="7" spans="1:15" ht="15" x14ac:dyDescent="0.25">
      <c r="A7" t="s">
        <v>1755</v>
      </c>
      <c r="B7" s="71" t="s">
        <v>1756</v>
      </c>
      <c r="C7" s="63"/>
      <c r="D7" s="63"/>
      <c r="E7" s="63"/>
      <c r="F7" s="128">
        <f>SUMIF('Wege im Detail'!$C:$C,"Haupt-/Weit-/Fern-wanderweg",'Wege im Detail'!$P:$P)</f>
        <v>2490.252999999997</v>
      </c>
      <c r="H7" s="152" t="s">
        <v>1757</v>
      </c>
      <c r="I7" s="153">
        <v>626.822</v>
      </c>
      <c r="J7" s="153">
        <v>388.41800000000001</v>
      </c>
      <c r="K7" s="153">
        <v>90.052999999999997</v>
      </c>
      <c r="L7" s="153">
        <v>349.72</v>
      </c>
      <c r="M7" s="153">
        <v>1026.83</v>
      </c>
      <c r="N7" s="153">
        <v>1.694</v>
      </c>
      <c r="O7" s="159">
        <v>2483.5369999999998</v>
      </c>
    </row>
    <row r="8" spans="1:15" ht="15" x14ac:dyDescent="0.25">
      <c r="B8" s="71" t="s">
        <v>1758</v>
      </c>
      <c r="C8" s="63"/>
      <c r="D8" s="63"/>
      <c r="E8" s="63"/>
      <c r="F8" s="128">
        <f>SUMIF('Wege im Detail'!$C:$C,"Verb.-/
Anschluss-weg",'Wege im Detail'!$P:$P)</f>
        <v>10.195000000000002</v>
      </c>
      <c r="H8" s="154" t="s">
        <v>1759</v>
      </c>
      <c r="I8" s="155">
        <v>348.48700000000002</v>
      </c>
      <c r="J8" s="155">
        <v>207.852</v>
      </c>
      <c r="K8" s="155">
        <v>52.622</v>
      </c>
      <c r="L8" s="155">
        <v>160.85400000000001</v>
      </c>
      <c r="M8" s="155">
        <v>492.37599999999998</v>
      </c>
      <c r="N8" s="155">
        <v>1.694</v>
      </c>
      <c r="O8" s="160">
        <v>1263.885</v>
      </c>
    </row>
    <row r="9" spans="1:15" x14ac:dyDescent="0.2">
      <c r="B9" s="63" t="s">
        <v>1760</v>
      </c>
      <c r="C9" s="63"/>
      <c r="D9" s="63"/>
      <c r="E9" s="63"/>
      <c r="F9" s="129">
        <f>SUMIF('Wege im Detail'!$L:$L,"Zubringer-FGW",'Wege im Detail'!$P:$P)</f>
        <v>96.38000000000001</v>
      </c>
      <c r="H9" s="156" t="s">
        <v>1761</v>
      </c>
      <c r="I9" s="155">
        <v>65.197000000000003</v>
      </c>
      <c r="J9" s="155">
        <v>49.378</v>
      </c>
      <c r="K9" s="155">
        <v>7.3289999999999997</v>
      </c>
      <c r="L9" s="155">
        <v>61.006999999999998</v>
      </c>
      <c r="M9" s="155">
        <v>79.956999999999994</v>
      </c>
      <c r="N9" s="155">
        <v>0</v>
      </c>
      <c r="O9" s="160">
        <v>262.86799999999999</v>
      </c>
    </row>
    <row r="10" spans="1:15" ht="15" x14ac:dyDescent="0.25">
      <c r="B10" s="71" t="s">
        <v>1762</v>
      </c>
      <c r="C10" s="63"/>
      <c r="D10" s="63"/>
      <c r="E10" s="63"/>
      <c r="F10" s="128">
        <f>SUMIF('Wege im Detail'!$D:$D,"Ringweg",'Wege im Detail'!$P:$P)</f>
        <v>48.206000000000003</v>
      </c>
      <c r="H10" s="154" t="s">
        <v>1763</v>
      </c>
      <c r="I10" s="155">
        <v>213.13800000000001</v>
      </c>
      <c r="J10" s="155">
        <v>131.18799999999999</v>
      </c>
      <c r="K10" s="155">
        <v>30.102</v>
      </c>
      <c r="L10" s="155">
        <v>127.85899999999999</v>
      </c>
      <c r="M10" s="155">
        <v>454.49700000000001</v>
      </c>
      <c r="N10" s="155">
        <v>0</v>
      </c>
      <c r="O10" s="160">
        <v>956.78399999999999</v>
      </c>
    </row>
    <row r="11" spans="1:15" ht="15" x14ac:dyDescent="0.25">
      <c r="B11" s="71" t="s">
        <v>1764</v>
      </c>
      <c r="C11" s="63"/>
      <c r="D11" s="63"/>
      <c r="E11" s="63"/>
      <c r="F11" s="128">
        <f>E99</f>
        <v>0</v>
      </c>
      <c r="H11" s="152" t="s">
        <v>1765</v>
      </c>
      <c r="I11" s="153">
        <v>356.803</v>
      </c>
      <c r="J11" s="153">
        <v>99.617999999999995</v>
      </c>
      <c r="K11" s="153">
        <v>6.3630000000000004</v>
      </c>
      <c r="L11" s="153">
        <v>179.62799999999999</v>
      </c>
      <c r="M11" s="153">
        <v>561.553</v>
      </c>
      <c r="N11" s="153">
        <v>2.798</v>
      </c>
      <c r="O11" s="159">
        <v>1206.7629999999999</v>
      </c>
    </row>
    <row r="12" spans="1:15" ht="15.75" x14ac:dyDescent="0.25">
      <c r="B12" s="387"/>
      <c r="C12" s="388"/>
      <c r="D12" s="388"/>
      <c r="E12" s="388"/>
      <c r="F12" s="398"/>
      <c r="H12" s="162" t="s">
        <v>1766</v>
      </c>
      <c r="I12" s="157">
        <v>983.625</v>
      </c>
      <c r="J12" s="157">
        <v>488.036</v>
      </c>
      <c r="K12" s="157">
        <v>96.415999999999997</v>
      </c>
      <c r="L12" s="157">
        <v>529.34799999999996</v>
      </c>
      <c r="M12" s="157">
        <v>1588.383</v>
      </c>
      <c r="N12" s="157">
        <v>4.492</v>
      </c>
      <c r="O12" s="161">
        <v>3690.3</v>
      </c>
    </row>
    <row r="13" spans="1:15" ht="15.75" x14ac:dyDescent="0.25">
      <c r="A13" s="70" t="s">
        <v>1767</v>
      </c>
      <c r="B13" s="64"/>
      <c r="C13" s="64"/>
      <c r="D13" s="64"/>
      <c r="E13" s="64"/>
      <c r="F13" s="127">
        <f>SUMIF('Wege im Detail'!$B:$B,"örtl. Wanderweg",'Wege im Detail'!$P:$P)</f>
        <v>1395.6590999999999</v>
      </c>
      <c r="J13" s="82"/>
    </row>
    <row r="14" spans="1:15" ht="15.75" x14ac:dyDescent="0.25">
      <c r="A14" t="s">
        <v>1755</v>
      </c>
      <c r="B14" s="71" t="s">
        <v>1768</v>
      </c>
      <c r="C14" s="63"/>
      <c r="D14" s="63"/>
      <c r="E14" s="63"/>
      <c r="F14" s="131">
        <f>SUMIF('Wege im Detail'!$C:$C,"Rund-wanderweg",'Wege im Detail'!$P:$P)</f>
        <v>1390.2470999999998</v>
      </c>
      <c r="H14" s="131"/>
    </row>
    <row r="15" spans="1:15" ht="15.75" x14ac:dyDescent="0.25">
      <c r="B15" s="71" t="s">
        <v>1769</v>
      </c>
      <c r="C15" s="63"/>
      <c r="D15" s="63"/>
      <c r="E15" s="63"/>
      <c r="F15" s="131">
        <f>SUMIF('Wege im Detail'!$D:$D,"Lehrpfad",'Wege im Detail'!$P:$P)</f>
        <v>76.819999999999993</v>
      </c>
    </row>
    <row r="16" spans="1:15" ht="14.25" x14ac:dyDescent="0.2">
      <c r="B16" s="71" t="s">
        <v>1770</v>
      </c>
      <c r="C16" s="63"/>
      <c r="D16" s="63"/>
      <c r="E16" s="63"/>
      <c r="F16" s="129">
        <f>SUMIF('Wege im Detail'!$C:$C,"Themenweg",'Wege im Detail'!$P:$P)</f>
        <v>24.163</v>
      </c>
    </row>
    <row r="17" spans="1:12" ht="14.25" x14ac:dyDescent="0.2">
      <c r="B17" s="387"/>
      <c r="C17" s="388"/>
      <c r="D17" s="388"/>
      <c r="E17" s="388"/>
      <c r="F17" s="389"/>
    </row>
    <row r="18" spans="1:12" ht="15.75" x14ac:dyDescent="0.25">
      <c r="A18" s="395" t="s">
        <v>1771</v>
      </c>
      <c r="B18" s="396"/>
      <c r="C18" s="396"/>
      <c r="D18" s="396"/>
      <c r="E18" s="396"/>
      <c r="F18" s="397">
        <f>SUMIF('Wege im Detail'!$E:$E,"Qualitätsweg",'Wege im Detail'!$P:$P)</f>
        <v>272.01199999999994</v>
      </c>
    </row>
    <row r="19" spans="1:12" ht="15" x14ac:dyDescent="0.25">
      <c r="B19" s="399" t="s">
        <v>1772</v>
      </c>
      <c r="C19" s="63"/>
      <c r="D19" s="63"/>
      <c r="E19" s="63"/>
      <c r="F19" s="128">
        <f>SUMIF('Wege im Detail'!$L:$L,"Fränkischer Gebirgsweg",'Wege im Detail'!$P:$P)</f>
        <v>225.90599999999998</v>
      </c>
      <c r="H19" s="130"/>
    </row>
    <row r="20" spans="1:12" ht="15" x14ac:dyDescent="0.25">
      <c r="B20" s="399" t="s">
        <v>1773</v>
      </c>
      <c r="C20" s="63"/>
      <c r="D20" s="63"/>
      <c r="E20" s="63"/>
      <c r="F20" s="128">
        <f>SUMIF('Wege im Detail'!$L:$L,"Fränkisches Steinreich",'Wege im Detail'!$P:$P)</f>
        <v>35.606000000000002</v>
      </c>
    </row>
    <row r="21" spans="1:12" ht="15" x14ac:dyDescent="0.25">
      <c r="B21" s="390" t="s">
        <v>1774</v>
      </c>
      <c r="C21" s="63"/>
      <c r="D21" s="63"/>
      <c r="E21" s="63"/>
      <c r="F21" s="129"/>
    </row>
    <row r="22" spans="1:12" ht="14.25" x14ac:dyDescent="0.2">
      <c r="B22" s="71" t="s">
        <v>1775</v>
      </c>
      <c r="C22" s="63"/>
      <c r="D22" s="63"/>
      <c r="E22" s="63"/>
      <c r="F22" s="129">
        <f>SUMIFS('Wege im Detail'!$P:$P,'Wege im Detail'!$D:$D,"Ringweg",'Wege im Detail'!$E:$E,"Qualitätsweg")</f>
        <v>0</v>
      </c>
    </row>
    <row r="23" spans="1:12" ht="14.25" x14ac:dyDescent="0.2">
      <c r="B23" s="71" t="s">
        <v>1776</v>
      </c>
      <c r="C23" s="63"/>
      <c r="D23" s="63"/>
      <c r="E23" s="63"/>
      <c r="F23" s="129">
        <f>SUMIFS('Wege im Detail'!$P:$P,'Wege im Detail'!$D:$D,"Rund-wanderweg",'Wege im Detail'!$E:$E,"Qualitätsweg")</f>
        <v>0</v>
      </c>
    </row>
    <row r="24" spans="1:12" ht="14.25" x14ac:dyDescent="0.2">
      <c r="B24" s="71"/>
      <c r="C24" s="63"/>
      <c r="D24" s="63"/>
      <c r="E24" s="63"/>
      <c r="F24" s="129"/>
    </row>
    <row r="25" spans="1:12" ht="15" x14ac:dyDescent="0.25">
      <c r="H25" s="71"/>
      <c r="I25" s="63"/>
      <c r="J25" s="63"/>
      <c r="K25" s="63"/>
      <c r="L25" s="128"/>
    </row>
    <row r="26" spans="1:12" ht="15.75" x14ac:dyDescent="0.25">
      <c r="A26" s="132" t="s">
        <v>1777</v>
      </c>
      <c r="F26" s="133">
        <f>SUMIF(Wegeübersicht!$H:$H,"JA",Wegeübersicht!$I:$I)</f>
        <v>3836.0160999999998</v>
      </c>
      <c r="H26" s="71"/>
      <c r="I26" s="63"/>
      <c r="J26" s="63"/>
      <c r="K26" s="63"/>
      <c r="L26" s="128"/>
    </row>
    <row r="29" spans="1:12" ht="15.75" x14ac:dyDescent="0.25">
      <c r="A29" s="61" t="s">
        <v>1778</v>
      </c>
      <c r="H29" s="71"/>
      <c r="I29" s="63"/>
      <c r="J29" s="63"/>
      <c r="K29" s="63"/>
      <c r="L29" s="128"/>
    </row>
    <row r="30" spans="1:12" ht="15" x14ac:dyDescent="0.25">
      <c r="H30" s="71"/>
      <c r="I30" s="63"/>
      <c r="J30" s="63"/>
      <c r="K30" s="63"/>
      <c r="L30" s="128"/>
    </row>
    <row r="31" spans="1:12" x14ac:dyDescent="0.2">
      <c r="A31" s="11" t="s">
        <v>1779</v>
      </c>
      <c r="B31" s="11" t="s">
        <v>1780</v>
      </c>
      <c r="C31" s="60" t="s">
        <v>1781</v>
      </c>
      <c r="D31" s="60" t="s">
        <v>1782</v>
      </c>
      <c r="E31" s="60" t="s">
        <v>1783</v>
      </c>
    </row>
    <row r="32" spans="1:12" x14ac:dyDescent="0.2">
      <c r="A32" s="11"/>
      <c r="B32" s="11"/>
      <c r="C32" s="60"/>
      <c r="D32" s="60"/>
      <c r="E32" s="60"/>
    </row>
    <row r="33" spans="1:9" s="11" customFormat="1" x14ac:dyDescent="0.2">
      <c r="A33" s="65">
        <v>1</v>
      </c>
      <c r="B33" s="67"/>
      <c r="C33" s="67">
        <f>SUMIFS('Wege im Detail'!$P:$P,'Wege im Detail'!$B:$B,"Wanderweg",'Wege im Detail'!$M:$M,"1")</f>
        <v>452.69499999999999</v>
      </c>
      <c r="D33" s="67">
        <f>SUMIFS('Wege im Detail'!$P:$P,'Wege im Detail'!$B:$B,"örtl. Wanderweg",'Wege im Detail'!$M:$M,"1")</f>
        <v>303.02699999999987</v>
      </c>
      <c r="E33" s="75">
        <f>SUMIF('Wege im Detail'!$M:$M,"1",'Wege im Detail'!$P:$P)</f>
        <v>755.72199999999975</v>
      </c>
      <c r="G33">
        <f>SUM(C34:D45)</f>
        <v>755.72200000000009</v>
      </c>
      <c r="H33" t="s">
        <v>1784</v>
      </c>
      <c r="I33" s="121">
        <f>E33-G33</f>
        <v>0</v>
      </c>
    </row>
    <row r="34" spans="1:9" x14ac:dyDescent="0.2">
      <c r="A34" s="64"/>
      <c r="B34" s="23" t="s">
        <v>425</v>
      </c>
      <c r="C34" s="63">
        <f>SUMIFS('Wege im Detail'!$P:$P,'Wege im Detail'!$B:$B,"Wanderweg",'Wege im Detail'!$N:$N,"Arzberg")</f>
        <v>138.547</v>
      </c>
      <c r="D34" s="63">
        <f>SUMIFS('Wege im Detail'!$P:$P,'Wege im Detail'!$B:$B,"örtl. Wanderweg",'Wege im Detail'!$N:$N,"Arzberg")</f>
        <v>37.507999999999996</v>
      </c>
      <c r="E34" s="76">
        <f>SUMIF('Wege im Detail'!$N:$N,"Arzberg",'Wege im Detail'!$P:$P)</f>
        <v>176.05500000000004</v>
      </c>
    </row>
    <row r="35" spans="1:9" x14ac:dyDescent="0.2">
      <c r="A35" s="65"/>
      <c r="B35" s="23" t="s">
        <v>1785</v>
      </c>
      <c r="C35" s="63">
        <f>SUMIFS('Wege im Detail'!$P:$P,'Wege im Detail'!$B:$B,"Wanderweg",'Wege im Detail'!$N:$N,"Asch")</f>
        <v>0</v>
      </c>
      <c r="D35" s="63">
        <f>SUMIFS('Wege im Detail'!$P:$P,'Wege im Detail'!$B:$B,"örtl. Wanderweg",'Wege im Detail'!$N:$N,"Asch")</f>
        <v>0</v>
      </c>
      <c r="E35" s="76">
        <f>SUMIF('Wege im Detail'!$N:$N,"Asch",'Wege im Detail'!$P:$P)</f>
        <v>0</v>
      </c>
      <c r="H35">
        <f>SUM(C34:C45)</f>
        <v>452.69499999999994</v>
      </c>
    </row>
    <row r="36" spans="1:9" x14ac:dyDescent="0.2">
      <c r="A36" s="65"/>
      <c r="B36" s="23" t="s">
        <v>1021</v>
      </c>
      <c r="C36" s="63">
        <f>SUMIFS('Wege im Detail'!$P:$P,'Wege im Detail'!$B:$B,"Wanderweg",'Wege im Detail'!$N:$N,"Grafenreuth")</f>
        <v>18.625999999999998</v>
      </c>
      <c r="D36" s="63">
        <f>SUMIFS('Wege im Detail'!$P:$P,'Wege im Detail'!$B:$B,"örtl. Wanderweg",'Wege im Detail'!$N:$N,"Grafenreuth")</f>
        <v>0</v>
      </c>
      <c r="E36" s="63">
        <f>SUMIFS('Wege im Detail'!$P:$P,'Wege im Detail'!$B:$B,"Wanderweg",'Wege im Detail'!$N:$N,"Grafenreuth")</f>
        <v>18.625999999999998</v>
      </c>
    </row>
    <row r="37" spans="1:9" x14ac:dyDescent="0.2">
      <c r="A37" s="65"/>
      <c r="B37" s="23" t="s">
        <v>1184</v>
      </c>
      <c r="C37" s="63">
        <f>SUMIFS('Wege im Detail'!$P:$P,'Wege im Detail'!$B:$B,"Wanderweg",'Wege im Detail'!$N:$N,"Höchstädt")</f>
        <v>17.143000000000001</v>
      </c>
      <c r="D37" s="63">
        <f>SUMIFS('Wege im Detail'!$P:$P,'Wege im Detail'!$B:$B,"örtl. Wanderweg",'Wege im Detail'!$N:$N,"Höchstädt")</f>
        <v>19.077999999999999</v>
      </c>
      <c r="E37" s="63">
        <f>SUMIFS('Wege im Detail'!$P:$P,'Wege im Detail'!$B:$B,"Wanderweg",'Wege im Detail'!$N:$N,"Höchstädt")</f>
        <v>17.143000000000001</v>
      </c>
    </row>
    <row r="38" spans="1:9" x14ac:dyDescent="0.2">
      <c r="A38" s="65"/>
      <c r="B38" s="23" t="s">
        <v>436</v>
      </c>
      <c r="C38" s="63">
        <f>SUMIFS('Wege im Detail'!$P:$P,'Wege im Detail'!$B:$B,"Wanderweg",'Wege im Detail'!$N:$N,"Hohenberg")</f>
        <v>44.54</v>
      </c>
      <c r="D38" s="63">
        <f>SUMIFS('Wege im Detail'!$P:$P,'Wege im Detail'!$B:$B,"örtl. Wanderweg",'Wege im Detail'!$N:$N,"Hohenberg")</f>
        <v>49.084999999999994</v>
      </c>
      <c r="E38" s="76"/>
      <c r="H38">
        <f>SUM(D34:D45)</f>
        <v>303.02699999999999</v>
      </c>
    </row>
    <row r="39" spans="1:9" x14ac:dyDescent="0.2">
      <c r="A39" s="65"/>
      <c r="B39" s="23" t="s">
        <v>230</v>
      </c>
      <c r="C39" s="63">
        <f>SUMIFS('Wege im Detail'!$P:$P,'Wege im Detail'!$B:$B,"Wanderweg",'Wege im Detail'!$N:$N,"Schirnding")</f>
        <v>27.713999999999999</v>
      </c>
      <c r="D39" s="63">
        <f>SUMIFS('Wege im Detail'!$P:$P,'Wege im Detail'!$B:$B,"örtl. Wanderweg",'Wege im Detail'!$N:$N,"Schirnding")</f>
        <v>10.370999999999999</v>
      </c>
      <c r="E39" s="76">
        <f>SUMIF('Wege im Detail'!$N:$N,"Schirnding",'Wege im Detail'!$P:$P)</f>
        <v>38.084999999999994</v>
      </c>
    </row>
    <row r="40" spans="1:9" x14ac:dyDescent="0.2">
      <c r="A40" s="65"/>
      <c r="B40" s="23" t="s">
        <v>384</v>
      </c>
      <c r="C40" s="63">
        <f>SUMIFS('Wege im Detail'!$P:$P,'Wege im Detail'!$B:$B,"Wanderweg",'Wege im Detail'!$N:$N,"Schönwald")</f>
        <v>44.976000000000006</v>
      </c>
      <c r="D40" s="63">
        <f>SUMIFS('Wege im Detail'!$P:$P,'Wege im Detail'!$B:$B,"örtl. Wanderweg",'Wege im Detail'!$N:$N,"Schönwald")</f>
        <v>50.314999999999998</v>
      </c>
      <c r="E40" s="76">
        <f>SUMIF('Wege im Detail'!$N:$N,"Schönwald",'Wege im Detail'!$P:$P)</f>
        <v>95.291000000000011</v>
      </c>
      <c r="H40" s="77">
        <f>SUM(E34:E45)</f>
        <v>643.01900000000001</v>
      </c>
    </row>
    <row r="41" spans="1:9" x14ac:dyDescent="0.2">
      <c r="A41" s="65"/>
      <c r="B41" s="23" t="s">
        <v>1786</v>
      </c>
      <c r="C41" s="63">
        <f>SUMIFS('Wege im Detail'!$P:$P,'Wege im Detail'!$B:$B,"Wanderweg",'Wege im Detail'!$N:$N,"Schwarzen-hammer")</f>
        <v>0</v>
      </c>
      <c r="D41" s="63">
        <f>SUMIFS('Wege im Detail'!$P:$P,'Wege im Detail'!$B:$B,"örtl. Wanderweg",'Wege im Detail'!$N:$N,"Schwarzen-hammer")</f>
        <v>0</v>
      </c>
      <c r="E41" s="76">
        <f>SUMIF('Wege im Detail'!$N:$N,"Schwarzen-hammer",'Wege im Detail'!$P:$P)</f>
        <v>0</v>
      </c>
    </row>
    <row r="42" spans="1:9" x14ac:dyDescent="0.2">
      <c r="A42" s="65"/>
      <c r="B42" s="23" t="s">
        <v>79</v>
      </c>
      <c r="C42" s="63">
        <f>SUMIFS('Wege im Detail'!$P:$P,'Wege im Detail'!$B:$B,"Wanderweg",'Wege im Detail'!$N:$N,"Selb")</f>
        <v>73.685999999999993</v>
      </c>
      <c r="D42" s="63">
        <f>SUMIFS('Wege im Detail'!$P:$P,'Wege im Detail'!$B:$B,"örtl. Wanderweg",'Wege im Detail'!$N:$N,"Selb")</f>
        <v>69.007000000000005</v>
      </c>
      <c r="E42" s="76">
        <f>SUMIF('Wege im Detail'!$N:$N,"Selb",'Wege im Detail'!$P:$P)</f>
        <v>142.69300000000001</v>
      </c>
    </row>
    <row r="43" spans="1:9" x14ac:dyDescent="0.2">
      <c r="A43" s="65"/>
      <c r="B43" s="23" t="s">
        <v>1296</v>
      </c>
      <c r="C43" s="63">
        <f>SUMIFS('Wege im Detail'!$P:$P,'Wege im Detail'!$B:$B,"Wanderweg",'Wege im Detail'!$N:$N,"Selb-Plößberg")</f>
        <v>24.358999999999998</v>
      </c>
      <c r="D43" s="63">
        <f>SUMIFS('Wege im Detail'!$P:$P,'Wege im Detail'!$B:$B,"örtl. Wanderweg",'Wege im Detail'!$N:$N,"Selb-Plößberg")</f>
        <v>9.2840000000000007</v>
      </c>
      <c r="E43" s="76">
        <f>SUMIF('Wege im Detail'!$N:$N,"Selb-Plößberg",'Wege im Detail'!$P:$P)</f>
        <v>33.642999999999994</v>
      </c>
    </row>
    <row r="44" spans="1:9" x14ac:dyDescent="0.2">
      <c r="A44" s="65"/>
      <c r="B44" s="23" t="s">
        <v>656</v>
      </c>
      <c r="C44" s="63">
        <f>SUMIFS('Wege im Detail'!$P:$P,'Wege im Detail'!$B:$B,"Wanderweg",'Wege im Detail'!$N:$N,"Thiersheim")</f>
        <v>27.033999999999999</v>
      </c>
      <c r="D44" s="63">
        <f>SUMIFS('Wege im Detail'!$P:$P,'Wege im Detail'!$B:$B,"örtl. Wanderweg",'Wege im Detail'!$N:$N,"Thiersheim")</f>
        <v>36.691999999999993</v>
      </c>
      <c r="E44" s="76">
        <f>SUMIF('Wege im Detail'!$N:$N,"Thiersheim",'Wege im Detail'!$P:$P)</f>
        <v>63.725999999999985</v>
      </c>
    </row>
    <row r="45" spans="1:9" x14ac:dyDescent="0.2">
      <c r="A45" s="65"/>
      <c r="B45" s="23" t="s">
        <v>126</v>
      </c>
      <c r="C45" s="63">
        <f>SUMIFS('Wege im Detail'!$P:$P,'Wege im Detail'!$B:$B,"Wanderweg",'Wege im Detail'!$N:$N,"Thierstein")</f>
        <v>36.07</v>
      </c>
      <c r="D45" s="63">
        <f>SUMIFS('Wege im Detail'!$P:$P,'Wege im Detail'!$B:$B,"örtl. Wanderweg",'Wege im Detail'!$N:$N,"Thierstein")</f>
        <v>21.687000000000001</v>
      </c>
      <c r="E45" s="76">
        <f>SUMIF('Wege im Detail'!$N:$N,"Thierstein",'Wege im Detail'!$P:$P)</f>
        <v>57.756999999999998</v>
      </c>
    </row>
    <row r="46" spans="1:9" x14ac:dyDescent="0.2">
      <c r="A46" s="60"/>
      <c r="B46" s="15"/>
      <c r="E46" s="77"/>
    </row>
    <row r="47" spans="1:9" x14ac:dyDescent="0.2">
      <c r="A47" s="65">
        <v>2</v>
      </c>
      <c r="B47" s="64"/>
      <c r="C47" s="81">
        <f>SUMIFS('Wege im Detail'!$P:$P,'Wege im Detail'!$B:$B,"Wanderweg",'Wege im Detail'!$M:$M,"2")</f>
        <v>387.08399999999995</v>
      </c>
      <c r="D47" s="67">
        <f>SUMIFS('Wege im Detail'!$P:$P,'Wege im Detail'!$B:$B,"örtl. Wanderweg",'Wege im Detail'!$M:$M,"2")</f>
        <v>190.96599999999995</v>
      </c>
      <c r="E47" s="75">
        <f>SUMIF('Wege im Detail'!$M:$M,"2",'Wege im Detail'!$P:$P)</f>
        <v>578.04999999999995</v>
      </c>
      <c r="G47" s="82">
        <f>SUM(C48:D56)</f>
        <v>589.49900000000002</v>
      </c>
      <c r="I47" s="119">
        <f>E47-G47</f>
        <v>-11.449000000000069</v>
      </c>
    </row>
    <row r="48" spans="1:9" x14ac:dyDescent="0.2">
      <c r="A48" s="64"/>
      <c r="B48" s="63" t="s">
        <v>1787</v>
      </c>
      <c r="C48" s="63">
        <f>SUMIFS('Wege im Detail'!$P:$P,'Wege im Detail'!$B:$B,"Wanderweg",'Wege im Detail'!$N:$N,"Brand i.d. Opf.")</f>
        <v>16.848999999999997</v>
      </c>
      <c r="D48" s="63">
        <f>SUMIFS('Wege im Detail'!$P:$P,'Wege im Detail'!$B:$B,"örtl. Wanderweg",'Wege im Detail'!$N:$N,"Brand i.d. Opf.")</f>
        <v>46.484999999999999</v>
      </c>
      <c r="E48" s="76">
        <f>SUMIF('Wege im Detail'!$N:$N,"Brand i.d. Opf.",'Wege im Detail'!$P:$P)</f>
        <v>63.333999999999989</v>
      </c>
      <c r="G48" s="16"/>
      <c r="H48" s="15"/>
    </row>
    <row r="49" spans="1:11" x14ac:dyDescent="0.2">
      <c r="A49" s="66"/>
      <c r="B49" s="63" t="s">
        <v>63</v>
      </c>
      <c r="C49" s="63">
        <f>SUMIFS('Wege im Detail'!$P:$P,'Wege im Detail'!$B:$B,"Wanderweg",'Wege im Detail'!$N:$N,"Ebnath")</f>
        <v>28.001999999999999</v>
      </c>
      <c r="D49" s="63">
        <f>SUMIFS('Wege im Detail'!$P:$P,'Wege im Detail'!$B:$B,"örtl. Wanderweg",'Wege im Detail'!$N:$N,"Ebnath")</f>
        <v>38.457999999999998</v>
      </c>
      <c r="E49" s="76">
        <f>SUMIF('Wege im Detail'!$N:$N,"Ebnath",'Wege im Detail'!$P:$P)</f>
        <v>66.460000000000008</v>
      </c>
      <c r="G49" s="16"/>
      <c r="H49" s="15">
        <f>SUM(C48:C56)</f>
        <v>382.91300000000001</v>
      </c>
    </row>
    <row r="50" spans="1:11" x14ac:dyDescent="0.2">
      <c r="A50" s="66"/>
      <c r="B50" s="63" t="s">
        <v>1259</v>
      </c>
      <c r="C50" s="63">
        <f>SUMIFS('Wege im Detail'!$P:$P,'Wege im Detail'!$B:$B,"Wanderweg",'Wege im Detail'!$N:$N,"Friedenfels")</f>
        <v>17.170999999999999</v>
      </c>
      <c r="D50" s="63">
        <f>SUMIFS('Wege im Detail'!$P:$P,'Wege im Detail'!$B:$B,"örtl. Wanderweg",'Wege im Detail'!$N:$N,"Friedenfels")</f>
        <v>0</v>
      </c>
      <c r="E50" s="76">
        <f>SUMIF('Wege im Detail'!$N:$N,"Friedenfels",'Wege im Detail'!$P:$P)</f>
        <v>17.170999999999999</v>
      </c>
      <c r="G50" s="16"/>
      <c r="H50" s="15"/>
    </row>
    <row r="51" spans="1:11" x14ac:dyDescent="0.2">
      <c r="A51" s="66"/>
      <c r="B51" s="63" t="s">
        <v>454</v>
      </c>
      <c r="C51" s="63">
        <f>SUMIFS('Wege im Detail'!$P:$P,'Wege im Detail'!$B:$B,"Wanderweg",'Wege im Detail'!$N:$N,"Kemnath")</f>
        <v>38.747</v>
      </c>
      <c r="D51" s="63">
        <f>SUMIFS('Wege im Detail'!$P:$P,'Wege im Detail'!$B:$B,"örtl. Wanderweg",'Wege im Detail'!$N:$N,"Kemnath")</f>
        <v>0</v>
      </c>
      <c r="E51" s="76">
        <f>SUMIF('Wege im Detail'!$N:$N,"Kemnath",'Wege im Detail'!$P:$P)</f>
        <v>38.747</v>
      </c>
      <c r="G51" s="16"/>
      <c r="H51" s="15"/>
    </row>
    <row r="52" spans="1:11" x14ac:dyDescent="0.2">
      <c r="A52" s="66"/>
      <c r="B52" s="63" t="s">
        <v>67</v>
      </c>
      <c r="C52" s="63">
        <f>SUMIFS('Wege im Detail'!$P:$P,'Wege im Detail'!$B:$B,"Wanderweg",'Wege im Detail'!$N:$N,"Marktredwitz")</f>
        <v>82.226000000000013</v>
      </c>
      <c r="D52" s="63">
        <f>SUMIFS('Wege im Detail'!$P:$P,'Wege im Detail'!$B:$B,"örtl. Wanderweg",'Wege im Detail'!$N:$N,"Marktredwitz")</f>
        <v>37.155000000000001</v>
      </c>
      <c r="E52" s="76">
        <f>SUMIF('Wege im Detail'!$N:$N,"MARKTREDWITZ",'Wege im Detail'!$P:$P)</f>
        <v>119.381</v>
      </c>
      <c r="G52" s="16"/>
      <c r="H52" s="15"/>
    </row>
    <row r="53" spans="1:11" x14ac:dyDescent="0.2">
      <c r="A53" s="66"/>
      <c r="B53" s="63" t="s">
        <v>834</v>
      </c>
      <c r="C53" s="63">
        <f>SUMIFS('Wege im Detail'!$P:$P,'Wege im Detail'!$B:$B,"Wanderweg",'Wege im Detail'!$N:$N,"Nagel")</f>
        <v>59.61</v>
      </c>
      <c r="D53" s="63">
        <f>SUMIFS('Wege im Detail'!$P:$P,'Wege im Detail'!$B:$B,"örtl. Wanderweg",'Wege im Detail'!$N:$N,"Nagel")</f>
        <v>28.698999999999998</v>
      </c>
      <c r="E53" s="76">
        <f>SUMIF('Wege im Detail'!$N:$N,"Nagel",'Wege im Detail'!$P:$P)</f>
        <v>88.309000000000012</v>
      </c>
      <c r="G53" s="16"/>
      <c r="H53" s="15"/>
    </row>
    <row r="54" spans="1:11" x14ac:dyDescent="0.2">
      <c r="A54" s="66"/>
      <c r="B54" s="63" t="s">
        <v>461</v>
      </c>
      <c r="C54" s="63">
        <f>SUMIFS('Wege im Detail'!$P:$P,'Wege im Detail'!$B:$B,"Wanderweg",'Wege im Detail'!$N:$N,"Neusorg")</f>
        <v>20.595999999999997</v>
      </c>
      <c r="D54" s="63">
        <f>SUMIFS('Wege im Detail'!$P:$P,'Wege im Detail'!$B:$B,"örtl. Wanderweg",'Wege im Detail'!$N:$N,"Neusorg")</f>
        <v>22.635999999999999</v>
      </c>
      <c r="E54" s="76">
        <f>SUMIF('Wege im Detail'!$N:$N,"Neusorg",'Wege im Detail'!$P:$P)</f>
        <v>43.232000000000006</v>
      </c>
      <c r="G54" s="16"/>
      <c r="H54" s="15"/>
    </row>
    <row r="55" spans="1:11" x14ac:dyDescent="0.2">
      <c r="A55" s="66"/>
      <c r="B55" s="63" t="s">
        <v>446</v>
      </c>
      <c r="C55" s="63">
        <f>SUMIFS('Wege im Detail'!$P:$P,'Wege im Detail'!$B:$B,"Wanderweg",'Wege im Detail'!$N:$N,"Pullenreuth")</f>
        <v>45.116</v>
      </c>
      <c r="D55" s="63">
        <f>SUMIFS('Wege im Detail'!$P:$P,'Wege im Detail'!$B:$B,"örtl. Wanderweg",'Wege im Detail'!$N:$N,"Pullenreuth")</f>
        <v>0</v>
      </c>
      <c r="E55" s="76">
        <f>SUMIF('Wege im Detail'!$N:$N,"Pullenreuth",'Wege im Detail'!$P:$P)</f>
        <v>45.116</v>
      </c>
      <c r="G55" s="16"/>
      <c r="H55" s="15"/>
      <c r="I55" s="58"/>
      <c r="J55" s="59"/>
      <c r="K55" s="59"/>
    </row>
    <row r="56" spans="1:11" x14ac:dyDescent="0.2">
      <c r="A56" s="64"/>
      <c r="B56" s="63" t="s">
        <v>433</v>
      </c>
      <c r="C56" s="80">
        <f>SUMIFS('Wege im Detail'!$P:$P,'Wege im Detail'!$B:$B,"Wanderweg",'Wege im Detail'!$N:$N,"Waldershof")</f>
        <v>74.596000000000004</v>
      </c>
      <c r="D56" s="63">
        <f>SUMIFS('Wege im Detail'!$P:$P,'Wege im Detail'!$B:$B,"örtl. Wanderweg",'Wege im Detail'!$N:$N,"Waldershof")</f>
        <v>33.153000000000006</v>
      </c>
      <c r="E56" s="76">
        <f>SUMIF('Wege im Detail'!$N:$N,"Waldershof",'Wege im Detail'!$P:$P)</f>
        <v>107.749</v>
      </c>
      <c r="G56" s="16"/>
      <c r="H56" s="15"/>
    </row>
    <row r="57" spans="1:11" x14ac:dyDescent="0.2">
      <c r="E57" s="77"/>
      <c r="G57" s="16"/>
      <c r="H57" s="15"/>
    </row>
    <row r="58" spans="1:11" x14ac:dyDescent="0.2">
      <c r="A58" s="65">
        <v>3</v>
      </c>
      <c r="B58" s="67"/>
      <c r="C58" s="67">
        <f>SUMIFS('Wege im Detail'!$P:$P,'Wege im Detail'!$B:$B,"Wanderweg",'Wege im Detail'!$M:$M,"3")</f>
        <v>593.8660000000001</v>
      </c>
      <c r="D58" s="67">
        <f>SUMIFS('Wege im Detail'!$P:$P,'Wege im Detail'!$B:$B,"örtl. Wanderweg",'Wege im Detail'!$M:$M,"3")</f>
        <v>446.28999999999996</v>
      </c>
      <c r="E58" s="75">
        <f>SUMIF('Wege im Detail'!$M:$M,"3",'Wege im Detail'!$P:$P)</f>
        <v>1040.1560000000002</v>
      </c>
      <c r="G58">
        <f>SUM(C59:D70)</f>
        <v>1052.319</v>
      </c>
      <c r="I58" s="77">
        <f>E58-G58</f>
        <v>-12.162999999999784</v>
      </c>
    </row>
    <row r="59" spans="1:11" x14ac:dyDescent="0.2">
      <c r="A59" s="64"/>
      <c r="B59" s="23" t="s">
        <v>93</v>
      </c>
      <c r="C59" s="63">
        <f>SUMIFS('Wege im Detail'!$P:$P,'Wege im Detail'!$B:$B,"Wanderweg",'Wege im Detail'!$N:$N,"Bad Berneck")</f>
        <v>53.829000000000001</v>
      </c>
      <c r="D59" s="63">
        <f>SUMIFS('Wege im Detail'!$P:$P,'Wege im Detail'!$B:$B,"örtl. Wanderweg",'Wege im Detail'!$N:$N,"Bad Berneck")</f>
        <v>26.785999999999998</v>
      </c>
      <c r="E59" s="76">
        <f>SUMIF('Wege im Detail'!$N:$N,"Bad Berneck",'Wege im Detail'!$P:$P)</f>
        <v>80.614999999999995</v>
      </c>
      <c r="G59" s="16"/>
    </row>
    <row r="60" spans="1:11" x14ac:dyDescent="0.2">
      <c r="A60" s="65"/>
      <c r="B60" s="23" t="s">
        <v>226</v>
      </c>
      <c r="C60" s="63">
        <f>SUMIFS('Wege im Detail'!$P:$P,'Wege im Detail'!$B:$B,"Wanderweg",'Wege im Detail'!$N:$N,"Bayreuth")</f>
        <v>100.32</v>
      </c>
      <c r="D60" s="63">
        <f>SUMIFS('Wege im Detail'!$P:$P,'Wege im Detail'!$B:$B,"örtl. Wanderweg",'Wege im Detail'!$N:$N,"Bayreuth")</f>
        <v>0</v>
      </c>
      <c r="E60" s="76">
        <f>SUMIF('Wege im Detail'!$N:$N,"Bayreuth",'Wege im Detail'!$P:$P)</f>
        <v>100.32</v>
      </c>
      <c r="G60" s="16"/>
    </row>
    <row r="61" spans="1:11" x14ac:dyDescent="0.2">
      <c r="A61" s="65"/>
      <c r="B61" s="23" t="s">
        <v>187</v>
      </c>
      <c r="C61" s="63">
        <f>SUMIFS('Wege im Detail'!$P:$P,'Wege im Detail'!$B:$B,"Wanderweg",'Wege im Detail'!$N:$N,"Bischofsgrün")</f>
        <v>109.65099999999998</v>
      </c>
      <c r="D61" s="63">
        <f>SUMIFS('Wege im Detail'!$P:$P,'Wege im Detail'!$B:$B,"örtl. Wanderweg",'Wege im Detail'!$N:$N,"Bischofsgrün")</f>
        <v>58.559000000000005</v>
      </c>
      <c r="E61" s="76">
        <f>SUMIF('Wege im Detail'!$N:$N,"Bischofsgrün",'Wege im Detail'!$P:$P)</f>
        <v>168.21</v>
      </c>
      <c r="G61" s="16"/>
    </row>
    <row r="62" spans="1:11" s="62" customFormat="1" x14ac:dyDescent="0.2">
      <c r="A62" s="68"/>
      <c r="B62" s="23" t="s">
        <v>202</v>
      </c>
      <c r="C62" s="63">
        <f>SUMIFS('Wege im Detail'!$P:$P,'Wege im Detail'!$B:$B,"Wanderweg",'Wege im Detail'!$N:$N,"Fichtelberg-Neubau")</f>
        <v>62.326000000000001</v>
      </c>
      <c r="D62" s="63">
        <f>SUMIFS('Wege im Detail'!$P:$P,'Wege im Detail'!$B:$B,"örtl. Wanderweg",'Wege im Detail'!$N:$N,"Fichtelberg-Neubau")</f>
        <v>15.084</v>
      </c>
      <c r="E62" s="76">
        <f>SUMIF('Wege im Detail'!$N:$N,"Fichtelberg-Neubau",'Wege im Detail'!$P:$P)</f>
        <v>77.41</v>
      </c>
      <c r="G62" s="16"/>
    </row>
    <row r="63" spans="1:11" s="62" customFormat="1" x14ac:dyDescent="0.2">
      <c r="A63" s="68"/>
      <c r="B63" s="23" t="s">
        <v>303</v>
      </c>
      <c r="C63" s="63">
        <f>SUMIFS('Wege im Detail'!$P:$P,'Wege im Detail'!$B:$B,"Wanderweg",'Wege im Detail'!$N:$N,"Goldkronach")</f>
        <v>29.258000000000003</v>
      </c>
      <c r="D63" s="63">
        <f>SUMIFS('Wege im Detail'!$P:$P,'Wege im Detail'!$B:$B,"örtl. Wanderweg",'Wege im Detail'!$N:$N,"Goldkronach")</f>
        <v>0</v>
      </c>
      <c r="E63" s="76">
        <f>SUMIF('Wege im Detail'!$N:$N,"Goldkronach",'Wege im Detail'!$P:$P)</f>
        <v>29.258000000000003</v>
      </c>
      <c r="G63" s="16"/>
    </row>
    <row r="64" spans="1:11" s="62" customFormat="1" x14ac:dyDescent="0.2">
      <c r="A64" s="68"/>
      <c r="B64" s="23" t="s">
        <v>220</v>
      </c>
      <c r="C64" s="63">
        <f>SUMIFS('Wege im Detail'!$P:$P,'Wege im Detail'!$B:$B,"Wanderweg",'Wege im Detail'!$N:$N,"Mehlmeisel")</f>
        <v>25.905999999999999</v>
      </c>
      <c r="D64" s="63">
        <f>SUMIFS('Wege im Detail'!$P:$P,'Wege im Detail'!$B:$B,"örtl. Wanderweg",'Wege im Detail'!$N:$N,"Mehlmeisel")</f>
        <v>78.63900000000001</v>
      </c>
      <c r="E64" s="76">
        <f>SUMIF('Wege im Detail'!$N:$N,"Mehlmeisel",'Wege im Detail'!$P:$P)</f>
        <v>104.54499999999999</v>
      </c>
      <c r="G64" s="16"/>
    </row>
    <row r="65" spans="1:9" s="62" customFormat="1" x14ac:dyDescent="0.2">
      <c r="A65" s="68"/>
      <c r="B65" s="23" t="s">
        <v>351</v>
      </c>
      <c r="C65" s="63">
        <f>SUMIFS('Wege im Detail'!$P:$P,'Wege im Detail'!$B:$B,"Wanderweg",'Wege im Detail'!$N:$N,"Nemmersdorf")</f>
        <v>26.835999999999999</v>
      </c>
      <c r="D65" s="63">
        <f>SUMIFS('Wege im Detail'!$P:$P,'Wege im Detail'!$B:$B,"örtl. Wanderweg",'Wege im Detail'!$N:$N,"Nemmersdorf")</f>
        <v>49.782000000000004</v>
      </c>
      <c r="E65" s="76">
        <f>SUMIF('Wege im Detail'!$N:$N,"Nemmersdorf",'Wege im Detail'!$P:$P)</f>
        <v>76.618000000000009</v>
      </c>
      <c r="G65" s="16"/>
    </row>
    <row r="66" spans="1:9" s="62" customFormat="1" x14ac:dyDescent="0.2">
      <c r="A66" s="68"/>
      <c r="B66" s="23" t="s">
        <v>1788</v>
      </c>
      <c r="C66" s="63">
        <f>SUMIFS('Wege im Detail'!$P:$P,'Wege im Detail'!$B:$B,"Wanderweg",'Wege im Detail'!$N:$N,"Nürnberg/Fürth")</f>
        <v>0</v>
      </c>
      <c r="D66" s="63">
        <f>SUMIFS('Wege im Detail'!$P:$P,'Wege im Detail'!$B:$B,"örtl. Wanderweg",'Wege im Detail'!$N:$N,"Nürnberg/Fürth")</f>
        <v>0</v>
      </c>
      <c r="E66" s="76">
        <f>SUMIF('Wege im Detail'!$N:$N,"Nürnberg/Fürth",'Wege im Detail'!$P:$P)</f>
        <v>0</v>
      </c>
      <c r="G66" s="16"/>
    </row>
    <row r="67" spans="1:9" s="62" customFormat="1" x14ac:dyDescent="0.2">
      <c r="A67" s="68"/>
      <c r="B67" s="23" t="s">
        <v>1789</v>
      </c>
      <c r="C67" s="63">
        <f>SUMIFS('Wege im Detail'!$P:$P,'Wege im Detail'!$B:$B,"Wanderweg",'Wege im Detail'!$N:$N,"Oberwarmen-steinach")</f>
        <v>13.632</v>
      </c>
      <c r="D67" s="63">
        <f>SUMIFS('Wege im Detail'!$P:$P,'Wege im Detail'!$B:$B,"örtl. Wanderweg",'Wege im Detail'!$N:$N,"Oberwarmen-steinach")</f>
        <v>0</v>
      </c>
      <c r="E67" s="76">
        <f>SUMIF('Wege im Detail'!$N:$N,"Oberwarmen-steinach",'Wege im Detail'!$P:$P)</f>
        <v>13.632</v>
      </c>
      <c r="G67" s="16"/>
    </row>
    <row r="68" spans="1:9" x14ac:dyDescent="0.2">
      <c r="A68" s="65"/>
      <c r="B68" s="23" t="s">
        <v>106</v>
      </c>
      <c r="C68" s="63">
        <f>SUMIFS('Wege im Detail'!$P:$P,'Wege im Detail'!$B:$B,"Wanderweg",'Wege im Detail'!$N:$N,"Speichersdorf")</f>
        <v>57.318999999999996</v>
      </c>
      <c r="D68" s="63">
        <f>SUMIFS('Wege im Detail'!$P:$P,'Wege im Detail'!$B:$B,"örtl. Wanderweg",'Wege im Detail'!$N:$N,"Speichersdorf")</f>
        <v>80.650000000000006</v>
      </c>
      <c r="E68" s="76">
        <f>SUMIF('Wege im Detail'!$N:$N,"Speichersdorf",'Wege im Detail'!$P:$P)</f>
        <v>137.96899999999999</v>
      </c>
      <c r="G68" s="16"/>
    </row>
    <row r="69" spans="1:9" x14ac:dyDescent="0.2">
      <c r="A69" s="65"/>
      <c r="B69" s="23" t="s">
        <v>206</v>
      </c>
      <c r="C69" s="63">
        <f>SUMIFS('Wege im Detail'!$P:$P,'Wege im Detail'!$B:$B,"Wanderweg",'Wege im Detail'!$N:$N,"Warmensteinach")</f>
        <v>50.8</v>
      </c>
      <c r="D69" s="63">
        <f>SUMIFS('Wege im Detail'!$P:$P,'Wege im Detail'!$B:$B,"örtl. Wanderweg",'Wege im Detail'!$N:$N,"Warmensteinach")</f>
        <v>63.086999999999996</v>
      </c>
      <c r="E69" s="76">
        <f>SUMIF('Wege im Detail'!$N:$N,"Warmensteinach",'Wege im Detail'!$P:$P)</f>
        <v>113.887</v>
      </c>
      <c r="G69" s="16"/>
    </row>
    <row r="70" spans="1:9" x14ac:dyDescent="0.2">
      <c r="A70" s="65"/>
      <c r="B70" s="23" t="s">
        <v>466</v>
      </c>
      <c r="C70" s="63">
        <f>SUMIFS('Wege im Detail'!$P:$P,'Wege im Detail'!$B:$B,"Wanderweg",'Wege im Detail'!$N:$N,"Weidenberg")</f>
        <v>76.151999999999987</v>
      </c>
      <c r="D70" s="63">
        <f>SUMIFS('Wege im Detail'!$P:$P,'Wege im Detail'!$B:$B,"örtl. Wanderweg",'Wege im Detail'!$N:$N,"Weidenberg")</f>
        <v>73.703000000000003</v>
      </c>
      <c r="E70" s="76">
        <f>SUMIF('Wege im Detail'!$N:$N,"Weidenberg",'Wege im Detail'!$P:$P)</f>
        <v>149.85500000000002</v>
      </c>
      <c r="G70" s="16"/>
    </row>
    <row r="71" spans="1:9" x14ac:dyDescent="0.2">
      <c r="A71" s="60"/>
      <c r="B71" s="15"/>
      <c r="E71" s="77"/>
      <c r="G71" s="16"/>
    </row>
    <row r="72" spans="1:9" x14ac:dyDescent="0.2">
      <c r="A72" s="65">
        <v>4</v>
      </c>
      <c r="B72" s="67"/>
      <c r="C72" s="67">
        <f>SUMIFS('Wege im Detail'!$P:$P,'Wege im Detail'!$B:$B,"Wanderweg",'Wege im Detail'!$M:$M,"4")</f>
        <v>380.22200000000015</v>
      </c>
      <c r="D72" s="67">
        <f>SUMIFS('Wege im Detail'!$P:$P,'Wege im Detail'!$B:$B,"örtl. Wanderweg",'Wege im Detail'!$M:$M,"4")</f>
        <v>130.672</v>
      </c>
      <c r="E72" s="75">
        <f>SUMIF('Wege im Detail'!$M:$M,"4",'Wege im Detail'!$P:$P)</f>
        <v>510.89400000000018</v>
      </c>
      <c r="G72">
        <f>SUM(C73:D83)</f>
        <v>499.13399999999996</v>
      </c>
      <c r="I72" s="77">
        <f>E72-G72</f>
        <v>11.760000000000218</v>
      </c>
    </row>
    <row r="73" spans="1:9" x14ac:dyDescent="0.2">
      <c r="A73" s="64"/>
      <c r="B73" s="23" t="s">
        <v>1790</v>
      </c>
      <c r="C73" s="63">
        <f>SUMIFS('Wege im Detail'!$P:$P,'Wege im Detail'!$B:$B,"Wanderweg",'Wege im Detail'!$N:$N,"Hallerstein")</f>
        <v>0</v>
      </c>
      <c r="D73" s="63">
        <f>SUMIFS('Wege im Detail'!$P:$P,'Wege im Detail'!$B:$B,"örtl. Wanderweg",'Wege im Detail'!$N:$N,"Hallerstein")</f>
        <v>0</v>
      </c>
      <c r="E73" s="76">
        <f>SUMIF('Wege im Detail'!$N:$N,"Hallerstein",'Wege im Detail'!$P:$P)</f>
        <v>0</v>
      </c>
    </row>
    <row r="74" spans="1:9" x14ac:dyDescent="0.2">
      <c r="A74" s="65"/>
      <c r="B74" s="23" t="s">
        <v>198</v>
      </c>
      <c r="C74" s="80">
        <f>SUMIFS('Wege im Detail'!$P:$P,'Wege im Detail'!$B:$B,"Wanderweg",'Wege im Detail'!$N:$N,"Hof")</f>
        <v>11.751000000000001</v>
      </c>
      <c r="D74" s="63">
        <f>SUMIFS('Wege im Detail'!$P:$P,'Wege im Detail'!$B:$B,"örtl. Wanderweg",'Wege im Detail'!$N:$N,"Hof")</f>
        <v>0</v>
      </c>
      <c r="E74" s="76">
        <f>SUMIF('Wege im Detail'!$N:$N,"Hof",'Wege im Detail'!$P:$P)</f>
        <v>11.751000000000001</v>
      </c>
      <c r="H74">
        <f>SUM(C73:C82)</f>
        <v>372.13999999999993</v>
      </c>
    </row>
    <row r="75" spans="1:9" x14ac:dyDescent="0.2">
      <c r="A75" s="65"/>
      <c r="B75" s="23" t="s">
        <v>56</v>
      </c>
      <c r="C75" s="63">
        <f>SUMIFS('Wege im Detail'!$P:$P,'Wege im Detail'!$B:$B,"Wanderweg",'Wege im Detail'!$N:$N,"Münchberg")</f>
        <v>72.709999999999994</v>
      </c>
      <c r="D75" s="63">
        <f>SUMIFS('Wege im Detail'!$P:$P,'Wege im Detail'!$B:$B,"örtl. Wanderweg",'Wege im Detail'!$N:$N,"Münchberg")</f>
        <v>0</v>
      </c>
      <c r="E75" s="76">
        <f>SUMIF('Wege im Detail'!$N:$N,"Münchberg",'Wege im Detail'!$P:$P)</f>
        <v>72.709999999999994</v>
      </c>
    </row>
    <row r="76" spans="1:9" x14ac:dyDescent="0.2">
      <c r="A76" s="65"/>
      <c r="B76" s="23" t="s">
        <v>389</v>
      </c>
      <c r="C76" s="80">
        <f>SUMIFS('Wege im Detail'!$P:$P,'Wege im Detail'!$B:$B,"Wanderweg",'Wege im Detail'!$N:$N,"Oberkotzau")</f>
        <v>32.305999999999997</v>
      </c>
      <c r="D76" s="63">
        <f>SUMIFS('Wege im Detail'!$P:$P,'Wege im Detail'!$B:$B,"örtl. Wanderweg",'Wege im Detail'!$N:$N,"Oberkotzau")</f>
        <v>8.9909999999999997</v>
      </c>
      <c r="E76" s="76">
        <f>SUMIF('Wege im Detail'!$N:$N,"Oberkotzau",'Wege im Detail'!$P:$P)</f>
        <v>41.296999999999997</v>
      </c>
    </row>
    <row r="77" spans="1:9" x14ac:dyDescent="0.2">
      <c r="A77" s="65"/>
      <c r="B77" s="23" t="s">
        <v>1791</v>
      </c>
      <c r="C77" s="63">
        <f>SUMIFS('Wege im Detail'!$P:$P,'Wege im Detail'!$B:$B,"Wanderweg",'Wege im Detail'!$N:$N,"Plauen")</f>
        <v>0</v>
      </c>
      <c r="D77" s="63">
        <f>SUMIFS('Wege im Detail'!$P:$P,'Wege im Detail'!$B:$B,"örtl. Wanderweg",'Wege im Detail'!$N:$N,"Plauen")</f>
        <v>0</v>
      </c>
      <c r="E77" s="76">
        <f>SUMIF('Wege im Detail'!$N:$N,"Plauen",'Wege im Detail'!$P:$P)</f>
        <v>0</v>
      </c>
    </row>
    <row r="78" spans="1:9" x14ac:dyDescent="0.2">
      <c r="A78" s="65"/>
      <c r="B78" s="23" t="s">
        <v>124</v>
      </c>
      <c r="C78" s="80">
        <f>SUMIFS('Wege im Detail'!$P:$P,'Wege im Detail'!$B:$B,"Wanderweg",'Wege im Detail'!$N:$N,"Rehau")</f>
        <v>67.991</v>
      </c>
      <c r="D78" s="63">
        <f>SUMIFS('Wege im Detail'!$P:$P,'Wege im Detail'!$B:$B,"örtl. Wanderweg",'Wege im Detail'!$N:$N,"Rehau")</f>
        <v>57.977000000000004</v>
      </c>
      <c r="E78" s="76">
        <f>SUMIF('Wege im Detail'!$N:$N,"Rehau",'Wege im Detail'!$P:$P)</f>
        <v>125.96799999999998</v>
      </c>
    </row>
    <row r="79" spans="1:9" x14ac:dyDescent="0.2">
      <c r="A79" s="65"/>
      <c r="B79" s="23" t="s">
        <v>1792</v>
      </c>
      <c r="C79" s="63">
        <f>SUMIFS('Wege im Detail'!$P:$P,'Wege im Detail'!$B:$B,"Wanderweg",'Wege im Detail'!$N:$N,"Schwarzenbach")</f>
        <v>82.664000000000001</v>
      </c>
      <c r="D79" s="63">
        <f>SUMIFS('Wege im Detail'!$P:$P,'Wege im Detail'!$B:$B,"örtl. Wanderweg",'Wege im Detail'!$N:$N,"Schwarzenbach")</f>
        <v>17.238</v>
      </c>
      <c r="E79" s="76">
        <f>SUMIF('Wege im Detail'!$N:$N,"Schwarzenbach",'Wege im Detail'!$P:$P)</f>
        <v>99.902000000000001</v>
      </c>
    </row>
    <row r="80" spans="1:9" x14ac:dyDescent="0.2">
      <c r="A80" s="65"/>
      <c r="B80" s="23" t="s">
        <v>89</v>
      </c>
      <c r="C80" s="63">
        <f>SUMIFS('Wege im Detail'!$P:$P,'Wege im Detail'!$B:$B,"Wanderweg",'Wege im Detail'!$N:$N,"Sparneck")</f>
        <v>25.505000000000003</v>
      </c>
      <c r="D80" s="63">
        <f>SUMIFS('Wege im Detail'!$P:$P,'Wege im Detail'!$B:$B,"örtl. Wanderweg",'Wege im Detail'!$N:$N,"Sparneck")</f>
        <v>42.787999999999997</v>
      </c>
      <c r="E80" s="76">
        <f>SUMIF('Wege im Detail'!$N:$N,"Sparneck",'Wege im Detail'!$P:$P)</f>
        <v>68.293000000000006</v>
      </c>
    </row>
    <row r="81" spans="1:9" x14ac:dyDescent="0.2">
      <c r="A81" s="65"/>
      <c r="B81" s="23" t="s">
        <v>1667</v>
      </c>
      <c r="C81" s="63">
        <f>SUMIFS('Wege im Detail'!$P:$P,'Wege im Detail'!$B:$B,"Wanderweg",'Wege im Detail'!$N:$N,"Weißensteinverein")</f>
        <v>24.786999999999999</v>
      </c>
      <c r="D81" s="63">
        <f>SUMIFS('Wege im Detail'!$P:$P,'Wege im Detail'!$B:$B,"örtl. Wanderweg",'Wege im Detail'!$N:$N,"Weißensteinverein")</f>
        <v>0</v>
      </c>
      <c r="E81" s="76">
        <f>SUMIF('Wege im Detail'!$N:$N,"Weißensteinverein",'Wege im Detail'!$P:$P)</f>
        <v>24.786999999999999</v>
      </c>
    </row>
    <row r="82" spans="1:9" x14ac:dyDescent="0.2">
      <c r="A82" s="65"/>
      <c r="B82" s="23" t="s">
        <v>118</v>
      </c>
      <c r="C82" s="63">
        <f>SUMIFS('Wege im Detail'!$P:$P,'Wege im Detail'!$B:$B,"Wanderweg",'Wege im Detail'!$N:$N,"Zell")</f>
        <v>54.426000000000002</v>
      </c>
      <c r="D82" s="63">
        <f>SUMIFS('Wege im Detail'!$P:$P,'Wege im Detail'!$B:$B,"örtl. Wanderweg",'Wege im Detail'!$N:$N,"Zell")</f>
        <v>0</v>
      </c>
      <c r="E82" s="76">
        <f>SUMIF('Wege im Detail'!$N:$N,"Zell",'Wege im Detail'!$P:$P)</f>
        <v>54.426000000000002</v>
      </c>
    </row>
    <row r="83" spans="1:9" x14ac:dyDescent="0.2">
      <c r="A83" s="60"/>
      <c r="B83" s="15"/>
      <c r="E83" s="77"/>
    </row>
    <row r="84" spans="1:9" x14ac:dyDescent="0.2">
      <c r="A84" s="65">
        <v>5</v>
      </c>
      <c r="B84" s="67"/>
      <c r="C84" s="67">
        <f>SUMIFS('Wege im Detail'!$P:$P,'Wege im Detail'!$B:$B,"Wanderweg",'Wege im Detail'!$M:$M,"5")</f>
        <v>624.79999999999995</v>
      </c>
      <c r="D84" s="67">
        <f>SUMIFS('Wege im Detail'!$P:$P,'Wege im Detail'!$B:$B,"örtl. Wanderweg",'Wege im Detail'!$M:$M,"5")</f>
        <v>309.08410000000003</v>
      </c>
      <c r="E84" s="75">
        <f>SUMIF('Wege im Detail'!$M:$M,"5",'Wege im Detail'!$P:$P)</f>
        <v>933.88409999999953</v>
      </c>
      <c r="G84">
        <f>SUM(C85:D97)</f>
        <v>925.26909999999975</v>
      </c>
      <c r="I84" s="120">
        <f>E84-G84</f>
        <v>8.6149999999997817</v>
      </c>
    </row>
    <row r="85" spans="1:9" x14ac:dyDescent="0.2">
      <c r="A85" s="64"/>
      <c r="B85" s="23" t="s">
        <v>72</v>
      </c>
      <c r="C85" s="80">
        <f>SUMIFS('Wege im Detail'!$P:$P,'Wege im Detail'!$B:$B,"Wanderweg",'Wege im Detail'!$N:$N,"Bad Alexandersbad")</f>
        <v>23.732999999999997</v>
      </c>
      <c r="D85" s="63">
        <f>SUMIFS('Wege im Detail'!$P:$P,'Wege im Detail'!$B:$B,"örtl. Wanderweg",'Wege im Detail'!$N:$N,"Bad Alexandersbad")</f>
        <v>32.056999999999995</v>
      </c>
      <c r="E85" s="76">
        <f>SUMIF('Wege im Detail'!$N:$N,"Bad Alexandersbad",'Wege im Detail'!$P:$P)</f>
        <v>55.79</v>
      </c>
    </row>
    <row r="86" spans="1:9" x14ac:dyDescent="0.2">
      <c r="A86" s="65"/>
      <c r="B86" s="23" t="s">
        <v>1793</v>
      </c>
      <c r="C86" s="63">
        <f>SUMIFS('Wege im Detail'!$P:$P,'Wege im Detail'!$B:$B,"Wanderweg",'Wege im Detail'!$N:$N,"Berlin")</f>
        <v>0</v>
      </c>
      <c r="D86" s="63">
        <f>SUMIFS('Wege im Detail'!$P:$P,'Wege im Detail'!$B:$B,"örtl. Wanderweg",'Wege im Detail'!$N:$N,"Berlin")</f>
        <v>0</v>
      </c>
      <c r="E86" s="76">
        <f>SUMIF('Wege im Detail'!$N:$N,"Berlin",'Wege im Detail'!$P:$P)</f>
        <v>0</v>
      </c>
    </row>
    <row r="87" spans="1:9" x14ac:dyDescent="0.2">
      <c r="A87" s="64"/>
      <c r="B87" s="23" t="s">
        <v>1014</v>
      </c>
      <c r="C87" s="63">
        <f>SUMIFS('Wege im Detail'!$P:$P,'Wege im Detail'!$B:$B,"Wanderweg",'Wege im Detail'!$N:$N,"Franken")</f>
        <v>25.012</v>
      </c>
      <c r="D87" s="63">
        <f>SUMIFS('Wege im Detail'!$P:$P,'Wege im Detail'!$B:$B,"örtl. Wanderweg",'Wege im Detail'!$N:$N,"Franken")</f>
        <v>0</v>
      </c>
      <c r="E87" s="76">
        <f>SUMIF('Wege im Detail'!$N:$N,"Franken",'Wege im Detail'!$P:$P)</f>
        <v>25.012</v>
      </c>
    </row>
    <row r="88" spans="1:9" x14ac:dyDescent="0.2">
      <c r="A88" s="64"/>
      <c r="B88" s="23" t="s">
        <v>98</v>
      </c>
      <c r="C88" s="63">
        <f>SUMIFS('Wege im Detail'!$P:$P,'Wege im Detail'!$B:$B,"Wanderweg",'Wege im Detail'!$N:$N,"Gefrees")</f>
        <v>79.524000000000001</v>
      </c>
      <c r="D88" s="63">
        <f>SUMIFS('Wege im Detail'!$P:$P,'Wege im Detail'!$B:$B,"örtl. Wanderweg",'Wege im Detail'!$N:$N,"Gefrees")</f>
        <v>25.385000000000002</v>
      </c>
      <c r="E88" s="76">
        <f>SUMIF('Wege im Detail'!$N:$N,"Gefrees",'Wege im Detail'!$P:$P)</f>
        <v>104.90900000000001</v>
      </c>
    </row>
    <row r="89" spans="1:9" x14ac:dyDescent="0.2">
      <c r="A89" s="64"/>
      <c r="B89" s="23" t="s">
        <v>143</v>
      </c>
      <c r="C89" s="63">
        <f>SUMIFS('Wege im Detail'!$P:$P,'Wege im Detail'!$B:$B,"Wanderweg",'Wege im Detail'!$N:$N,"Kirchenlamitz")</f>
        <v>31.946999999999996</v>
      </c>
      <c r="D89" s="63">
        <f>SUMIFS('Wege im Detail'!$P:$P,'Wege im Detail'!$B:$B,"örtl. Wanderweg",'Wege im Detail'!$N:$N,"Kirchenlamitz")</f>
        <v>29.048999999999999</v>
      </c>
      <c r="E89" s="76">
        <f>SUMIF('Wege im Detail'!$N:$N,"Kirchenlamitz",'Wege im Detail'!$P:$P)</f>
        <v>60.996000000000009</v>
      </c>
    </row>
    <row r="90" spans="1:9" x14ac:dyDescent="0.2">
      <c r="A90" s="64"/>
      <c r="B90" s="23" t="s">
        <v>307</v>
      </c>
      <c r="C90" s="63">
        <f>SUMIFS('Wege im Detail'!$P:$P,'Wege im Detail'!$B:$B,"Wanderweg",'Wege im Detail'!$N:$N,"Kulmbach")</f>
        <v>68.239000000000004</v>
      </c>
      <c r="D90" s="63">
        <f>SUMIFS('Wege im Detail'!$P:$P,'Wege im Detail'!$B:$B,"örtl. Wanderweg",'Wege im Detail'!$N:$N,"Kulmbach")</f>
        <v>6.4169999999999998</v>
      </c>
      <c r="E90" s="76">
        <f>SUMIF('Wege im Detail'!$N:$N,"Kulmbach",'Wege im Detail'!$P:$P)</f>
        <v>74.656000000000006</v>
      </c>
    </row>
    <row r="91" spans="1:9" x14ac:dyDescent="0.2">
      <c r="A91" s="64"/>
      <c r="B91" s="23" t="s">
        <v>164</v>
      </c>
      <c r="C91" s="63">
        <f>SUMIFS('Wege im Detail'!$P:$P,'Wege im Detail'!$B:$B,"Wanderweg",'Wege im Detail'!$N:$N,"Marktleuthen")</f>
        <v>60.286000000000001</v>
      </c>
      <c r="D91" s="63">
        <f>SUMIFS('Wege im Detail'!$P:$P,'Wege im Detail'!$B:$B,"örtl. Wanderweg",'Wege im Detail'!$N:$N,"Marktleuthen")</f>
        <v>61.689099999999996</v>
      </c>
      <c r="E91" s="76">
        <f>SUMIF('Wege im Detail'!$N:$N,"Marktleuthen",'Wege im Detail'!$P:$P)</f>
        <v>121.9751</v>
      </c>
    </row>
    <row r="92" spans="1:9" x14ac:dyDescent="0.2">
      <c r="A92" s="64"/>
      <c r="B92" s="23" t="s">
        <v>1004</v>
      </c>
      <c r="C92" s="63">
        <f>SUMIFS('Wege im Detail'!$P:$P,'Wege im Detail'!$B:$B,"Wanderweg",'Wege im Detail'!$N:$N,"Niederlamitz")</f>
        <v>26.49</v>
      </c>
      <c r="D92" s="63">
        <f>SUMIFS('Wege im Detail'!$P:$P,'Wege im Detail'!$B:$B,"örtl. Wanderweg",'Wege im Detail'!$N:$N,"Niederlamitz")</f>
        <v>0</v>
      </c>
      <c r="E92" s="76">
        <f>SUMIF('Wege im Detail'!$N:$N,"Niederlamitz",'Wege im Detail'!$P:$P)</f>
        <v>26.49</v>
      </c>
    </row>
    <row r="93" spans="1:9" x14ac:dyDescent="0.2">
      <c r="A93" s="64"/>
      <c r="B93" s="23" t="s">
        <v>128</v>
      </c>
      <c r="C93" s="63">
        <f>SUMIFS('Wege im Detail'!$P:$P,'Wege im Detail'!$B:$B,"Wanderweg",'Wege im Detail'!$N:$N,"Röslau")</f>
        <v>35.371000000000002</v>
      </c>
      <c r="D93" s="63">
        <f>SUMIFS('Wege im Detail'!$P:$P,'Wege im Detail'!$B:$B,"örtl. Wanderweg",'Wege im Detail'!$N:$N,"Röslau")</f>
        <v>36.456000000000003</v>
      </c>
      <c r="E93" s="76">
        <f>SUMIF('Wege im Detail'!$N:$N,"Röslau",'Wege im Detail'!$P:$P)</f>
        <v>71.826999999999998</v>
      </c>
    </row>
    <row r="94" spans="1:9" x14ac:dyDescent="0.2">
      <c r="A94" s="64"/>
      <c r="B94" s="23" t="s">
        <v>208</v>
      </c>
      <c r="C94" s="63">
        <f>SUMIFS('Wege im Detail'!$P:$P,'Wege im Detail'!$B:$B,"Wanderweg",'Wege im Detail'!$N:$N,"Tröstau")</f>
        <v>45.863</v>
      </c>
      <c r="D94" s="63">
        <f>SUMIFS('Wege im Detail'!$P:$P,'Wege im Detail'!$B:$B,"örtl. Wanderweg",'Wege im Detail'!$N:$N,"Tröstau")</f>
        <v>24.132000000000001</v>
      </c>
      <c r="E94" s="76">
        <f>SUMIF('Wege im Detail'!$N:$N,"Tröstau",'Wege im Detail'!$P:$P)</f>
        <v>69.995000000000005</v>
      </c>
    </row>
    <row r="95" spans="1:9" x14ac:dyDescent="0.2">
      <c r="A95" s="64"/>
      <c r="B95" s="23" t="s">
        <v>248</v>
      </c>
      <c r="C95" s="80">
        <f>SUMIFS('Wege im Detail'!$P:$P,'Wege im Detail'!$B:$B,"Wanderweg",'Wege im Detail'!$N:$N,"Vordorf")</f>
        <v>67.275999999999996</v>
      </c>
      <c r="D95" s="63">
        <f>SUMIFS('Wege im Detail'!$P:$P,'Wege im Detail'!$B:$B,"örtl. Wanderweg",'Wege im Detail'!$N:$N,"Vordorf")</f>
        <v>33.702999999999996</v>
      </c>
      <c r="E95" s="76">
        <f>SUMIF('Wege im Detail'!$N:$N,"Vordorf",'Wege im Detail'!$P:$P)</f>
        <v>100.97899999999998</v>
      </c>
    </row>
    <row r="96" spans="1:9" x14ac:dyDescent="0.2">
      <c r="A96" s="64"/>
      <c r="B96" s="23" t="s">
        <v>111</v>
      </c>
      <c r="C96" s="63">
        <f>SUMIFS('Wege im Detail'!$P:$P,'Wege im Detail'!$B:$B,"Wanderweg",'Wege im Detail'!$N:$N,"Weißenstadt")</f>
        <v>81.929000000000016</v>
      </c>
      <c r="D96" s="63">
        <f>SUMIFS('Wege im Detail'!$P:$P,'Wege im Detail'!$B:$B,"örtl. Wanderweg",'Wege im Detail'!$N:$N,"Weißenstadt")</f>
        <v>36.613</v>
      </c>
      <c r="E96" s="76">
        <f>SUMIF('Wege im Detail'!$N:$N,"Weißenstadt",'Wege im Detail'!$P:$P)</f>
        <v>118.54200000000002</v>
      </c>
    </row>
    <row r="97" spans="1:10" x14ac:dyDescent="0.2">
      <c r="A97" s="64"/>
      <c r="B97" s="23" t="s">
        <v>181</v>
      </c>
      <c r="C97" s="80">
        <f>SUMIFS('Wege im Detail'!$P:$P,'Wege im Detail'!$B:$B,"Wanderweg",'Wege im Detail'!$N:$N,"Wunsiedel")</f>
        <v>70.515000000000001</v>
      </c>
      <c r="D97" s="63">
        <f>SUMIFS('Wege im Detail'!$P:$P,'Wege im Detail'!$B:$B,"örtl. Wanderweg",'Wege im Detail'!$N:$N,"Wunsiedel")</f>
        <v>23.582999999999998</v>
      </c>
      <c r="E97" s="76">
        <f>SUMIF('Wege im Detail'!$N:$N,"Wunsiedel",'Wege im Detail'!$P:$P)</f>
        <v>94.097999999999985</v>
      </c>
    </row>
    <row r="99" spans="1:10" ht="25.5" x14ac:dyDescent="0.2">
      <c r="A99" s="135" t="s">
        <v>1794</v>
      </c>
      <c r="B99" s="134" t="s">
        <v>1795</v>
      </c>
      <c r="C99" s="136">
        <f>SUMIFS('Wege im Detail'!$P:$P,'Wege im Detail'!$B:$B,"Wanderweg",'Wege im Detail'!$M:$M,"?")</f>
        <v>0</v>
      </c>
      <c r="D99" s="136">
        <f>SUMIFS('Wege im Detail'!$P:$P,'Wege im Detail'!$B:$B,"örtl. Wanderweg",'Wege im Detail'!$M:$M,"HV")</f>
        <v>0</v>
      </c>
      <c r="E99" s="137">
        <f>SUMIF('Wege im Detail'!$M:$M,"HV",'Wege im Detail'!$P:$P)</f>
        <v>0</v>
      </c>
      <c r="G99">
        <f>SUM(C100:D112)</f>
        <v>0</v>
      </c>
      <c r="I99" s="120">
        <f>E99-G99</f>
        <v>0</v>
      </c>
    </row>
    <row r="100" spans="1:10" x14ac:dyDescent="0.2">
      <c r="G100">
        <f>SUM(G33:G97)</f>
        <v>3821.9430999999995</v>
      </c>
      <c r="J100">
        <f>F4-G100</f>
        <v>92.914999999996326</v>
      </c>
    </row>
  </sheetData>
  <pageMargins left="0.70866141732283472" right="0.70866141732283472" top="0.78740157480314965" bottom="0.78740157480314965" header="0.31496062992125984" footer="0.31496062992125984"/>
  <pageSetup paperSize="9" scale="40" orientation="portrait" horizontalDpi="4294967294" verticalDpi="300" r:id="rId1"/>
  <ignoredErrors>
    <ignoredError sqref="F11 D36:D37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X3"/>
  <sheetViews>
    <sheetView topLeftCell="O1" workbookViewId="0">
      <selection activeCell="T34" sqref="T34"/>
    </sheetView>
  </sheetViews>
  <sheetFormatPr baseColWidth="10" defaultColWidth="11.42578125" defaultRowHeight="12.75" x14ac:dyDescent="0.2"/>
  <cols>
    <col min="2" max="2" width="15" customWidth="1"/>
    <col min="6" max="6" width="8" customWidth="1"/>
    <col min="7" max="7" width="7.5703125" customWidth="1"/>
    <col min="8" max="8" width="10.28515625" customWidth="1"/>
    <col min="11" max="11" width="11.7109375" customWidth="1"/>
    <col min="13" max="13" width="7.5703125" customWidth="1"/>
    <col min="14" max="14" width="6" customWidth="1"/>
    <col min="16" max="16" width="33" customWidth="1"/>
    <col min="17" max="17" width="7.7109375" customWidth="1"/>
    <col min="18" max="18" width="8.85546875" customWidth="1"/>
    <col min="19" max="19" width="8.5703125" customWidth="1"/>
    <col min="20" max="20" width="21" customWidth="1"/>
    <col min="22" max="22" width="15.42578125" customWidth="1"/>
    <col min="23" max="23" width="29.140625" customWidth="1"/>
  </cols>
  <sheetData>
    <row r="1" spans="1:24" s="416" customFormat="1" ht="94.5" customHeight="1" x14ac:dyDescent="0.15">
      <c r="A1" s="410" t="s">
        <v>939</v>
      </c>
      <c r="B1" s="410" t="s">
        <v>940</v>
      </c>
      <c r="C1" s="411" t="s">
        <v>8</v>
      </c>
      <c r="D1" s="411" t="s">
        <v>941</v>
      </c>
      <c r="E1" s="411" t="s">
        <v>942</v>
      </c>
      <c r="F1" s="410" t="s">
        <v>9</v>
      </c>
      <c r="G1" s="410" t="s">
        <v>943</v>
      </c>
      <c r="H1" s="410" t="s">
        <v>944</v>
      </c>
      <c r="I1" s="412" t="s">
        <v>12</v>
      </c>
      <c r="J1" s="412" t="s">
        <v>13</v>
      </c>
      <c r="K1" s="413" t="s">
        <v>945</v>
      </c>
      <c r="L1" s="410" t="s">
        <v>14</v>
      </c>
      <c r="M1" s="412" t="s">
        <v>946</v>
      </c>
      <c r="N1" s="412" t="s">
        <v>16</v>
      </c>
      <c r="O1" s="410" t="s">
        <v>947</v>
      </c>
      <c r="P1" s="410" t="s">
        <v>948</v>
      </c>
      <c r="Q1" s="414" t="s">
        <v>18</v>
      </c>
      <c r="R1" s="415" t="s">
        <v>949</v>
      </c>
      <c r="S1" s="411" t="s">
        <v>19</v>
      </c>
      <c r="T1" s="410" t="s">
        <v>950</v>
      </c>
      <c r="U1" s="391" t="s">
        <v>1796</v>
      </c>
      <c r="V1" s="533" t="s">
        <v>952</v>
      </c>
      <c r="W1" s="533" t="s">
        <v>953</v>
      </c>
      <c r="X1" s="533"/>
    </row>
    <row r="3" spans="1:24" s="458" customFormat="1" ht="61.5" customHeight="1" x14ac:dyDescent="0.2">
      <c r="A3" s="444">
        <v>7232</v>
      </c>
      <c r="B3" s="445" t="s">
        <v>51</v>
      </c>
      <c r="C3" s="445" t="s">
        <v>52</v>
      </c>
      <c r="D3" s="445" t="s">
        <v>91</v>
      </c>
      <c r="E3" s="445"/>
      <c r="F3" s="445"/>
      <c r="G3" s="446">
        <v>354</v>
      </c>
      <c r="H3" s="445">
        <v>108</v>
      </c>
      <c r="I3" s="445"/>
      <c r="J3" s="445">
        <v>1</v>
      </c>
      <c r="K3" s="447">
        <v>1</v>
      </c>
      <c r="L3" s="445"/>
      <c r="M3" s="448" t="s">
        <v>55</v>
      </c>
      <c r="N3" s="445">
        <v>5</v>
      </c>
      <c r="O3" s="445" t="s">
        <v>307</v>
      </c>
      <c r="P3" s="449" t="s">
        <v>1797</v>
      </c>
      <c r="Q3" s="450">
        <v>11.234</v>
      </c>
      <c r="R3" s="451">
        <f t="shared" ref="R3" si="0">Q3</f>
        <v>11.234</v>
      </c>
      <c r="S3" s="451" t="e">
        <f>SUMIF('[1]Wege im Detail'!$A:$A,"007232",'[1]Wege im Detail'!$Q:$Q)</f>
        <v>#VALUE!</v>
      </c>
      <c r="T3" s="452" t="s">
        <v>1798</v>
      </c>
      <c r="U3" s="472"/>
      <c r="V3" s="448"/>
      <c r="W3" s="455" t="s">
        <v>1799</v>
      </c>
      <c r="X3" s="448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IM71"/>
  <sheetViews>
    <sheetView topLeftCell="A4" workbookViewId="0">
      <selection activeCell="J24" sqref="J24"/>
    </sheetView>
  </sheetViews>
  <sheetFormatPr baseColWidth="10" defaultColWidth="11.42578125" defaultRowHeight="11.25" x14ac:dyDescent="0.2"/>
  <cols>
    <col min="1" max="1" width="14.5703125" style="574" customWidth="1"/>
    <col min="2" max="2" width="34.140625" style="591" customWidth="1"/>
    <col min="3" max="3" width="37.7109375" style="591" customWidth="1"/>
    <col min="4" max="4" width="21.140625" style="35" customWidth="1"/>
    <col min="5" max="5" width="11.42578125" style="187"/>
    <col min="6" max="6" width="36.42578125" style="187" customWidth="1"/>
    <col min="7" max="7" width="11.42578125" style="35"/>
    <col min="8" max="8" width="11.42578125" style="187"/>
    <col min="9" max="16384" width="11.42578125" style="35"/>
  </cols>
  <sheetData>
    <row r="1" spans="1:247" s="574" customFormat="1" ht="33.75" x14ac:dyDescent="0.2">
      <c r="A1" s="567" t="s">
        <v>1800</v>
      </c>
      <c r="B1" s="568" t="s">
        <v>1801</v>
      </c>
      <c r="C1" s="568" t="s">
        <v>1802</v>
      </c>
      <c r="D1" s="567" t="s">
        <v>1803</v>
      </c>
      <c r="E1" s="567" t="s">
        <v>17</v>
      </c>
      <c r="F1" s="567" t="s">
        <v>950</v>
      </c>
      <c r="G1" s="569" t="s">
        <v>1804</v>
      </c>
      <c r="H1" s="570" t="s">
        <v>23</v>
      </c>
      <c r="I1" s="571"/>
      <c r="J1" s="572"/>
      <c r="K1" s="573"/>
      <c r="M1" s="326"/>
      <c r="IL1" s="35"/>
      <c r="IM1" s="35"/>
    </row>
    <row r="2" spans="1:247" s="7" customFormat="1" x14ac:dyDescent="0.2">
      <c r="A2" s="41">
        <v>0</v>
      </c>
      <c r="B2" s="41"/>
      <c r="C2" s="41">
        <v>108</v>
      </c>
      <c r="D2" s="41"/>
      <c r="E2" s="41" t="s">
        <v>307</v>
      </c>
      <c r="F2" s="41" t="s">
        <v>1805</v>
      </c>
      <c r="G2" s="575"/>
      <c r="H2" s="163" t="s">
        <v>1806</v>
      </c>
      <c r="I2" s="574"/>
      <c r="J2" s="574"/>
      <c r="K2" s="326"/>
      <c r="L2" s="574"/>
      <c r="M2" s="326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574"/>
      <c r="AJ2" s="574"/>
      <c r="AK2" s="574"/>
      <c r="AL2" s="574"/>
      <c r="AM2" s="574"/>
      <c r="AN2" s="574"/>
      <c r="AO2" s="574"/>
      <c r="AP2" s="574"/>
      <c r="AQ2" s="574"/>
      <c r="AR2" s="574"/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/>
      <c r="BK2" s="574"/>
      <c r="BL2" s="574"/>
      <c r="BM2" s="574"/>
      <c r="BN2" s="574"/>
      <c r="BO2" s="574"/>
      <c r="BP2" s="574"/>
      <c r="BQ2" s="574"/>
      <c r="BR2" s="574"/>
      <c r="BS2" s="574"/>
      <c r="BT2" s="574"/>
      <c r="BU2" s="574"/>
      <c r="BV2" s="574"/>
      <c r="BW2" s="574"/>
      <c r="BX2" s="574"/>
      <c r="BY2" s="574"/>
      <c r="BZ2" s="574"/>
      <c r="CA2" s="574"/>
      <c r="CB2" s="574"/>
      <c r="CC2" s="574"/>
      <c r="CD2" s="574"/>
      <c r="CE2" s="574"/>
      <c r="CF2" s="574"/>
      <c r="CG2" s="574"/>
      <c r="CH2" s="574"/>
      <c r="CI2" s="574"/>
      <c r="CJ2" s="574"/>
      <c r="CK2" s="574"/>
      <c r="CL2" s="574"/>
      <c r="CM2" s="574"/>
      <c r="CN2" s="574"/>
      <c r="CO2" s="574"/>
      <c r="CP2" s="574"/>
      <c r="CQ2" s="574"/>
      <c r="CR2" s="574"/>
      <c r="CS2" s="574"/>
      <c r="CT2" s="574"/>
      <c r="CU2" s="574"/>
      <c r="CV2" s="574"/>
      <c r="CW2" s="574"/>
      <c r="CX2" s="574"/>
      <c r="CY2" s="574"/>
      <c r="CZ2" s="574"/>
      <c r="DA2" s="574"/>
      <c r="DB2" s="574"/>
      <c r="DC2" s="574"/>
      <c r="DD2" s="574"/>
      <c r="DE2" s="574"/>
      <c r="DF2" s="574"/>
      <c r="DG2" s="574"/>
      <c r="DH2" s="574"/>
      <c r="DI2" s="574"/>
      <c r="DJ2" s="574"/>
      <c r="DK2" s="574"/>
      <c r="DL2" s="574"/>
      <c r="DM2" s="574"/>
      <c r="DN2" s="574"/>
      <c r="DO2" s="574"/>
      <c r="DP2" s="574"/>
      <c r="DQ2" s="574"/>
      <c r="DR2" s="574"/>
      <c r="DS2" s="574"/>
      <c r="DT2" s="574"/>
      <c r="DU2" s="574"/>
      <c r="DV2" s="574"/>
      <c r="DW2" s="574"/>
      <c r="DX2" s="574"/>
      <c r="DY2" s="574"/>
      <c r="DZ2" s="574"/>
      <c r="EA2" s="574"/>
      <c r="EB2" s="574"/>
      <c r="EC2" s="574"/>
      <c r="ED2" s="574"/>
      <c r="EE2" s="574"/>
      <c r="EF2" s="574"/>
      <c r="EG2" s="574"/>
      <c r="EH2" s="574"/>
      <c r="EI2" s="574"/>
      <c r="EJ2" s="574"/>
      <c r="EK2" s="574"/>
      <c r="EL2" s="574"/>
      <c r="EM2" s="574"/>
      <c r="EN2" s="574"/>
      <c r="EO2" s="574"/>
      <c r="EP2" s="574"/>
      <c r="EQ2" s="574"/>
      <c r="ER2" s="574"/>
      <c r="ES2" s="574"/>
      <c r="ET2" s="574"/>
      <c r="EU2" s="574"/>
      <c r="EV2" s="574"/>
      <c r="EW2" s="574"/>
      <c r="EX2" s="574"/>
      <c r="EY2" s="574"/>
      <c r="EZ2" s="574"/>
      <c r="FA2" s="574"/>
      <c r="FB2" s="574"/>
      <c r="FC2" s="574"/>
      <c r="FD2" s="574"/>
      <c r="FE2" s="574"/>
      <c r="FF2" s="574"/>
      <c r="FG2" s="574"/>
      <c r="FH2" s="574"/>
      <c r="FI2" s="574"/>
      <c r="FJ2" s="574"/>
      <c r="FK2" s="574"/>
      <c r="FL2" s="574"/>
      <c r="FM2" s="574"/>
      <c r="FN2" s="574"/>
      <c r="FO2" s="574"/>
      <c r="FP2" s="574"/>
      <c r="FQ2" s="574"/>
      <c r="FR2" s="574"/>
      <c r="FS2" s="574"/>
      <c r="FT2" s="574"/>
      <c r="FU2" s="574"/>
      <c r="FV2" s="574"/>
      <c r="FW2" s="574"/>
      <c r="FX2" s="574"/>
      <c r="FY2" s="574"/>
      <c r="FZ2" s="574"/>
      <c r="GA2" s="574"/>
      <c r="GB2" s="574"/>
      <c r="GC2" s="574"/>
      <c r="GD2" s="574"/>
      <c r="GE2" s="574"/>
      <c r="GF2" s="574"/>
      <c r="GG2" s="574"/>
      <c r="GH2" s="574"/>
      <c r="GI2" s="574"/>
      <c r="GJ2" s="574"/>
      <c r="GK2" s="574"/>
      <c r="GL2" s="574"/>
      <c r="GM2" s="574"/>
      <c r="GN2" s="574"/>
      <c r="GO2" s="574"/>
      <c r="GP2" s="574"/>
      <c r="GQ2" s="574"/>
      <c r="GR2" s="574"/>
      <c r="GS2" s="574"/>
      <c r="GT2" s="574"/>
      <c r="GU2" s="574"/>
      <c r="GV2" s="574"/>
      <c r="GW2" s="574"/>
      <c r="GX2" s="574"/>
      <c r="GY2" s="574"/>
      <c r="GZ2" s="574"/>
      <c r="HA2" s="574"/>
      <c r="HB2" s="574"/>
      <c r="HC2" s="574"/>
      <c r="HD2" s="574"/>
      <c r="HE2" s="574"/>
      <c r="HF2" s="574"/>
      <c r="HG2" s="574"/>
      <c r="HH2" s="574"/>
      <c r="HI2" s="574"/>
      <c r="HJ2" s="574"/>
      <c r="HK2" s="574"/>
      <c r="HL2" s="574"/>
      <c r="HM2" s="574"/>
      <c r="HN2" s="574"/>
      <c r="HO2" s="574"/>
      <c r="HP2" s="574"/>
      <c r="HQ2" s="574"/>
      <c r="HR2" s="574"/>
      <c r="HS2" s="574"/>
      <c r="HT2" s="574"/>
      <c r="HU2" s="574"/>
      <c r="HV2" s="574"/>
      <c r="HW2" s="574"/>
      <c r="HX2" s="574"/>
      <c r="HY2" s="574"/>
      <c r="HZ2" s="574"/>
      <c r="IA2" s="574"/>
      <c r="IB2" s="574"/>
      <c r="IC2" s="574"/>
      <c r="ID2" s="574"/>
      <c r="IE2" s="574"/>
      <c r="IF2" s="574"/>
      <c r="IG2" s="574"/>
      <c r="IH2" s="574"/>
      <c r="II2" s="574"/>
      <c r="IJ2" s="574"/>
      <c r="IK2" s="574"/>
      <c r="IL2" s="35"/>
      <c r="IM2" s="35"/>
    </row>
    <row r="3" spans="1:247" s="7" customFormat="1" x14ac:dyDescent="0.2">
      <c r="A3" s="41">
        <v>0</v>
      </c>
      <c r="B3" s="41"/>
      <c r="C3" s="41">
        <v>109</v>
      </c>
      <c r="D3" s="41"/>
      <c r="E3" s="41" t="s">
        <v>307</v>
      </c>
      <c r="F3" s="41" t="s">
        <v>1805</v>
      </c>
      <c r="G3" s="575"/>
      <c r="H3" s="163" t="s">
        <v>1806</v>
      </c>
      <c r="I3" s="574"/>
      <c r="J3" s="574"/>
      <c r="K3" s="326"/>
      <c r="L3" s="574"/>
      <c r="M3" s="326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574"/>
      <c r="AJ3" s="574"/>
      <c r="AK3" s="574"/>
      <c r="AL3" s="574"/>
      <c r="AM3" s="574"/>
      <c r="AN3" s="574"/>
      <c r="AO3" s="574"/>
      <c r="AP3" s="574"/>
      <c r="AQ3" s="574"/>
      <c r="AR3" s="574"/>
      <c r="AS3" s="574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4"/>
      <c r="BO3" s="574"/>
      <c r="BP3" s="574"/>
      <c r="BQ3" s="574"/>
      <c r="BR3" s="574"/>
      <c r="BS3" s="574"/>
      <c r="BT3" s="574"/>
      <c r="BU3" s="574"/>
      <c r="BV3" s="574"/>
      <c r="BW3" s="574"/>
      <c r="BX3" s="574"/>
      <c r="BY3" s="574"/>
      <c r="BZ3" s="574"/>
      <c r="CA3" s="574"/>
      <c r="CB3" s="574"/>
      <c r="CC3" s="574"/>
      <c r="CD3" s="574"/>
      <c r="CE3" s="574"/>
      <c r="CF3" s="574"/>
      <c r="CG3" s="574"/>
      <c r="CH3" s="574"/>
      <c r="CI3" s="574"/>
      <c r="CJ3" s="574"/>
      <c r="CK3" s="574"/>
      <c r="CL3" s="574"/>
      <c r="CM3" s="574"/>
      <c r="CN3" s="574"/>
      <c r="CO3" s="574"/>
      <c r="CP3" s="574"/>
      <c r="CQ3" s="574"/>
      <c r="CR3" s="574"/>
      <c r="CS3" s="574"/>
      <c r="CT3" s="574"/>
      <c r="CU3" s="574"/>
      <c r="CV3" s="574"/>
      <c r="CW3" s="574"/>
      <c r="CX3" s="574"/>
      <c r="CY3" s="574"/>
      <c r="CZ3" s="574"/>
      <c r="DA3" s="574"/>
      <c r="DB3" s="574"/>
      <c r="DC3" s="574"/>
      <c r="DD3" s="574"/>
      <c r="DE3" s="574"/>
      <c r="DF3" s="574"/>
      <c r="DG3" s="574"/>
      <c r="DH3" s="574"/>
      <c r="DI3" s="574"/>
      <c r="DJ3" s="574"/>
      <c r="DK3" s="574"/>
      <c r="DL3" s="574"/>
      <c r="DM3" s="574"/>
      <c r="DN3" s="574"/>
      <c r="DO3" s="574"/>
      <c r="DP3" s="574"/>
      <c r="DQ3" s="574"/>
      <c r="DR3" s="574"/>
      <c r="DS3" s="574"/>
      <c r="DT3" s="574"/>
      <c r="DU3" s="574"/>
      <c r="DV3" s="574"/>
      <c r="DW3" s="574"/>
      <c r="DX3" s="574"/>
      <c r="DY3" s="574"/>
      <c r="DZ3" s="574"/>
      <c r="EA3" s="574"/>
      <c r="EB3" s="574"/>
      <c r="EC3" s="574"/>
      <c r="ED3" s="574"/>
      <c r="EE3" s="574"/>
      <c r="EF3" s="574"/>
      <c r="EG3" s="574"/>
      <c r="EH3" s="574"/>
      <c r="EI3" s="574"/>
      <c r="EJ3" s="574"/>
      <c r="EK3" s="574"/>
      <c r="EL3" s="574"/>
      <c r="EM3" s="574"/>
      <c r="EN3" s="574"/>
      <c r="EO3" s="574"/>
      <c r="EP3" s="574"/>
      <c r="EQ3" s="574"/>
      <c r="ER3" s="574"/>
      <c r="ES3" s="574"/>
      <c r="ET3" s="574"/>
      <c r="EU3" s="574"/>
      <c r="EV3" s="574"/>
      <c r="EW3" s="574"/>
      <c r="EX3" s="574"/>
      <c r="EY3" s="574"/>
      <c r="EZ3" s="574"/>
      <c r="FA3" s="574"/>
      <c r="FB3" s="574"/>
      <c r="FC3" s="574"/>
      <c r="FD3" s="574"/>
      <c r="FE3" s="574"/>
      <c r="FF3" s="574"/>
      <c r="FG3" s="574"/>
      <c r="FH3" s="574"/>
      <c r="FI3" s="574"/>
      <c r="FJ3" s="574"/>
      <c r="FK3" s="574"/>
      <c r="FL3" s="574"/>
      <c r="FM3" s="574"/>
      <c r="FN3" s="574"/>
      <c r="FO3" s="574"/>
      <c r="FP3" s="574"/>
      <c r="FQ3" s="574"/>
      <c r="FR3" s="574"/>
      <c r="FS3" s="574"/>
      <c r="FT3" s="574"/>
      <c r="FU3" s="574"/>
      <c r="FV3" s="574"/>
      <c r="FW3" s="574"/>
      <c r="FX3" s="574"/>
      <c r="FY3" s="574"/>
      <c r="FZ3" s="574"/>
      <c r="GA3" s="574"/>
      <c r="GB3" s="574"/>
      <c r="GC3" s="574"/>
      <c r="GD3" s="574"/>
      <c r="GE3" s="574"/>
      <c r="GF3" s="574"/>
      <c r="GG3" s="574"/>
      <c r="GH3" s="574"/>
      <c r="GI3" s="574"/>
      <c r="GJ3" s="574"/>
      <c r="GK3" s="574"/>
      <c r="GL3" s="574"/>
      <c r="GM3" s="574"/>
      <c r="GN3" s="574"/>
      <c r="GO3" s="574"/>
      <c r="GP3" s="574"/>
      <c r="GQ3" s="574"/>
      <c r="GR3" s="574"/>
      <c r="GS3" s="574"/>
      <c r="GT3" s="574"/>
      <c r="GU3" s="574"/>
      <c r="GV3" s="574"/>
      <c r="GW3" s="574"/>
      <c r="GX3" s="574"/>
      <c r="GY3" s="574"/>
      <c r="GZ3" s="574"/>
      <c r="HA3" s="574"/>
      <c r="HB3" s="574"/>
      <c r="HC3" s="574"/>
      <c r="HD3" s="574"/>
      <c r="HE3" s="574"/>
      <c r="HF3" s="574"/>
      <c r="HG3" s="574"/>
      <c r="HH3" s="574"/>
      <c r="HI3" s="574"/>
      <c r="HJ3" s="574"/>
      <c r="HK3" s="574"/>
      <c r="HL3" s="574"/>
      <c r="HM3" s="574"/>
      <c r="HN3" s="574"/>
      <c r="HO3" s="574"/>
      <c r="HP3" s="574"/>
      <c r="HQ3" s="574"/>
      <c r="HR3" s="574"/>
      <c r="HS3" s="574"/>
      <c r="HT3" s="574"/>
      <c r="HU3" s="574"/>
      <c r="HV3" s="574"/>
      <c r="HW3" s="574"/>
      <c r="HX3" s="574"/>
      <c r="HY3" s="574"/>
      <c r="HZ3" s="574"/>
      <c r="IA3" s="574"/>
      <c r="IB3" s="574"/>
      <c r="IC3" s="574"/>
      <c r="ID3" s="574"/>
      <c r="IE3" s="574"/>
      <c r="IF3" s="574"/>
      <c r="IG3" s="574"/>
      <c r="IH3" s="574"/>
      <c r="II3" s="574"/>
      <c r="IJ3" s="574"/>
      <c r="IK3" s="574"/>
      <c r="IL3" s="35"/>
      <c r="IM3" s="35"/>
    </row>
    <row r="4" spans="1:247" x14ac:dyDescent="0.2">
      <c r="A4" s="41">
        <v>0</v>
      </c>
      <c r="B4" s="41"/>
      <c r="C4" s="41">
        <v>110</v>
      </c>
      <c r="D4" s="41"/>
      <c r="E4" s="41" t="s">
        <v>307</v>
      </c>
      <c r="F4" s="41" t="s">
        <v>1805</v>
      </c>
      <c r="G4" s="575"/>
      <c r="H4" s="163" t="s">
        <v>1806</v>
      </c>
      <c r="I4" s="574"/>
      <c r="J4" s="574"/>
      <c r="K4" s="326"/>
      <c r="L4" s="574"/>
      <c r="M4" s="326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4"/>
      <c r="AA4" s="574"/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4"/>
      <c r="AY4" s="574"/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4"/>
      <c r="BK4" s="574"/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4"/>
      <c r="BW4" s="574"/>
      <c r="BX4" s="574"/>
      <c r="BY4" s="574"/>
      <c r="BZ4" s="574"/>
      <c r="CA4" s="574"/>
      <c r="CB4" s="574"/>
      <c r="CC4" s="574"/>
      <c r="CD4" s="574"/>
      <c r="CE4" s="574"/>
      <c r="CF4" s="574"/>
      <c r="CG4" s="574"/>
      <c r="CH4" s="574"/>
      <c r="CI4" s="574"/>
      <c r="CJ4" s="574"/>
      <c r="CK4" s="574"/>
      <c r="CL4" s="574"/>
      <c r="CM4" s="574"/>
      <c r="CN4" s="574"/>
      <c r="CO4" s="574"/>
      <c r="CP4" s="574"/>
      <c r="CQ4" s="574"/>
      <c r="CR4" s="574"/>
      <c r="CS4" s="574"/>
      <c r="CT4" s="574"/>
      <c r="CU4" s="574"/>
      <c r="CV4" s="574"/>
      <c r="CW4" s="574"/>
      <c r="CX4" s="574"/>
      <c r="CY4" s="574"/>
      <c r="CZ4" s="574"/>
      <c r="DA4" s="574"/>
      <c r="DB4" s="574"/>
      <c r="DC4" s="574"/>
      <c r="DD4" s="574"/>
      <c r="DE4" s="574"/>
      <c r="DF4" s="574"/>
      <c r="DG4" s="574"/>
      <c r="DH4" s="574"/>
      <c r="DI4" s="574"/>
      <c r="DJ4" s="574"/>
      <c r="DK4" s="574"/>
      <c r="DL4" s="574"/>
      <c r="DM4" s="574"/>
      <c r="DN4" s="574"/>
      <c r="DO4" s="574"/>
      <c r="DP4" s="574"/>
      <c r="DQ4" s="574"/>
      <c r="DR4" s="574"/>
      <c r="DS4" s="574"/>
      <c r="DT4" s="574"/>
      <c r="DU4" s="574"/>
      <c r="DV4" s="574"/>
      <c r="DW4" s="574"/>
      <c r="DX4" s="574"/>
      <c r="DY4" s="574"/>
      <c r="DZ4" s="574"/>
      <c r="EA4" s="574"/>
      <c r="EB4" s="574"/>
      <c r="EC4" s="574"/>
      <c r="ED4" s="574"/>
      <c r="EE4" s="574"/>
      <c r="EF4" s="574"/>
      <c r="EG4" s="574"/>
      <c r="EH4" s="574"/>
      <c r="EI4" s="574"/>
      <c r="EJ4" s="574"/>
      <c r="EK4" s="574"/>
      <c r="EL4" s="574"/>
      <c r="EM4" s="574"/>
      <c r="EN4" s="574"/>
      <c r="EO4" s="574"/>
      <c r="EP4" s="574"/>
      <c r="EQ4" s="574"/>
      <c r="ER4" s="574"/>
      <c r="ES4" s="574"/>
      <c r="ET4" s="574"/>
      <c r="EU4" s="574"/>
      <c r="EV4" s="574"/>
      <c r="EW4" s="574"/>
      <c r="EX4" s="574"/>
      <c r="EY4" s="574"/>
      <c r="EZ4" s="574"/>
      <c r="FA4" s="574"/>
      <c r="FB4" s="574"/>
      <c r="FC4" s="574"/>
      <c r="FD4" s="574"/>
      <c r="FE4" s="574"/>
      <c r="FF4" s="574"/>
      <c r="FG4" s="574"/>
      <c r="FH4" s="574"/>
      <c r="FI4" s="574"/>
      <c r="FJ4" s="574"/>
      <c r="FK4" s="574"/>
      <c r="FL4" s="574"/>
      <c r="FM4" s="574"/>
      <c r="FN4" s="574"/>
      <c r="FO4" s="574"/>
      <c r="FP4" s="574"/>
      <c r="FQ4" s="574"/>
      <c r="FR4" s="574"/>
      <c r="FS4" s="574"/>
      <c r="FT4" s="574"/>
      <c r="FU4" s="574"/>
      <c r="FV4" s="574"/>
      <c r="FW4" s="574"/>
      <c r="FX4" s="574"/>
      <c r="FY4" s="574"/>
      <c r="FZ4" s="574"/>
      <c r="GA4" s="574"/>
      <c r="GB4" s="574"/>
      <c r="GC4" s="574"/>
      <c r="GD4" s="574"/>
      <c r="GE4" s="574"/>
      <c r="GF4" s="574"/>
      <c r="GG4" s="574"/>
      <c r="GH4" s="574"/>
      <c r="GI4" s="574"/>
      <c r="GJ4" s="574"/>
      <c r="GK4" s="574"/>
      <c r="GL4" s="574"/>
      <c r="GM4" s="574"/>
      <c r="GN4" s="574"/>
      <c r="GO4" s="574"/>
      <c r="GP4" s="574"/>
      <c r="GQ4" s="574"/>
      <c r="GR4" s="574"/>
      <c r="GS4" s="574"/>
      <c r="GT4" s="574"/>
      <c r="GU4" s="574"/>
      <c r="GV4" s="574"/>
      <c r="GW4" s="574"/>
      <c r="GX4" s="574"/>
      <c r="GY4" s="574"/>
      <c r="GZ4" s="574"/>
      <c r="HA4" s="574"/>
      <c r="HB4" s="574"/>
      <c r="HC4" s="574"/>
      <c r="HD4" s="574"/>
      <c r="HE4" s="574"/>
      <c r="HF4" s="574"/>
      <c r="HG4" s="574"/>
      <c r="HH4" s="574"/>
      <c r="HI4" s="574"/>
      <c r="HJ4" s="574"/>
      <c r="HK4" s="574"/>
      <c r="HL4" s="574"/>
      <c r="HM4" s="574"/>
      <c r="HN4" s="574"/>
      <c r="HO4" s="574"/>
      <c r="HP4" s="574"/>
      <c r="HQ4" s="574"/>
      <c r="HR4" s="574"/>
      <c r="HS4" s="574"/>
      <c r="HT4" s="574"/>
      <c r="HU4" s="574"/>
      <c r="HV4" s="574"/>
      <c r="HW4" s="574"/>
      <c r="HX4" s="574"/>
      <c r="HY4" s="574"/>
      <c r="HZ4" s="574"/>
      <c r="IA4" s="574"/>
      <c r="IB4" s="574"/>
      <c r="IC4" s="574"/>
      <c r="ID4" s="574"/>
      <c r="IE4" s="574"/>
      <c r="IF4" s="574"/>
      <c r="IG4" s="574"/>
      <c r="IH4" s="574"/>
      <c r="II4" s="574"/>
      <c r="IJ4" s="574"/>
      <c r="IK4" s="574"/>
    </row>
    <row r="5" spans="1:247" x14ac:dyDescent="0.2">
      <c r="A5" s="41">
        <v>0</v>
      </c>
      <c r="B5" s="41"/>
      <c r="C5" s="41">
        <v>111</v>
      </c>
      <c r="D5" s="41"/>
      <c r="E5" s="41" t="s">
        <v>307</v>
      </c>
      <c r="F5" s="41" t="s">
        <v>1805</v>
      </c>
      <c r="G5" s="575"/>
      <c r="H5" s="163" t="s">
        <v>1806</v>
      </c>
      <c r="I5" s="574"/>
      <c r="J5" s="574"/>
      <c r="K5" s="326"/>
      <c r="L5" s="574"/>
      <c r="M5" s="326"/>
      <c r="N5" s="574"/>
      <c r="O5" s="574"/>
      <c r="P5" s="574"/>
      <c r="Q5" s="574"/>
      <c r="R5" s="574"/>
      <c r="S5" s="574"/>
      <c r="T5" s="574"/>
      <c r="U5" s="574"/>
      <c r="V5" s="574"/>
      <c r="W5" s="574"/>
      <c r="X5" s="574"/>
      <c r="Y5" s="574"/>
      <c r="Z5" s="574"/>
      <c r="AA5" s="574"/>
      <c r="AB5" s="574"/>
      <c r="AC5" s="574"/>
      <c r="AD5" s="574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574"/>
      <c r="AS5" s="574"/>
      <c r="AT5" s="574"/>
      <c r="AU5" s="574"/>
      <c r="AV5" s="574"/>
      <c r="AW5" s="574"/>
      <c r="AX5" s="574"/>
      <c r="AY5" s="574"/>
      <c r="AZ5" s="574"/>
      <c r="BA5" s="574"/>
      <c r="BB5" s="574"/>
      <c r="BC5" s="574"/>
      <c r="BD5" s="574"/>
      <c r="BE5" s="574"/>
      <c r="BF5" s="574"/>
      <c r="BG5" s="574"/>
      <c r="BH5" s="574"/>
      <c r="BI5" s="574"/>
      <c r="BJ5" s="574"/>
      <c r="BK5" s="574"/>
      <c r="BL5" s="574"/>
      <c r="BM5" s="574"/>
      <c r="BN5" s="574"/>
      <c r="BO5" s="574"/>
      <c r="BP5" s="574"/>
      <c r="BQ5" s="574"/>
      <c r="BR5" s="574"/>
      <c r="BS5" s="574"/>
      <c r="BT5" s="574"/>
      <c r="BU5" s="574"/>
      <c r="BV5" s="574"/>
      <c r="BW5" s="574"/>
      <c r="BX5" s="574"/>
      <c r="BY5" s="574"/>
      <c r="BZ5" s="574"/>
      <c r="CA5" s="574"/>
      <c r="CB5" s="574"/>
      <c r="CC5" s="574"/>
      <c r="CD5" s="574"/>
      <c r="CE5" s="574"/>
      <c r="CF5" s="574"/>
      <c r="CG5" s="574"/>
      <c r="CH5" s="574"/>
      <c r="CI5" s="574"/>
      <c r="CJ5" s="574"/>
      <c r="CK5" s="574"/>
      <c r="CL5" s="574"/>
      <c r="CM5" s="574"/>
      <c r="CN5" s="574"/>
      <c r="CO5" s="574"/>
      <c r="CP5" s="574"/>
      <c r="CQ5" s="574"/>
      <c r="CR5" s="574"/>
      <c r="CS5" s="574"/>
      <c r="CT5" s="574"/>
      <c r="CU5" s="574"/>
      <c r="CV5" s="574"/>
      <c r="CW5" s="574"/>
      <c r="CX5" s="574"/>
      <c r="CY5" s="574"/>
      <c r="CZ5" s="574"/>
      <c r="DA5" s="574"/>
      <c r="DB5" s="574"/>
      <c r="DC5" s="574"/>
      <c r="DD5" s="574"/>
      <c r="DE5" s="574"/>
      <c r="DF5" s="574"/>
      <c r="DG5" s="574"/>
      <c r="DH5" s="574"/>
      <c r="DI5" s="574"/>
      <c r="DJ5" s="574"/>
      <c r="DK5" s="574"/>
      <c r="DL5" s="574"/>
      <c r="DM5" s="574"/>
      <c r="DN5" s="574"/>
      <c r="DO5" s="574"/>
      <c r="DP5" s="574"/>
      <c r="DQ5" s="574"/>
      <c r="DR5" s="574"/>
      <c r="DS5" s="574"/>
      <c r="DT5" s="574"/>
      <c r="DU5" s="574"/>
      <c r="DV5" s="574"/>
      <c r="DW5" s="574"/>
      <c r="DX5" s="574"/>
      <c r="DY5" s="574"/>
      <c r="DZ5" s="574"/>
      <c r="EA5" s="574"/>
      <c r="EB5" s="574"/>
      <c r="EC5" s="574"/>
      <c r="ED5" s="574"/>
      <c r="EE5" s="574"/>
      <c r="EF5" s="574"/>
      <c r="EG5" s="574"/>
      <c r="EH5" s="574"/>
      <c r="EI5" s="574"/>
      <c r="EJ5" s="574"/>
      <c r="EK5" s="574"/>
      <c r="EL5" s="574"/>
      <c r="EM5" s="574"/>
      <c r="EN5" s="574"/>
      <c r="EO5" s="574"/>
      <c r="EP5" s="574"/>
      <c r="EQ5" s="574"/>
      <c r="ER5" s="574"/>
      <c r="ES5" s="574"/>
      <c r="ET5" s="574"/>
      <c r="EU5" s="574"/>
      <c r="EV5" s="574"/>
      <c r="EW5" s="574"/>
      <c r="EX5" s="574"/>
      <c r="EY5" s="574"/>
      <c r="EZ5" s="574"/>
      <c r="FA5" s="574"/>
      <c r="FB5" s="574"/>
      <c r="FC5" s="574"/>
      <c r="FD5" s="574"/>
      <c r="FE5" s="574"/>
      <c r="FF5" s="574"/>
      <c r="FG5" s="574"/>
      <c r="FH5" s="574"/>
      <c r="FI5" s="574"/>
      <c r="FJ5" s="574"/>
      <c r="FK5" s="574"/>
      <c r="FL5" s="574"/>
      <c r="FM5" s="574"/>
      <c r="FN5" s="574"/>
      <c r="FO5" s="574"/>
      <c r="FP5" s="574"/>
      <c r="FQ5" s="574"/>
      <c r="FR5" s="574"/>
      <c r="FS5" s="574"/>
      <c r="FT5" s="574"/>
      <c r="FU5" s="574"/>
      <c r="FV5" s="574"/>
      <c r="FW5" s="574"/>
      <c r="FX5" s="574"/>
      <c r="FY5" s="574"/>
      <c r="FZ5" s="574"/>
      <c r="GA5" s="574"/>
      <c r="GB5" s="574"/>
      <c r="GC5" s="574"/>
      <c r="GD5" s="574"/>
      <c r="GE5" s="574"/>
      <c r="GF5" s="574"/>
      <c r="GG5" s="574"/>
      <c r="GH5" s="574"/>
      <c r="GI5" s="574"/>
      <c r="GJ5" s="574"/>
      <c r="GK5" s="574"/>
      <c r="GL5" s="574"/>
      <c r="GM5" s="574"/>
      <c r="GN5" s="574"/>
      <c r="GO5" s="574"/>
      <c r="GP5" s="574"/>
      <c r="GQ5" s="574"/>
      <c r="GR5" s="574"/>
      <c r="GS5" s="574"/>
      <c r="GT5" s="574"/>
      <c r="GU5" s="574"/>
      <c r="GV5" s="574"/>
      <c r="GW5" s="574"/>
      <c r="GX5" s="574"/>
      <c r="GY5" s="574"/>
      <c r="GZ5" s="574"/>
      <c r="HA5" s="574"/>
      <c r="HB5" s="574"/>
      <c r="HC5" s="574"/>
      <c r="HD5" s="574"/>
      <c r="HE5" s="574"/>
      <c r="HF5" s="574"/>
      <c r="HG5" s="574"/>
      <c r="HH5" s="574"/>
      <c r="HI5" s="574"/>
      <c r="HJ5" s="574"/>
      <c r="HK5" s="574"/>
      <c r="HL5" s="574"/>
      <c r="HM5" s="574"/>
      <c r="HN5" s="574"/>
      <c r="HO5" s="574"/>
      <c r="HP5" s="574"/>
      <c r="HQ5" s="574"/>
      <c r="HR5" s="574"/>
      <c r="HS5" s="574"/>
      <c r="HT5" s="574"/>
      <c r="HU5" s="574"/>
      <c r="HV5" s="574"/>
      <c r="HW5" s="574"/>
      <c r="HX5" s="574"/>
      <c r="HY5" s="574"/>
      <c r="HZ5" s="574"/>
      <c r="IA5" s="574"/>
      <c r="IB5" s="574"/>
      <c r="IC5" s="574"/>
      <c r="ID5" s="574"/>
      <c r="IE5" s="574"/>
      <c r="IF5" s="574"/>
      <c r="IG5" s="574"/>
      <c r="IH5" s="574"/>
      <c r="II5" s="574"/>
      <c r="IJ5" s="574"/>
      <c r="IK5" s="574"/>
    </row>
    <row r="6" spans="1:247" x14ac:dyDescent="0.2">
      <c r="A6" s="41">
        <v>0</v>
      </c>
      <c r="B6" s="41"/>
      <c r="C6" s="41">
        <v>124</v>
      </c>
      <c r="D6" s="41"/>
      <c r="E6" s="41" t="s">
        <v>67</v>
      </c>
      <c r="F6" s="41" t="s">
        <v>1805</v>
      </c>
      <c r="G6" s="575"/>
      <c r="H6" s="163" t="s">
        <v>1806</v>
      </c>
      <c r="I6" s="574"/>
      <c r="J6" s="574"/>
      <c r="K6" s="326"/>
      <c r="L6" s="574"/>
      <c r="M6" s="326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B6" s="574"/>
      <c r="AC6" s="574"/>
      <c r="AD6" s="574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4"/>
      <c r="AX6" s="574"/>
      <c r="AY6" s="574"/>
      <c r="AZ6" s="574"/>
      <c r="BA6" s="574"/>
      <c r="BB6" s="574"/>
      <c r="BC6" s="574"/>
      <c r="BD6" s="574"/>
      <c r="BE6" s="574"/>
      <c r="BF6" s="574"/>
      <c r="BG6" s="574"/>
      <c r="BH6" s="574"/>
      <c r="BI6" s="574"/>
      <c r="BJ6" s="574"/>
      <c r="BK6" s="574"/>
      <c r="BL6" s="574"/>
      <c r="BM6" s="574"/>
      <c r="BN6" s="574"/>
      <c r="BO6" s="574"/>
      <c r="BP6" s="574"/>
      <c r="BQ6" s="574"/>
      <c r="BR6" s="574"/>
      <c r="BS6" s="574"/>
      <c r="BT6" s="574"/>
      <c r="BU6" s="574"/>
      <c r="BV6" s="574"/>
      <c r="BW6" s="574"/>
      <c r="BX6" s="574"/>
      <c r="BY6" s="574"/>
      <c r="BZ6" s="574"/>
      <c r="CA6" s="574"/>
      <c r="CB6" s="574"/>
      <c r="CC6" s="574"/>
      <c r="CD6" s="574"/>
      <c r="CE6" s="574"/>
      <c r="CF6" s="574"/>
      <c r="CG6" s="574"/>
      <c r="CH6" s="574"/>
      <c r="CI6" s="574"/>
      <c r="CJ6" s="574"/>
      <c r="CK6" s="574"/>
      <c r="CL6" s="574"/>
      <c r="CM6" s="574"/>
      <c r="CN6" s="574"/>
      <c r="CO6" s="574"/>
      <c r="CP6" s="574"/>
      <c r="CQ6" s="574"/>
      <c r="CR6" s="574"/>
      <c r="CS6" s="574"/>
      <c r="CT6" s="574"/>
      <c r="CU6" s="574"/>
      <c r="CV6" s="574"/>
      <c r="CW6" s="574"/>
      <c r="CX6" s="574"/>
      <c r="CY6" s="574"/>
      <c r="CZ6" s="574"/>
      <c r="DA6" s="574"/>
      <c r="DB6" s="574"/>
      <c r="DC6" s="574"/>
      <c r="DD6" s="574"/>
      <c r="DE6" s="574"/>
      <c r="DF6" s="574"/>
      <c r="DG6" s="574"/>
      <c r="DH6" s="574"/>
      <c r="DI6" s="574"/>
      <c r="DJ6" s="574"/>
      <c r="DK6" s="574"/>
      <c r="DL6" s="574"/>
      <c r="DM6" s="574"/>
      <c r="DN6" s="574"/>
      <c r="DO6" s="574"/>
      <c r="DP6" s="574"/>
      <c r="DQ6" s="574"/>
      <c r="DR6" s="574"/>
      <c r="DS6" s="574"/>
      <c r="DT6" s="574"/>
      <c r="DU6" s="574"/>
      <c r="DV6" s="574"/>
      <c r="DW6" s="574"/>
      <c r="DX6" s="574"/>
      <c r="DY6" s="574"/>
      <c r="DZ6" s="574"/>
      <c r="EA6" s="574"/>
      <c r="EB6" s="574"/>
      <c r="EC6" s="574"/>
      <c r="ED6" s="574"/>
      <c r="EE6" s="574"/>
      <c r="EF6" s="574"/>
      <c r="EG6" s="574"/>
      <c r="EH6" s="574"/>
      <c r="EI6" s="574"/>
      <c r="EJ6" s="574"/>
      <c r="EK6" s="574"/>
      <c r="EL6" s="574"/>
      <c r="EM6" s="574"/>
      <c r="EN6" s="574"/>
      <c r="EO6" s="574"/>
      <c r="EP6" s="574"/>
      <c r="EQ6" s="574"/>
      <c r="ER6" s="574"/>
      <c r="ES6" s="574"/>
      <c r="ET6" s="574"/>
      <c r="EU6" s="574"/>
      <c r="EV6" s="574"/>
      <c r="EW6" s="574"/>
      <c r="EX6" s="574"/>
      <c r="EY6" s="574"/>
      <c r="EZ6" s="574"/>
      <c r="FA6" s="574"/>
      <c r="FB6" s="574"/>
      <c r="FC6" s="574"/>
      <c r="FD6" s="574"/>
      <c r="FE6" s="574"/>
      <c r="FF6" s="574"/>
      <c r="FG6" s="574"/>
      <c r="FH6" s="574"/>
      <c r="FI6" s="574"/>
      <c r="FJ6" s="574"/>
      <c r="FK6" s="574"/>
      <c r="FL6" s="574"/>
      <c r="FM6" s="574"/>
      <c r="FN6" s="574"/>
      <c r="FO6" s="574"/>
      <c r="FP6" s="574"/>
      <c r="FQ6" s="574"/>
      <c r="FR6" s="574"/>
      <c r="FS6" s="574"/>
      <c r="FT6" s="574"/>
      <c r="FU6" s="574"/>
      <c r="FV6" s="574"/>
      <c r="FW6" s="574"/>
      <c r="FX6" s="574"/>
      <c r="FY6" s="574"/>
      <c r="FZ6" s="574"/>
      <c r="GA6" s="574"/>
      <c r="GB6" s="574"/>
      <c r="GC6" s="574"/>
      <c r="GD6" s="574"/>
      <c r="GE6" s="574"/>
      <c r="GF6" s="574"/>
      <c r="GG6" s="574"/>
      <c r="GH6" s="574"/>
      <c r="GI6" s="574"/>
      <c r="GJ6" s="574"/>
      <c r="GK6" s="574"/>
      <c r="GL6" s="574"/>
      <c r="GM6" s="574"/>
      <c r="GN6" s="574"/>
      <c r="GO6" s="574"/>
      <c r="GP6" s="574"/>
      <c r="GQ6" s="574"/>
      <c r="GR6" s="574"/>
      <c r="GS6" s="574"/>
      <c r="GT6" s="574"/>
      <c r="GU6" s="574"/>
      <c r="GV6" s="574"/>
      <c r="GW6" s="574"/>
      <c r="GX6" s="574"/>
      <c r="GY6" s="574"/>
      <c r="GZ6" s="574"/>
      <c r="HA6" s="574"/>
      <c r="HB6" s="574"/>
      <c r="HC6" s="574"/>
      <c r="HD6" s="574"/>
      <c r="HE6" s="574"/>
      <c r="HF6" s="574"/>
      <c r="HG6" s="574"/>
      <c r="HH6" s="574"/>
      <c r="HI6" s="574"/>
      <c r="HJ6" s="574"/>
      <c r="HK6" s="574"/>
      <c r="HL6" s="574"/>
      <c r="HM6" s="574"/>
      <c r="HN6" s="574"/>
      <c r="HO6" s="574"/>
      <c r="HP6" s="574"/>
      <c r="HQ6" s="574"/>
      <c r="HR6" s="574"/>
      <c r="HS6" s="574"/>
      <c r="HT6" s="574"/>
      <c r="HU6" s="574"/>
      <c r="HV6" s="574"/>
      <c r="HW6" s="574"/>
      <c r="HX6" s="574"/>
      <c r="HY6" s="574"/>
      <c r="HZ6" s="574"/>
      <c r="IA6" s="574"/>
      <c r="IB6" s="574"/>
      <c r="IC6" s="574"/>
      <c r="ID6" s="574"/>
      <c r="IE6" s="574"/>
      <c r="IF6" s="574"/>
      <c r="IG6" s="574"/>
      <c r="IH6" s="574"/>
      <c r="II6" s="574"/>
      <c r="IJ6" s="574"/>
      <c r="IK6" s="574"/>
    </row>
    <row r="7" spans="1:247" x14ac:dyDescent="0.2">
      <c r="A7" s="41">
        <v>0</v>
      </c>
      <c r="B7" s="41"/>
      <c r="C7" s="41">
        <v>125</v>
      </c>
      <c r="D7" s="41"/>
      <c r="E7" s="41" t="s">
        <v>67</v>
      </c>
      <c r="F7" s="41" t="s">
        <v>1805</v>
      </c>
      <c r="G7" s="575"/>
      <c r="H7" s="163" t="s">
        <v>1806</v>
      </c>
      <c r="I7" s="574"/>
      <c r="J7" s="574"/>
      <c r="K7" s="326"/>
      <c r="L7" s="574"/>
      <c r="M7" s="326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 s="574"/>
      <c r="AA7" s="574"/>
      <c r="AB7" s="574"/>
      <c r="AC7" s="574"/>
      <c r="AD7" s="574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4"/>
      <c r="AX7" s="574"/>
      <c r="AY7" s="574"/>
      <c r="AZ7" s="574"/>
      <c r="BA7" s="574"/>
      <c r="BB7" s="574"/>
      <c r="BC7" s="574"/>
      <c r="BD7" s="574"/>
      <c r="BE7" s="574"/>
      <c r="BF7" s="574"/>
      <c r="BG7" s="574"/>
      <c r="BH7" s="574"/>
      <c r="BI7" s="574"/>
      <c r="BJ7" s="574"/>
      <c r="BK7" s="574"/>
      <c r="BL7" s="574"/>
      <c r="BM7" s="574"/>
      <c r="BN7" s="574"/>
      <c r="BO7" s="574"/>
      <c r="BP7" s="574"/>
      <c r="BQ7" s="574"/>
      <c r="BR7" s="574"/>
      <c r="BS7" s="574"/>
      <c r="BT7" s="574"/>
      <c r="BU7" s="574"/>
      <c r="BV7" s="574"/>
      <c r="BW7" s="574"/>
      <c r="BX7" s="574"/>
      <c r="BY7" s="574"/>
      <c r="BZ7" s="574"/>
      <c r="CA7" s="574"/>
      <c r="CB7" s="574"/>
      <c r="CC7" s="574"/>
      <c r="CD7" s="574"/>
      <c r="CE7" s="574"/>
      <c r="CF7" s="574"/>
      <c r="CG7" s="574"/>
      <c r="CH7" s="574"/>
      <c r="CI7" s="574"/>
      <c r="CJ7" s="574"/>
      <c r="CK7" s="574"/>
      <c r="CL7" s="574"/>
      <c r="CM7" s="574"/>
      <c r="CN7" s="574"/>
      <c r="CO7" s="574"/>
      <c r="CP7" s="574"/>
      <c r="CQ7" s="574"/>
      <c r="CR7" s="574"/>
      <c r="CS7" s="574"/>
      <c r="CT7" s="574"/>
      <c r="CU7" s="574"/>
      <c r="CV7" s="574"/>
      <c r="CW7" s="574"/>
      <c r="CX7" s="574"/>
      <c r="CY7" s="574"/>
      <c r="CZ7" s="574"/>
      <c r="DA7" s="574"/>
      <c r="DB7" s="574"/>
      <c r="DC7" s="574"/>
      <c r="DD7" s="574"/>
      <c r="DE7" s="574"/>
      <c r="DF7" s="574"/>
      <c r="DG7" s="574"/>
      <c r="DH7" s="574"/>
      <c r="DI7" s="574"/>
      <c r="DJ7" s="574"/>
      <c r="DK7" s="574"/>
      <c r="DL7" s="574"/>
      <c r="DM7" s="574"/>
      <c r="DN7" s="574"/>
      <c r="DO7" s="574"/>
      <c r="DP7" s="574"/>
      <c r="DQ7" s="574"/>
      <c r="DR7" s="574"/>
      <c r="DS7" s="574"/>
      <c r="DT7" s="574"/>
      <c r="DU7" s="574"/>
      <c r="DV7" s="574"/>
      <c r="DW7" s="574"/>
      <c r="DX7" s="574"/>
      <c r="DY7" s="574"/>
      <c r="DZ7" s="574"/>
      <c r="EA7" s="574"/>
      <c r="EB7" s="574"/>
      <c r="EC7" s="574"/>
      <c r="ED7" s="574"/>
      <c r="EE7" s="574"/>
      <c r="EF7" s="574"/>
      <c r="EG7" s="574"/>
      <c r="EH7" s="574"/>
      <c r="EI7" s="574"/>
      <c r="EJ7" s="574"/>
      <c r="EK7" s="574"/>
      <c r="EL7" s="574"/>
      <c r="EM7" s="574"/>
      <c r="EN7" s="574"/>
      <c r="EO7" s="574"/>
      <c r="EP7" s="574"/>
      <c r="EQ7" s="574"/>
      <c r="ER7" s="574"/>
      <c r="ES7" s="574"/>
      <c r="ET7" s="574"/>
      <c r="EU7" s="574"/>
      <c r="EV7" s="574"/>
      <c r="EW7" s="574"/>
      <c r="EX7" s="574"/>
      <c r="EY7" s="574"/>
      <c r="EZ7" s="574"/>
      <c r="FA7" s="574"/>
      <c r="FB7" s="574"/>
      <c r="FC7" s="574"/>
      <c r="FD7" s="574"/>
      <c r="FE7" s="574"/>
      <c r="FF7" s="574"/>
      <c r="FG7" s="574"/>
      <c r="FH7" s="574"/>
      <c r="FI7" s="574"/>
      <c r="FJ7" s="574"/>
      <c r="FK7" s="574"/>
      <c r="FL7" s="574"/>
      <c r="FM7" s="574"/>
      <c r="FN7" s="574"/>
      <c r="FO7" s="574"/>
      <c r="FP7" s="574"/>
      <c r="FQ7" s="574"/>
      <c r="FR7" s="574"/>
      <c r="FS7" s="574"/>
      <c r="FT7" s="574"/>
      <c r="FU7" s="574"/>
      <c r="FV7" s="574"/>
      <c r="FW7" s="574"/>
      <c r="FX7" s="574"/>
      <c r="FY7" s="574"/>
      <c r="FZ7" s="574"/>
      <c r="GA7" s="574"/>
      <c r="GB7" s="574"/>
      <c r="GC7" s="574"/>
      <c r="GD7" s="574"/>
      <c r="GE7" s="574"/>
      <c r="GF7" s="574"/>
      <c r="GG7" s="574"/>
      <c r="GH7" s="574"/>
      <c r="GI7" s="574"/>
      <c r="GJ7" s="574"/>
      <c r="GK7" s="574"/>
      <c r="GL7" s="574"/>
      <c r="GM7" s="574"/>
      <c r="GN7" s="574"/>
      <c r="GO7" s="574"/>
      <c r="GP7" s="574"/>
      <c r="GQ7" s="574"/>
      <c r="GR7" s="574"/>
      <c r="GS7" s="574"/>
      <c r="GT7" s="574"/>
      <c r="GU7" s="574"/>
      <c r="GV7" s="574"/>
      <c r="GW7" s="574"/>
      <c r="GX7" s="574"/>
      <c r="GY7" s="574"/>
      <c r="GZ7" s="574"/>
      <c r="HA7" s="574"/>
      <c r="HB7" s="574"/>
      <c r="HC7" s="574"/>
      <c r="HD7" s="574"/>
      <c r="HE7" s="574"/>
      <c r="HF7" s="574"/>
      <c r="HG7" s="574"/>
      <c r="HH7" s="574"/>
      <c r="HI7" s="574"/>
      <c r="HJ7" s="574"/>
      <c r="HK7" s="574"/>
      <c r="HL7" s="574"/>
      <c r="HM7" s="574"/>
      <c r="HN7" s="574"/>
      <c r="HO7" s="574"/>
      <c r="HP7" s="574"/>
      <c r="HQ7" s="574"/>
      <c r="HR7" s="574"/>
      <c r="HS7" s="574"/>
      <c r="HT7" s="574"/>
      <c r="HU7" s="574"/>
      <c r="HV7" s="574"/>
      <c r="HW7" s="574"/>
      <c r="HX7" s="574"/>
      <c r="HY7" s="574"/>
      <c r="HZ7" s="574"/>
      <c r="IA7" s="574"/>
      <c r="IB7" s="574"/>
      <c r="IC7" s="574"/>
      <c r="ID7" s="574"/>
      <c r="IE7" s="574"/>
      <c r="IF7" s="574"/>
      <c r="IG7" s="574"/>
      <c r="IH7" s="574"/>
      <c r="II7" s="574"/>
      <c r="IJ7" s="574"/>
      <c r="IK7" s="574"/>
    </row>
    <row r="8" spans="1:247" x14ac:dyDescent="0.2">
      <c r="A8" s="188">
        <v>2042</v>
      </c>
      <c r="B8" s="109" t="s">
        <v>1807</v>
      </c>
      <c r="C8" s="109" t="s">
        <v>1808</v>
      </c>
      <c r="D8" s="36" t="s">
        <v>1809</v>
      </c>
      <c r="E8" s="41" t="s">
        <v>118</v>
      </c>
      <c r="F8" s="41" t="s">
        <v>1810</v>
      </c>
      <c r="G8" s="36"/>
      <c r="H8" s="41" t="s">
        <v>1811</v>
      </c>
    </row>
    <row r="9" spans="1:247" x14ac:dyDescent="0.2">
      <c r="A9" s="188">
        <v>2174</v>
      </c>
      <c r="B9" s="109" t="s">
        <v>1807</v>
      </c>
      <c r="C9" s="109" t="s">
        <v>1812</v>
      </c>
      <c r="D9" s="36" t="s">
        <v>51</v>
      </c>
      <c r="E9" s="41"/>
      <c r="F9" s="41" t="s">
        <v>1810</v>
      </c>
      <c r="G9" s="36"/>
      <c r="H9" s="41" t="s">
        <v>1811</v>
      </c>
    </row>
    <row r="10" spans="1:247" ht="12" customHeight="1" x14ac:dyDescent="0.2">
      <c r="A10" s="576">
        <v>2181</v>
      </c>
      <c r="B10" s="577" t="s">
        <v>1813</v>
      </c>
      <c r="C10" s="577" t="s">
        <v>1814</v>
      </c>
      <c r="D10" s="577" t="s">
        <v>51</v>
      </c>
      <c r="E10" s="578"/>
      <c r="F10" s="577" t="s">
        <v>1815</v>
      </c>
      <c r="G10" s="36" t="s">
        <v>1816</v>
      </c>
      <c r="H10" s="577" t="s">
        <v>1817</v>
      </c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79"/>
      <c r="V10" s="579"/>
      <c r="W10" s="579"/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79"/>
      <c r="AK10" s="579"/>
      <c r="AL10" s="579"/>
      <c r="AM10" s="579"/>
      <c r="AN10" s="579"/>
      <c r="AO10" s="579"/>
      <c r="AP10" s="579"/>
      <c r="AQ10" s="579"/>
      <c r="AR10" s="579"/>
      <c r="AS10" s="579"/>
      <c r="AT10" s="579"/>
      <c r="AU10" s="579"/>
      <c r="AV10" s="579"/>
      <c r="AW10" s="579"/>
      <c r="AX10" s="579"/>
      <c r="AY10" s="579"/>
      <c r="AZ10" s="579"/>
      <c r="BA10" s="579"/>
      <c r="BB10" s="579"/>
      <c r="BC10" s="579"/>
      <c r="BD10" s="579"/>
      <c r="BE10" s="579"/>
      <c r="BF10" s="579"/>
      <c r="BG10" s="579"/>
      <c r="BH10" s="579"/>
      <c r="BI10" s="579"/>
      <c r="BJ10" s="579"/>
      <c r="BK10" s="579"/>
      <c r="BL10" s="579"/>
      <c r="BM10" s="579"/>
      <c r="BN10" s="579"/>
      <c r="BO10" s="579"/>
      <c r="BP10" s="579"/>
      <c r="BQ10" s="579"/>
      <c r="BR10" s="579"/>
      <c r="BS10" s="579"/>
      <c r="BT10" s="579"/>
      <c r="BU10" s="579"/>
      <c r="BV10" s="579"/>
      <c r="BW10" s="579"/>
      <c r="BX10" s="579"/>
      <c r="BY10" s="579"/>
      <c r="BZ10" s="579"/>
      <c r="CA10" s="579"/>
      <c r="CB10" s="579"/>
      <c r="CC10" s="579"/>
      <c r="CD10" s="579"/>
      <c r="CE10" s="579"/>
      <c r="CF10" s="579"/>
      <c r="CG10" s="579"/>
      <c r="CH10" s="579"/>
      <c r="CI10" s="579"/>
      <c r="CJ10" s="579"/>
      <c r="CK10" s="579"/>
      <c r="CL10" s="579"/>
      <c r="CM10" s="579"/>
      <c r="CN10" s="579"/>
      <c r="CO10" s="579"/>
      <c r="CP10" s="579"/>
      <c r="CQ10" s="579"/>
      <c r="CR10" s="579"/>
      <c r="CS10" s="579"/>
      <c r="CT10" s="579"/>
      <c r="CU10" s="579"/>
      <c r="CV10" s="579"/>
      <c r="CW10" s="579"/>
      <c r="CX10" s="579"/>
      <c r="CY10" s="579"/>
      <c r="CZ10" s="579"/>
      <c r="DA10" s="579"/>
      <c r="DB10" s="579"/>
      <c r="DC10" s="579"/>
      <c r="DD10" s="579"/>
      <c r="DE10" s="579"/>
      <c r="DF10" s="579"/>
      <c r="DG10" s="579"/>
      <c r="DH10" s="579"/>
      <c r="DI10" s="579"/>
      <c r="DJ10" s="579"/>
      <c r="DK10" s="579"/>
      <c r="DL10" s="579"/>
      <c r="DM10" s="579"/>
      <c r="DN10" s="579"/>
      <c r="DO10" s="579"/>
      <c r="DP10" s="579"/>
      <c r="DQ10" s="579"/>
      <c r="DR10" s="579"/>
      <c r="DS10" s="579"/>
      <c r="DT10" s="579"/>
      <c r="DU10" s="579"/>
      <c r="DV10" s="579"/>
      <c r="DW10" s="579"/>
      <c r="DX10" s="579"/>
      <c r="DY10" s="579"/>
      <c r="DZ10" s="579"/>
      <c r="EA10" s="579"/>
      <c r="EB10" s="579"/>
      <c r="EC10" s="579"/>
      <c r="ED10" s="579"/>
      <c r="EE10" s="579"/>
      <c r="EF10" s="579"/>
      <c r="EG10" s="579"/>
      <c r="EH10" s="579"/>
      <c r="EI10" s="579"/>
      <c r="EJ10" s="579"/>
      <c r="EK10" s="579"/>
      <c r="EL10" s="579"/>
      <c r="EM10" s="579"/>
      <c r="EN10" s="579"/>
      <c r="EO10" s="579"/>
      <c r="EP10" s="579"/>
      <c r="EQ10" s="579"/>
      <c r="ER10" s="579"/>
      <c r="ES10" s="579"/>
      <c r="ET10" s="579"/>
      <c r="EU10" s="579"/>
      <c r="EV10" s="579"/>
      <c r="EW10" s="579"/>
      <c r="EX10" s="579"/>
      <c r="EY10" s="579"/>
      <c r="EZ10" s="579"/>
      <c r="FA10" s="579"/>
      <c r="FB10" s="579"/>
      <c r="FC10" s="579"/>
      <c r="FD10" s="579"/>
      <c r="FE10" s="579"/>
      <c r="FF10" s="579"/>
      <c r="FG10" s="579"/>
      <c r="FH10" s="579"/>
      <c r="FI10" s="579"/>
      <c r="FJ10" s="579"/>
      <c r="FK10" s="579"/>
      <c r="FL10" s="579"/>
      <c r="FM10" s="579"/>
      <c r="FN10" s="579"/>
      <c r="FO10" s="579"/>
      <c r="FP10" s="579"/>
      <c r="FQ10" s="579"/>
      <c r="FR10" s="579"/>
      <c r="FS10" s="579"/>
      <c r="FT10" s="579"/>
      <c r="FU10" s="579"/>
      <c r="FV10" s="579"/>
      <c r="FW10" s="579"/>
      <c r="FX10" s="579"/>
      <c r="FY10" s="579"/>
      <c r="FZ10" s="579"/>
      <c r="GA10" s="579"/>
      <c r="GB10" s="579"/>
      <c r="GC10" s="579"/>
      <c r="GD10" s="579"/>
      <c r="GE10" s="579"/>
      <c r="GF10" s="579"/>
      <c r="GG10" s="579"/>
      <c r="GH10" s="579"/>
      <c r="GI10" s="579"/>
      <c r="GJ10" s="579"/>
      <c r="GK10" s="579"/>
      <c r="GL10" s="579"/>
      <c r="GM10" s="579"/>
      <c r="GN10" s="579"/>
      <c r="GO10" s="579"/>
      <c r="GP10" s="579"/>
      <c r="GQ10" s="579"/>
      <c r="GR10" s="579"/>
      <c r="GS10" s="579"/>
      <c r="GT10" s="579"/>
      <c r="GU10" s="579"/>
      <c r="GV10" s="579"/>
      <c r="GW10" s="579"/>
      <c r="GX10" s="579"/>
      <c r="GY10" s="579"/>
      <c r="GZ10" s="579"/>
      <c r="HA10" s="579"/>
      <c r="HB10" s="579"/>
      <c r="HC10" s="579"/>
      <c r="HD10" s="579"/>
      <c r="HE10" s="579"/>
      <c r="HF10" s="579"/>
      <c r="HG10" s="579"/>
      <c r="HH10" s="579"/>
      <c r="HI10" s="579"/>
      <c r="HJ10" s="579"/>
      <c r="HK10" s="579"/>
      <c r="HL10" s="579"/>
      <c r="HM10" s="579"/>
      <c r="HN10" s="579"/>
      <c r="HO10" s="579"/>
      <c r="HP10" s="579"/>
      <c r="HQ10" s="579"/>
      <c r="HR10" s="579"/>
      <c r="HS10" s="579"/>
      <c r="HT10" s="579"/>
      <c r="HU10" s="579"/>
      <c r="HV10" s="579"/>
      <c r="HW10" s="579"/>
      <c r="HX10" s="579"/>
      <c r="HY10" s="579"/>
      <c r="HZ10" s="579"/>
      <c r="IA10" s="579"/>
      <c r="IB10" s="579"/>
      <c r="IC10" s="579"/>
      <c r="ID10" s="579"/>
      <c r="IE10" s="579"/>
      <c r="IF10" s="579"/>
      <c r="IG10" s="579"/>
      <c r="IH10" s="579"/>
      <c r="II10" s="579"/>
      <c r="IJ10" s="579"/>
      <c r="IK10" s="579"/>
      <c r="IL10" s="579"/>
      <c r="IM10" s="579"/>
    </row>
    <row r="11" spans="1:247" x14ac:dyDescent="0.2">
      <c r="A11" s="188">
        <v>2253</v>
      </c>
      <c r="B11" s="109" t="s">
        <v>1818</v>
      </c>
      <c r="C11" s="109" t="s">
        <v>1819</v>
      </c>
      <c r="D11" s="36" t="s">
        <v>84</v>
      </c>
      <c r="E11" s="41" t="s">
        <v>89</v>
      </c>
      <c r="F11" s="41" t="s">
        <v>1810</v>
      </c>
      <c r="G11" s="36"/>
      <c r="H11" s="41" t="s">
        <v>1820</v>
      </c>
    </row>
    <row r="12" spans="1:247" x14ac:dyDescent="0.2">
      <c r="A12" s="576">
        <v>2481</v>
      </c>
      <c r="B12" s="577" t="s">
        <v>1813</v>
      </c>
      <c r="C12" s="577" t="s">
        <v>1821</v>
      </c>
      <c r="D12" s="577" t="s">
        <v>51</v>
      </c>
      <c r="E12" s="578"/>
      <c r="F12" s="577" t="s">
        <v>1815</v>
      </c>
      <c r="G12" s="577"/>
      <c r="H12" s="577" t="s">
        <v>1822</v>
      </c>
      <c r="I12" s="579"/>
      <c r="J12" s="579"/>
      <c r="K12" s="579"/>
      <c r="L12" s="579"/>
      <c r="M12" s="579"/>
      <c r="N12" s="579"/>
      <c r="O12" s="579"/>
      <c r="P12" s="579"/>
      <c r="Q12" s="579"/>
      <c r="R12" s="579"/>
      <c r="S12" s="579"/>
      <c r="T12" s="579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H12" s="579"/>
      <c r="AI12" s="579"/>
      <c r="AJ12" s="579"/>
      <c r="AK12" s="579"/>
      <c r="AL12" s="579"/>
      <c r="AM12" s="579"/>
      <c r="AN12" s="579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579"/>
      <c r="BJ12" s="579"/>
      <c r="BK12" s="579"/>
      <c r="BL12" s="579"/>
      <c r="BM12" s="579"/>
      <c r="BN12" s="579"/>
      <c r="BO12" s="579"/>
      <c r="BP12" s="579"/>
      <c r="BQ12" s="579"/>
      <c r="BR12" s="579"/>
      <c r="BS12" s="579"/>
      <c r="BT12" s="579"/>
      <c r="BU12" s="579"/>
      <c r="BV12" s="579"/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579"/>
      <c r="CU12" s="579"/>
      <c r="CV12" s="579"/>
      <c r="CW12" s="579"/>
      <c r="CX12" s="579"/>
      <c r="CY12" s="579"/>
      <c r="CZ12" s="579"/>
      <c r="DA12" s="579"/>
      <c r="DB12" s="579"/>
      <c r="DC12" s="579"/>
      <c r="DD12" s="579"/>
      <c r="DE12" s="579"/>
      <c r="DF12" s="579"/>
      <c r="DG12" s="579"/>
      <c r="DH12" s="579"/>
      <c r="DI12" s="579"/>
      <c r="DJ12" s="579"/>
      <c r="DK12" s="579"/>
      <c r="DL12" s="579"/>
      <c r="DM12" s="579"/>
      <c r="DN12" s="579"/>
      <c r="DO12" s="579"/>
      <c r="DP12" s="579"/>
      <c r="DQ12" s="579"/>
      <c r="DR12" s="579"/>
      <c r="DS12" s="579"/>
      <c r="DT12" s="579"/>
      <c r="DU12" s="579"/>
      <c r="DV12" s="579"/>
      <c r="DW12" s="579"/>
      <c r="DX12" s="579"/>
      <c r="DY12" s="579"/>
      <c r="DZ12" s="579"/>
      <c r="EA12" s="579"/>
      <c r="EB12" s="579"/>
      <c r="EC12" s="579"/>
      <c r="ED12" s="579"/>
      <c r="EE12" s="579"/>
      <c r="EF12" s="579"/>
      <c r="EG12" s="579"/>
      <c r="EH12" s="579"/>
      <c r="EI12" s="579"/>
      <c r="EJ12" s="579"/>
      <c r="EK12" s="579"/>
      <c r="EL12" s="579"/>
      <c r="EM12" s="579"/>
      <c r="EN12" s="579"/>
      <c r="EO12" s="579"/>
      <c r="EP12" s="579"/>
      <c r="EQ12" s="579"/>
      <c r="ER12" s="579"/>
      <c r="ES12" s="579"/>
      <c r="ET12" s="579"/>
      <c r="EU12" s="579"/>
      <c r="EV12" s="579"/>
      <c r="EW12" s="579"/>
      <c r="EX12" s="579"/>
      <c r="EY12" s="579"/>
      <c r="EZ12" s="579"/>
      <c r="FA12" s="579"/>
      <c r="FB12" s="579"/>
      <c r="FC12" s="579"/>
      <c r="FD12" s="579"/>
      <c r="FE12" s="579"/>
      <c r="FF12" s="579"/>
      <c r="FG12" s="579"/>
      <c r="FH12" s="579"/>
      <c r="FI12" s="579"/>
      <c r="FJ12" s="579"/>
      <c r="FK12" s="579"/>
      <c r="FL12" s="579"/>
      <c r="FM12" s="579"/>
      <c r="FN12" s="579"/>
      <c r="FO12" s="579"/>
      <c r="FP12" s="579"/>
      <c r="FQ12" s="579"/>
      <c r="FR12" s="579"/>
      <c r="FS12" s="579"/>
      <c r="FT12" s="579"/>
      <c r="FU12" s="579"/>
      <c r="FV12" s="579"/>
      <c r="FW12" s="579"/>
      <c r="FX12" s="579"/>
      <c r="FY12" s="579"/>
      <c r="FZ12" s="579"/>
      <c r="GA12" s="579"/>
      <c r="GB12" s="579"/>
      <c r="GC12" s="579"/>
      <c r="GD12" s="579"/>
      <c r="GE12" s="579"/>
      <c r="GF12" s="579"/>
      <c r="GG12" s="579"/>
      <c r="GH12" s="579"/>
      <c r="GI12" s="579"/>
      <c r="GJ12" s="579"/>
      <c r="GK12" s="579"/>
      <c r="GL12" s="579"/>
      <c r="GM12" s="579"/>
      <c r="GN12" s="579"/>
      <c r="GO12" s="579"/>
      <c r="GP12" s="579"/>
      <c r="GQ12" s="579"/>
      <c r="GR12" s="579"/>
      <c r="GS12" s="579"/>
      <c r="GT12" s="579"/>
      <c r="GU12" s="579"/>
      <c r="GV12" s="579"/>
      <c r="GW12" s="579"/>
      <c r="GX12" s="579"/>
      <c r="GY12" s="579"/>
      <c r="GZ12" s="579"/>
      <c r="HA12" s="579"/>
      <c r="HB12" s="579"/>
      <c r="HC12" s="579"/>
      <c r="HD12" s="579"/>
      <c r="HE12" s="579"/>
      <c r="HF12" s="579"/>
      <c r="HG12" s="579"/>
      <c r="HH12" s="579"/>
      <c r="HI12" s="579"/>
      <c r="HJ12" s="579"/>
      <c r="HK12" s="579"/>
      <c r="HL12" s="579"/>
      <c r="HM12" s="579"/>
      <c r="HN12" s="579"/>
      <c r="HO12" s="579"/>
      <c r="HP12" s="579"/>
      <c r="HQ12" s="579"/>
      <c r="HR12" s="579"/>
      <c r="HS12" s="579"/>
      <c r="HT12" s="579"/>
      <c r="HU12" s="579"/>
      <c r="HV12" s="579"/>
      <c r="HW12" s="579"/>
      <c r="HX12" s="579"/>
      <c r="HY12" s="579"/>
      <c r="HZ12" s="579"/>
      <c r="IA12" s="579"/>
      <c r="IB12" s="579"/>
      <c r="IC12" s="579"/>
      <c r="ID12" s="579"/>
      <c r="IE12" s="579"/>
      <c r="IF12" s="579"/>
      <c r="IG12" s="579"/>
      <c r="IH12" s="579"/>
      <c r="II12" s="579"/>
      <c r="IJ12" s="579"/>
      <c r="IK12" s="579"/>
      <c r="IL12" s="579"/>
      <c r="IM12" s="579"/>
    </row>
    <row r="13" spans="1:247" x14ac:dyDescent="0.2">
      <c r="A13" s="555">
        <v>2678</v>
      </c>
      <c r="B13" s="580" t="s">
        <v>1823</v>
      </c>
      <c r="C13" s="580" t="s">
        <v>1824</v>
      </c>
      <c r="D13" s="556" t="s">
        <v>1824</v>
      </c>
      <c r="E13" s="556" t="s">
        <v>208</v>
      </c>
      <c r="F13" s="581" t="s">
        <v>1825</v>
      </c>
      <c r="G13" s="582"/>
      <c r="H13" s="583" t="s">
        <v>59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</row>
    <row r="14" spans="1:247" x14ac:dyDescent="0.2">
      <c r="A14" s="555">
        <v>2679</v>
      </c>
      <c r="B14" s="580" t="s">
        <v>1826</v>
      </c>
      <c r="C14" s="580" t="s">
        <v>1827</v>
      </c>
      <c r="D14" s="556" t="s">
        <v>1824</v>
      </c>
      <c r="E14" s="556" t="s">
        <v>208</v>
      </c>
      <c r="F14" s="581" t="s">
        <v>1825</v>
      </c>
      <c r="G14" s="582"/>
      <c r="H14" s="583" t="s">
        <v>789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</row>
    <row r="15" spans="1:247" x14ac:dyDescent="0.2">
      <c r="A15" s="188">
        <v>2691</v>
      </c>
      <c r="B15" s="109" t="s">
        <v>1828</v>
      </c>
      <c r="C15" s="109" t="s">
        <v>1829</v>
      </c>
      <c r="D15" s="36" t="s">
        <v>84</v>
      </c>
      <c r="E15" s="41"/>
      <c r="F15" s="41" t="s">
        <v>1810</v>
      </c>
      <c r="G15" s="36"/>
      <c r="H15" s="41" t="s">
        <v>1830</v>
      </c>
    </row>
    <row r="16" spans="1:247" x14ac:dyDescent="0.2">
      <c r="A16" s="188">
        <v>2721</v>
      </c>
      <c r="B16" s="109" t="s">
        <v>1831</v>
      </c>
      <c r="C16" s="109" t="s">
        <v>1832</v>
      </c>
      <c r="D16" s="36" t="s">
        <v>84</v>
      </c>
      <c r="E16" s="41" t="s">
        <v>834</v>
      </c>
      <c r="F16" s="41" t="s">
        <v>1810</v>
      </c>
      <c r="G16" s="36"/>
      <c r="H16" s="41" t="s">
        <v>1830</v>
      </c>
    </row>
    <row r="17" spans="1:247" x14ac:dyDescent="0.2">
      <c r="A17" s="576">
        <v>2893</v>
      </c>
      <c r="B17" s="577" t="s">
        <v>1813</v>
      </c>
      <c r="C17" s="577" t="s">
        <v>1833</v>
      </c>
      <c r="D17" s="577" t="s">
        <v>51</v>
      </c>
      <c r="E17" s="41" t="s">
        <v>93</v>
      </c>
      <c r="F17" s="41" t="s">
        <v>1834</v>
      </c>
      <c r="G17" s="36"/>
      <c r="H17" s="41" t="s">
        <v>1835</v>
      </c>
    </row>
    <row r="18" spans="1:247" x14ac:dyDescent="0.2">
      <c r="A18" s="188">
        <v>3337</v>
      </c>
      <c r="B18" s="109" t="s">
        <v>1831</v>
      </c>
      <c r="C18" s="109" t="s">
        <v>1836</v>
      </c>
      <c r="D18" s="36" t="s">
        <v>84</v>
      </c>
      <c r="E18" s="41" t="s">
        <v>834</v>
      </c>
      <c r="F18" s="41" t="s">
        <v>1810</v>
      </c>
      <c r="G18" s="36"/>
      <c r="H18" s="41" t="s">
        <v>1830</v>
      </c>
    </row>
    <row r="19" spans="1:247" x14ac:dyDescent="0.2">
      <c r="A19" s="188">
        <v>3366</v>
      </c>
      <c r="B19" s="109" t="s">
        <v>1807</v>
      </c>
      <c r="C19" s="109" t="s">
        <v>1837</v>
      </c>
      <c r="D19" s="36" t="s">
        <v>51</v>
      </c>
      <c r="E19" s="41"/>
      <c r="F19" s="41" t="s">
        <v>1838</v>
      </c>
      <c r="G19" s="36"/>
      <c r="H19" s="41" t="s">
        <v>1830</v>
      </c>
    </row>
    <row r="20" spans="1:247" x14ac:dyDescent="0.2">
      <c r="A20" s="576">
        <v>3367</v>
      </c>
      <c r="B20" s="577" t="s">
        <v>1813</v>
      </c>
      <c r="C20" s="577" t="s">
        <v>1839</v>
      </c>
      <c r="D20" s="577" t="s">
        <v>51</v>
      </c>
      <c r="E20" s="578"/>
      <c r="F20" s="577" t="s">
        <v>1815</v>
      </c>
      <c r="G20" s="577"/>
      <c r="H20" s="577" t="s">
        <v>1822</v>
      </c>
      <c r="I20" s="579"/>
      <c r="J20" s="579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H20" s="579"/>
      <c r="AI20" s="579"/>
      <c r="AJ20" s="579"/>
      <c r="AK20" s="579"/>
      <c r="AL20" s="579"/>
      <c r="AM20" s="579"/>
      <c r="AN20" s="579"/>
      <c r="AO20" s="579"/>
      <c r="AP20" s="579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579"/>
      <c r="BJ20" s="579"/>
      <c r="BK20" s="579"/>
      <c r="BL20" s="579"/>
      <c r="BM20" s="579"/>
      <c r="BN20" s="579"/>
      <c r="BO20" s="579"/>
      <c r="BP20" s="579"/>
      <c r="BQ20" s="579"/>
      <c r="BR20" s="579"/>
      <c r="BS20" s="579"/>
      <c r="BT20" s="579"/>
      <c r="BU20" s="579"/>
      <c r="BV20" s="579"/>
      <c r="BW20" s="579"/>
      <c r="BX20" s="579"/>
      <c r="BY20" s="579"/>
      <c r="BZ20" s="579"/>
      <c r="CA20" s="579"/>
      <c r="CB20" s="579"/>
      <c r="CC20" s="579"/>
      <c r="CD20" s="579"/>
      <c r="CE20" s="579"/>
      <c r="CF20" s="579"/>
      <c r="CG20" s="579"/>
      <c r="CH20" s="579"/>
      <c r="CI20" s="579"/>
      <c r="CJ20" s="579"/>
      <c r="CK20" s="579"/>
      <c r="CL20" s="579"/>
      <c r="CM20" s="579"/>
      <c r="CN20" s="579"/>
      <c r="CO20" s="579"/>
      <c r="CP20" s="579"/>
      <c r="CQ20" s="579"/>
      <c r="CR20" s="579"/>
      <c r="CS20" s="579"/>
      <c r="CT20" s="579"/>
      <c r="CU20" s="579"/>
      <c r="CV20" s="579"/>
      <c r="CW20" s="579"/>
      <c r="CX20" s="579"/>
      <c r="CY20" s="579"/>
      <c r="CZ20" s="579"/>
      <c r="DA20" s="579"/>
      <c r="DB20" s="579"/>
      <c r="DC20" s="579"/>
      <c r="DD20" s="579"/>
      <c r="DE20" s="579"/>
      <c r="DF20" s="579"/>
      <c r="DG20" s="579"/>
      <c r="DH20" s="579"/>
      <c r="DI20" s="579"/>
      <c r="DJ20" s="579"/>
      <c r="DK20" s="579"/>
      <c r="DL20" s="579"/>
      <c r="DM20" s="579"/>
      <c r="DN20" s="579"/>
      <c r="DO20" s="579"/>
      <c r="DP20" s="579"/>
      <c r="DQ20" s="579"/>
      <c r="DR20" s="579"/>
      <c r="DS20" s="579"/>
      <c r="DT20" s="579"/>
      <c r="DU20" s="579"/>
      <c r="DV20" s="579"/>
      <c r="DW20" s="579"/>
      <c r="DX20" s="579"/>
      <c r="DY20" s="579"/>
      <c r="DZ20" s="579"/>
      <c r="EA20" s="579"/>
      <c r="EB20" s="579"/>
      <c r="EC20" s="579"/>
      <c r="ED20" s="579"/>
      <c r="EE20" s="579"/>
      <c r="EF20" s="579"/>
      <c r="EG20" s="579"/>
      <c r="EH20" s="579"/>
      <c r="EI20" s="579"/>
      <c r="EJ20" s="579"/>
      <c r="EK20" s="579"/>
      <c r="EL20" s="579"/>
      <c r="EM20" s="579"/>
      <c r="EN20" s="579"/>
      <c r="EO20" s="579"/>
      <c r="EP20" s="579"/>
      <c r="EQ20" s="579"/>
      <c r="ER20" s="579"/>
      <c r="ES20" s="579"/>
      <c r="ET20" s="579"/>
      <c r="EU20" s="579"/>
      <c r="EV20" s="579"/>
      <c r="EW20" s="579"/>
      <c r="EX20" s="579"/>
      <c r="EY20" s="579"/>
      <c r="EZ20" s="579"/>
      <c r="FA20" s="579"/>
      <c r="FB20" s="579"/>
      <c r="FC20" s="579"/>
      <c r="FD20" s="579"/>
      <c r="FE20" s="579"/>
      <c r="FF20" s="579"/>
      <c r="FG20" s="579"/>
      <c r="FH20" s="579"/>
      <c r="FI20" s="579"/>
      <c r="FJ20" s="579"/>
      <c r="FK20" s="579"/>
      <c r="FL20" s="579"/>
      <c r="FM20" s="579"/>
      <c r="FN20" s="579"/>
      <c r="FO20" s="579"/>
      <c r="FP20" s="579"/>
      <c r="FQ20" s="579"/>
      <c r="FR20" s="579"/>
      <c r="FS20" s="579"/>
      <c r="FT20" s="579"/>
      <c r="FU20" s="579"/>
      <c r="FV20" s="579"/>
      <c r="FW20" s="579"/>
      <c r="FX20" s="579"/>
      <c r="FY20" s="579"/>
      <c r="FZ20" s="579"/>
      <c r="GA20" s="579"/>
      <c r="GB20" s="579"/>
      <c r="GC20" s="579"/>
      <c r="GD20" s="579"/>
      <c r="GE20" s="579"/>
      <c r="GF20" s="579"/>
      <c r="GG20" s="579"/>
      <c r="GH20" s="579"/>
      <c r="GI20" s="579"/>
      <c r="GJ20" s="579"/>
      <c r="GK20" s="579"/>
      <c r="GL20" s="579"/>
      <c r="GM20" s="579"/>
      <c r="GN20" s="579"/>
      <c r="GO20" s="579"/>
      <c r="GP20" s="579"/>
      <c r="GQ20" s="579"/>
      <c r="GR20" s="579"/>
      <c r="GS20" s="579"/>
      <c r="GT20" s="579"/>
      <c r="GU20" s="579"/>
      <c r="GV20" s="579"/>
      <c r="GW20" s="579"/>
      <c r="GX20" s="579"/>
      <c r="GY20" s="579"/>
      <c r="GZ20" s="579"/>
      <c r="HA20" s="579"/>
      <c r="HB20" s="579"/>
      <c r="HC20" s="579"/>
      <c r="HD20" s="579"/>
      <c r="HE20" s="579"/>
      <c r="HF20" s="579"/>
      <c r="HG20" s="579"/>
      <c r="HH20" s="579"/>
      <c r="HI20" s="579"/>
      <c r="HJ20" s="579"/>
      <c r="HK20" s="579"/>
      <c r="HL20" s="579"/>
      <c r="HM20" s="579"/>
      <c r="HN20" s="579"/>
      <c r="HO20" s="579"/>
      <c r="HP20" s="579"/>
      <c r="HQ20" s="579"/>
      <c r="HR20" s="579"/>
      <c r="HS20" s="579"/>
      <c r="HT20" s="579"/>
      <c r="HU20" s="579"/>
      <c r="HV20" s="579"/>
      <c r="HW20" s="579"/>
      <c r="HX20" s="579"/>
      <c r="HY20" s="579"/>
      <c r="HZ20" s="579"/>
      <c r="IA20" s="579"/>
      <c r="IB20" s="579"/>
      <c r="IC20" s="579"/>
      <c r="ID20" s="579"/>
      <c r="IE20" s="579"/>
      <c r="IF20" s="579"/>
      <c r="IG20" s="579"/>
      <c r="IH20" s="579"/>
      <c r="II20" s="579"/>
      <c r="IJ20" s="579"/>
      <c r="IK20" s="579"/>
      <c r="IL20" s="579"/>
      <c r="IM20" s="579"/>
    </row>
    <row r="21" spans="1:247" ht="22.5" x14ac:dyDescent="0.2">
      <c r="A21" s="188">
        <v>3395</v>
      </c>
      <c r="B21" s="109" t="s">
        <v>1840</v>
      </c>
      <c r="C21" s="109">
        <v>120</v>
      </c>
      <c r="D21" s="36" t="s">
        <v>1809</v>
      </c>
      <c r="E21" s="41" t="s">
        <v>67</v>
      </c>
      <c r="F21" s="41" t="s">
        <v>1841</v>
      </c>
      <c r="G21" s="36"/>
      <c r="H21" s="41" t="s">
        <v>1842</v>
      </c>
    </row>
    <row r="22" spans="1:247" ht="22.5" x14ac:dyDescent="0.2">
      <c r="A22" s="188">
        <v>3413</v>
      </c>
      <c r="B22" s="109" t="s">
        <v>1807</v>
      </c>
      <c r="C22" s="109" t="s">
        <v>1843</v>
      </c>
      <c r="D22" s="36" t="s">
        <v>51</v>
      </c>
      <c r="E22" s="41" t="s">
        <v>67</v>
      </c>
      <c r="F22" s="41" t="s">
        <v>1844</v>
      </c>
      <c r="G22" s="36"/>
      <c r="H22" s="41" t="s">
        <v>1811</v>
      </c>
    </row>
    <row r="23" spans="1:247" ht="22.5" x14ac:dyDescent="0.2">
      <c r="A23" s="188">
        <v>3445</v>
      </c>
      <c r="B23" s="109"/>
      <c r="C23" s="109" t="s">
        <v>1845</v>
      </c>
      <c r="D23" s="36" t="s">
        <v>91</v>
      </c>
      <c r="E23" s="41" t="s">
        <v>461</v>
      </c>
      <c r="F23" s="41" t="s">
        <v>1846</v>
      </c>
      <c r="G23" s="36"/>
      <c r="H23" s="41" t="s">
        <v>1847</v>
      </c>
    </row>
    <row r="24" spans="1:247" ht="22.5" x14ac:dyDescent="0.2">
      <c r="A24" s="188">
        <v>3446</v>
      </c>
      <c r="B24" s="109"/>
      <c r="C24" s="109" t="s">
        <v>1848</v>
      </c>
      <c r="D24" s="36" t="s">
        <v>91</v>
      </c>
      <c r="E24" s="41" t="s">
        <v>1849</v>
      </c>
      <c r="F24" s="41" t="s">
        <v>1846</v>
      </c>
      <c r="G24" s="36"/>
      <c r="H24" s="41" t="s">
        <v>1847</v>
      </c>
    </row>
    <row r="25" spans="1:247" x14ac:dyDescent="0.2">
      <c r="A25" s="576">
        <v>3449</v>
      </c>
      <c r="B25" s="577" t="s">
        <v>1813</v>
      </c>
      <c r="C25" s="577" t="s">
        <v>1850</v>
      </c>
      <c r="D25" s="577" t="s">
        <v>51</v>
      </c>
      <c r="E25" s="578"/>
      <c r="F25" s="577" t="s">
        <v>1815</v>
      </c>
      <c r="G25" s="577"/>
      <c r="H25" s="577" t="s">
        <v>1822</v>
      </c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579"/>
      <c r="CG25" s="579"/>
      <c r="CH25" s="579"/>
      <c r="CI25" s="579"/>
      <c r="CJ25" s="579"/>
      <c r="CK25" s="579"/>
      <c r="CL25" s="579"/>
      <c r="CM25" s="579"/>
      <c r="CN25" s="579"/>
      <c r="CO25" s="579"/>
      <c r="CP25" s="579"/>
      <c r="CQ25" s="579"/>
      <c r="CR25" s="579"/>
      <c r="CS25" s="579"/>
      <c r="CT25" s="579"/>
      <c r="CU25" s="579"/>
      <c r="CV25" s="579"/>
      <c r="CW25" s="579"/>
      <c r="CX25" s="579"/>
      <c r="CY25" s="579"/>
      <c r="CZ25" s="579"/>
      <c r="DA25" s="579"/>
      <c r="DB25" s="579"/>
      <c r="DC25" s="579"/>
      <c r="DD25" s="579"/>
      <c r="DE25" s="579"/>
      <c r="DF25" s="579"/>
      <c r="DG25" s="579"/>
      <c r="DH25" s="579"/>
      <c r="DI25" s="579"/>
      <c r="DJ25" s="579"/>
      <c r="DK25" s="579"/>
      <c r="DL25" s="579"/>
      <c r="DM25" s="579"/>
      <c r="DN25" s="579"/>
      <c r="DO25" s="579"/>
      <c r="DP25" s="579"/>
      <c r="DQ25" s="579"/>
      <c r="DR25" s="579"/>
      <c r="DS25" s="579"/>
      <c r="DT25" s="579"/>
      <c r="DU25" s="579"/>
      <c r="DV25" s="579"/>
      <c r="DW25" s="579"/>
      <c r="DX25" s="579"/>
      <c r="DY25" s="579"/>
      <c r="DZ25" s="579"/>
      <c r="EA25" s="579"/>
      <c r="EB25" s="579"/>
      <c r="EC25" s="579"/>
      <c r="ED25" s="579"/>
      <c r="EE25" s="579"/>
      <c r="EF25" s="579"/>
      <c r="EG25" s="579"/>
      <c r="EH25" s="579"/>
      <c r="EI25" s="579"/>
      <c r="EJ25" s="579"/>
      <c r="EK25" s="579"/>
      <c r="EL25" s="579"/>
      <c r="EM25" s="579"/>
      <c r="EN25" s="579"/>
      <c r="EO25" s="579"/>
      <c r="EP25" s="579"/>
      <c r="EQ25" s="579"/>
      <c r="ER25" s="579"/>
      <c r="ES25" s="579"/>
      <c r="ET25" s="579"/>
      <c r="EU25" s="579"/>
      <c r="EV25" s="579"/>
      <c r="EW25" s="579"/>
      <c r="EX25" s="579"/>
      <c r="EY25" s="579"/>
      <c r="EZ25" s="579"/>
      <c r="FA25" s="579"/>
      <c r="FB25" s="579"/>
      <c r="FC25" s="579"/>
      <c r="FD25" s="579"/>
      <c r="FE25" s="579"/>
      <c r="FF25" s="579"/>
      <c r="FG25" s="579"/>
      <c r="FH25" s="579"/>
      <c r="FI25" s="579"/>
      <c r="FJ25" s="579"/>
      <c r="FK25" s="579"/>
      <c r="FL25" s="579"/>
      <c r="FM25" s="579"/>
      <c r="FN25" s="579"/>
      <c r="FO25" s="579"/>
      <c r="FP25" s="579"/>
      <c r="FQ25" s="579"/>
      <c r="FR25" s="579"/>
      <c r="FS25" s="579"/>
      <c r="FT25" s="579"/>
      <c r="FU25" s="579"/>
      <c r="FV25" s="579"/>
      <c r="FW25" s="579"/>
      <c r="FX25" s="579"/>
      <c r="FY25" s="579"/>
      <c r="FZ25" s="579"/>
      <c r="GA25" s="579"/>
      <c r="GB25" s="579"/>
      <c r="GC25" s="579"/>
      <c r="GD25" s="579"/>
      <c r="GE25" s="579"/>
      <c r="GF25" s="579"/>
      <c r="GG25" s="579"/>
      <c r="GH25" s="579"/>
      <c r="GI25" s="579"/>
      <c r="GJ25" s="579"/>
      <c r="GK25" s="579"/>
      <c r="GL25" s="579"/>
      <c r="GM25" s="579"/>
      <c r="GN25" s="579"/>
      <c r="GO25" s="579"/>
      <c r="GP25" s="579"/>
      <c r="GQ25" s="579"/>
      <c r="GR25" s="579"/>
      <c r="GS25" s="579"/>
      <c r="GT25" s="579"/>
      <c r="GU25" s="579"/>
      <c r="GV25" s="579"/>
      <c r="GW25" s="579"/>
      <c r="GX25" s="579"/>
      <c r="GY25" s="579"/>
      <c r="GZ25" s="579"/>
      <c r="HA25" s="579"/>
      <c r="HB25" s="579"/>
      <c r="HC25" s="579"/>
      <c r="HD25" s="579"/>
      <c r="HE25" s="579"/>
      <c r="HF25" s="579"/>
      <c r="HG25" s="579"/>
      <c r="HH25" s="579"/>
      <c r="HI25" s="579"/>
      <c r="HJ25" s="579"/>
      <c r="HK25" s="579"/>
      <c r="HL25" s="579"/>
      <c r="HM25" s="579"/>
      <c r="HN25" s="579"/>
      <c r="HO25" s="579"/>
      <c r="HP25" s="579"/>
      <c r="HQ25" s="579"/>
      <c r="HR25" s="579"/>
      <c r="HS25" s="579"/>
      <c r="HT25" s="579"/>
      <c r="HU25" s="579"/>
      <c r="HV25" s="579"/>
      <c r="HW25" s="579"/>
      <c r="HX25" s="579"/>
      <c r="HY25" s="579"/>
      <c r="HZ25" s="579"/>
      <c r="IA25" s="579"/>
      <c r="IB25" s="579"/>
      <c r="IC25" s="579"/>
      <c r="ID25" s="579"/>
      <c r="IE25" s="579"/>
      <c r="IF25" s="579"/>
      <c r="IG25" s="579"/>
      <c r="IH25" s="579"/>
      <c r="II25" s="579"/>
      <c r="IJ25" s="579"/>
      <c r="IK25" s="579"/>
      <c r="IL25" s="579"/>
      <c r="IM25" s="579"/>
    </row>
    <row r="26" spans="1:247" x14ac:dyDescent="0.2">
      <c r="A26" s="188">
        <v>8639</v>
      </c>
      <c r="B26" s="109" t="s">
        <v>1831</v>
      </c>
      <c r="C26" s="109" t="s">
        <v>1851</v>
      </c>
      <c r="D26" s="36" t="s">
        <v>84</v>
      </c>
      <c r="E26" s="41" t="s">
        <v>834</v>
      </c>
      <c r="F26" s="41" t="s">
        <v>1810</v>
      </c>
      <c r="G26" s="36"/>
      <c r="H26" s="41" t="s">
        <v>1830</v>
      </c>
    </row>
    <row r="27" spans="1:247" x14ac:dyDescent="0.2">
      <c r="A27" s="188">
        <v>8640</v>
      </c>
      <c r="B27" s="109" t="s">
        <v>1831</v>
      </c>
      <c r="C27" s="109" t="s">
        <v>1852</v>
      </c>
      <c r="D27" s="36" t="s">
        <v>84</v>
      </c>
      <c r="E27" s="41" t="s">
        <v>834</v>
      </c>
      <c r="F27" s="41" t="s">
        <v>1810</v>
      </c>
      <c r="G27" s="36"/>
      <c r="H27" s="41" t="s">
        <v>1830</v>
      </c>
    </row>
    <row r="28" spans="1:247" x14ac:dyDescent="0.2">
      <c r="A28" s="188">
        <v>8641</v>
      </c>
      <c r="B28" s="109" t="s">
        <v>1831</v>
      </c>
      <c r="C28" s="109" t="s">
        <v>1853</v>
      </c>
      <c r="D28" s="36" t="s">
        <v>84</v>
      </c>
      <c r="E28" s="41" t="s">
        <v>834</v>
      </c>
      <c r="F28" s="41" t="s">
        <v>1810</v>
      </c>
      <c r="G28" s="36"/>
      <c r="H28" s="41" t="s">
        <v>1830</v>
      </c>
    </row>
    <row r="29" spans="1:247" x14ac:dyDescent="0.2">
      <c r="A29" s="188">
        <v>8642</v>
      </c>
      <c r="B29" s="109" t="s">
        <v>1831</v>
      </c>
      <c r="C29" s="109" t="s">
        <v>1854</v>
      </c>
      <c r="D29" s="36" t="s">
        <v>84</v>
      </c>
      <c r="E29" s="41" t="s">
        <v>834</v>
      </c>
      <c r="F29" s="41" t="s">
        <v>1810</v>
      </c>
      <c r="G29" s="36"/>
      <c r="H29" s="41" t="s">
        <v>1830</v>
      </c>
    </row>
    <row r="30" spans="1:247" x14ac:dyDescent="0.2">
      <c r="A30" s="188">
        <v>8643</v>
      </c>
      <c r="B30" s="109" t="s">
        <v>1831</v>
      </c>
      <c r="C30" s="109" t="s">
        <v>1855</v>
      </c>
      <c r="D30" s="36" t="s">
        <v>84</v>
      </c>
      <c r="E30" s="41" t="s">
        <v>834</v>
      </c>
      <c r="F30" s="41" t="s">
        <v>1810</v>
      </c>
      <c r="G30" s="36"/>
      <c r="H30" s="41" t="s">
        <v>1830</v>
      </c>
    </row>
    <row r="31" spans="1:247" x14ac:dyDescent="0.2">
      <c r="A31" s="188">
        <v>8645</v>
      </c>
      <c r="B31" s="109" t="s">
        <v>1856</v>
      </c>
      <c r="C31" s="109" t="s">
        <v>1857</v>
      </c>
      <c r="D31" s="36" t="s">
        <v>84</v>
      </c>
      <c r="E31" s="41" t="s">
        <v>1787</v>
      </c>
      <c r="F31" s="41" t="s">
        <v>1810</v>
      </c>
      <c r="G31" s="36"/>
      <c r="H31" s="41" t="s">
        <v>1830</v>
      </c>
    </row>
    <row r="32" spans="1:247" x14ac:dyDescent="0.2">
      <c r="A32" s="188">
        <v>8646</v>
      </c>
      <c r="B32" s="109" t="s">
        <v>1856</v>
      </c>
      <c r="C32" s="109" t="s">
        <v>1853</v>
      </c>
      <c r="D32" s="36" t="s">
        <v>84</v>
      </c>
      <c r="E32" s="41" t="s">
        <v>1787</v>
      </c>
      <c r="F32" s="41" t="s">
        <v>1810</v>
      </c>
      <c r="G32" s="36"/>
      <c r="H32" s="41" t="s">
        <v>1830</v>
      </c>
    </row>
    <row r="33" spans="1:247" s="574" customFormat="1" x14ac:dyDescent="0.2">
      <c r="A33" s="188">
        <v>8647</v>
      </c>
      <c r="B33" s="109" t="s">
        <v>1856</v>
      </c>
      <c r="C33" s="109" t="s">
        <v>1854</v>
      </c>
      <c r="D33" s="36" t="s">
        <v>84</v>
      </c>
      <c r="E33" s="41" t="s">
        <v>1787</v>
      </c>
      <c r="F33" s="41" t="s">
        <v>1810</v>
      </c>
      <c r="G33" s="36"/>
      <c r="H33" s="41" t="s">
        <v>1830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</row>
    <row r="34" spans="1:247" s="574" customFormat="1" x14ac:dyDescent="0.2">
      <c r="A34" s="188">
        <v>8648</v>
      </c>
      <c r="B34" s="109" t="s">
        <v>1856</v>
      </c>
      <c r="C34" s="109" t="s">
        <v>1855</v>
      </c>
      <c r="D34" s="36" t="s">
        <v>84</v>
      </c>
      <c r="E34" s="41" t="s">
        <v>1787</v>
      </c>
      <c r="F34" s="41" t="s">
        <v>1810</v>
      </c>
      <c r="G34" s="36"/>
      <c r="H34" s="41" t="s">
        <v>1830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</row>
    <row r="35" spans="1:247" s="574" customFormat="1" x14ac:dyDescent="0.2">
      <c r="A35" s="188">
        <v>8666</v>
      </c>
      <c r="B35" s="109" t="s">
        <v>1831</v>
      </c>
      <c r="C35" s="109" t="s">
        <v>1857</v>
      </c>
      <c r="D35" s="36" t="s">
        <v>84</v>
      </c>
      <c r="E35" s="41" t="s">
        <v>834</v>
      </c>
      <c r="F35" s="41" t="s">
        <v>1810</v>
      </c>
      <c r="G35" s="36"/>
      <c r="H35" s="41" t="s">
        <v>1830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</row>
    <row r="36" spans="1:247" s="574" customFormat="1" x14ac:dyDescent="0.2">
      <c r="A36" s="188">
        <v>8671</v>
      </c>
      <c r="B36" s="109" t="s">
        <v>1858</v>
      </c>
      <c r="C36" s="109"/>
      <c r="D36" s="36"/>
      <c r="E36" s="41" t="s">
        <v>461</v>
      </c>
      <c r="F36" s="41" t="s">
        <v>1859</v>
      </c>
      <c r="G36" s="36"/>
      <c r="H36" s="41" t="s">
        <v>1830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</row>
    <row r="37" spans="1:247" s="574" customFormat="1" x14ac:dyDescent="0.2">
      <c r="A37" s="188">
        <v>8674</v>
      </c>
      <c r="B37" s="109" t="s">
        <v>1860</v>
      </c>
      <c r="C37" s="109" t="s">
        <v>1861</v>
      </c>
      <c r="D37" s="36" t="s">
        <v>84</v>
      </c>
      <c r="E37" s="41" t="s">
        <v>461</v>
      </c>
      <c r="F37" s="41" t="s">
        <v>1810</v>
      </c>
      <c r="G37" s="36"/>
      <c r="H37" s="41" t="s">
        <v>1830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</row>
    <row r="38" spans="1:247" s="574" customFormat="1" ht="22.5" x14ac:dyDescent="0.2">
      <c r="A38" s="188">
        <v>8688</v>
      </c>
      <c r="B38" s="109" t="s">
        <v>1862</v>
      </c>
      <c r="C38" s="109" t="s">
        <v>1863</v>
      </c>
      <c r="D38" s="36" t="s">
        <v>84</v>
      </c>
      <c r="E38" s="41" t="s">
        <v>1864</v>
      </c>
      <c r="F38" s="41" t="s">
        <v>1865</v>
      </c>
      <c r="G38" s="36" t="s">
        <v>1866</v>
      </c>
      <c r="H38" s="41" t="s">
        <v>1847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</row>
    <row r="39" spans="1:247" ht="22.5" x14ac:dyDescent="0.2">
      <c r="A39" s="188">
        <v>8712</v>
      </c>
      <c r="B39" s="109" t="s">
        <v>1862</v>
      </c>
      <c r="C39" s="109" t="s">
        <v>1867</v>
      </c>
      <c r="D39" s="36" t="s">
        <v>84</v>
      </c>
      <c r="E39" s="41" t="s">
        <v>1864</v>
      </c>
      <c r="F39" s="41" t="s">
        <v>1865</v>
      </c>
      <c r="G39" s="36" t="s">
        <v>1866</v>
      </c>
      <c r="H39" s="41" t="s">
        <v>1847</v>
      </c>
    </row>
    <row r="40" spans="1:247" ht="22.5" x14ac:dyDescent="0.2">
      <c r="A40" s="188">
        <v>8786</v>
      </c>
      <c r="B40" s="41" t="s">
        <v>1868</v>
      </c>
      <c r="C40" s="41" t="s">
        <v>1869</v>
      </c>
      <c r="D40" s="36" t="s">
        <v>84</v>
      </c>
      <c r="E40" s="41" t="s">
        <v>1870</v>
      </c>
      <c r="F40" s="41" t="s">
        <v>1871</v>
      </c>
      <c r="G40" s="36"/>
      <c r="H40" s="41" t="s">
        <v>1872</v>
      </c>
    </row>
    <row r="41" spans="1:247" ht="22.5" x14ac:dyDescent="0.2">
      <c r="A41" s="584">
        <v>8788</v>
      </c>
      <c r="B41" s="585" t="s">
        <v>1868</v>
      </c>
      <c r="C41" s="585" t="s">
        <v>1873</v>
      </c>
      <c r="D41" s="586" t="s">
        <v>84</v>
      </c>
      <c r="E41" s="585" t="s">
        <v>1870</v>
      </c>
      <c r="F41" s="585" t="s">
        <v>1871</v>
      </c>
      <c r="G41" s="586"/>
      <c r="H41" s="585" t="s">
        <v>1872</v>
      </c>
    </row>
    <row r="42" spans="1:247" s="579" customFormat="1" ht="22.5" x14ac:dyDescent="0.2">
      <c r="A42" s="188">
        <v>8927</v>
      </c>
      <c r="B42" s="109" t="s">
        <v>1807</v>
      </c>
      <c r="C42" s="109" t="s">
        <v>1874</v>
      </c>
      <c r="D42" s="36" t="s">
        <v>51</v>
      </c>
      <c r="E42" s="41"/>
      <c r="F42" s="41" t="s">
        <v>1810</v>
      </c>
      <c r="G42" s="36"/>
      <c r="H42" s="41" t="s">
        <v>1811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</row>
    <row r="43" spans="1:247" s="579" customFormat="1" ht="22.5" x14ac:dyDescent="0.2">
      <c r="A43" s="188">
        <v>13372</v>
      </c>
      <c r="B43" s="109" t="s">
        <v>1875</v>
      </c>
      <c r="C43" s="109"/>
      <c r="D43" s="36" t="s">
        <v>51</v>
      </c>
      <c r="E43" s="41"/>
      <c r="F43" s="36" t="s">
        <v>1876</v>
      </c>
      <c r="G43" s="36"/>
      <c r="H43" s="41" t="s">
        <v>1847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</row>
    <row r="44" spans="1:247" s="579" customFormat="1" x14ac:dyDescent="0.2">
      <c r="A44" s="188">
        <v>16620</v>
      </c>
      <c r="B44" s="109" t="s">
        <v>1877</v>
      </c>
      <c r="C44" s="109" t="s">
        <v>1867</v>
      </c>
      <c r="D44" s="36" t="s">
        <v>84</v>
      </c>
      <c r="E44" s="41" t="s">
        <v>230</v>
      </c>
      <c r="F44" s="41" t="s">
        <v>1878</v>
      </c>
      <c r="G44" s="36" t="s">
        <v>1879</v>
      </c>
      <c r="H44" s="587">
        <v>41760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</row>
    <row r="45" spans="1:247" s="579" customFormat="1" ht="22.5" x14ac:dyDescent="0.2">
      <c r="A45" s="188">
        <v>16655</v>
      </c>
      <c r="B45" s="109" t="s">
        <v>1862</v>
      </c>
      <c r="C45" s="109" t="s">
        <v>1880</v>
      </c>
      <c r="D45" s="36" t="s">
        <v>84</v>
      </c>
      <c r="E45" s="41" t="s">
        <v>1864</v>
      </c>
      <c r="F45" s="41" t="s">
        <v>1865</v>
      </c>
      <c r="G45" s="36" t="s">
        <v>1866</v>
      </c>
      <c r="H45" s="41" t="s">
        <v>1847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</row>
    <row r="46" spans="1:247" x14ac:dyDescent="0.2">
      <c r="A46" s="188">
        <v>20227</v>
      </c>
      <c r="B46" s="109" t="s">
        <v>1881</v>
      </c>
      <c r="C46" s="109" t="s">
        <v>1882</v>
      </c>
      <c r="D46" s="36" t="s">
        <v>84</v>
      </c>
      <c r="E46" s="41" t="s">
        <v>656</v>
      </c>
      <c r="F46" s="41" t="s">
        <v>1883</v>
      </c>
      <c r="G46" s="36" t="s">
        <v>1884</v>
      </c>
      <c r="H46" s="41" t="s">
        <v>1885</v>
      </c>
    </row>
    <row r="47" spans="1:247" x14ac:dyDescent="0.2">
      <c r="A47" s="188">
        <v>18982</v>
      </c>
      <c r="B47" s="109" t="s">
        <v>1886</v>
      </c>
      <c r="C47" s="109" t="s">
        <v>1887</v>
      </c>
      <c r="D47" s="36" t="s">
        <v>84</v>
      </c>
      <c r="E47" s="41" t="s">
        <v>79</v>
      </c>
      <c r="F47" s="41" t="s">
        <v>1888</v>
      </c>
      <c r="G47" s="36"/>
      <c r="H47" s="588">
        <v>41678</v>
      </c>
    </row>
    <row r="48" spans="1:247" x14ac:dyDescent="0.2">
      <c r="A48" s="188"/>
      <c r="B48" s="109"/>
      <c r="C48" s="109"/>
      <c r="D48" s="36"/>
      <c r="E48" s="41"/>
      <c r="F48" s="41"/>
      <c r="G48" s="36"/>
      <c r="H48" s="41"/>
    </row>
    <row r="49" spans="1:17" x14ac:dyDescent="0.2">
      <c r="A49" s="750" t="s">
        <v>1889</v>
      </c>
      <c r="B49" s="751"/>
      <c r="C49" s="751"/>
      <c r="D49" s="752"/>
      <c r="E49" s="41"/>
      <c r="F49" s="41"/>
      <c r="G49" s="36"/>
      <c r="H49" s="41"/>
    </row>
    <row r="50" spans="1:17" x14ac:dyDescent="0.2">
      <c r="A50" s="753"/>
      <c r="B50" s="754"/>
      <c r="C50" s="754"/>
      <c r="D50" s="755"/>
      <c r="E50" s="41"/>
      <c r="F50" s="41"/>
      <c r="G50" s="36"/>
      <c r="H50" s="41"/>
    </row>
    <row r="51" spans="1:17" x14ac:dyDescent="0.2">
      <c r="A51" s="756"/>
      <c r="B51" s="757"/>
      <c r="C51" s="757"/>
      <c r="D51" s="758"/>
      <c r="E51" s="41"/>
      <c r="F51" s="41"/>
      <c r="G51" s="36"/>
      <c r="H51" s="41"/>
    </row>
    <row r="52" spans="1:17" ht="22.5" x14ac:dyDescent="0.2">
      <c r="A52" s="188">
        <v>2253</v>
      </c>
      <c r="B52" s="109" t="s">
        <v>1818</v>
      </c>
      <c r="C52" s="109" t="s">
        <v>1819</v>
      </c>
      <c r="D52" s="36" t="s">
        <v>84</v>
      </c>
      <c r="E52" s="41" t="s">
        <v>89</v>
      </c>
      <c r="F52" s="41" t="s">
        <v>1890</v>
      </c>
      <c r="G52" s="36"/>
      <c r="H52" s="587">
        <v>43101</v>
      </c>
    </row>
    <row r="53" spans="1:17" s="15" customFormat="1" ht="22.5" x14ac:dyDescent="0.2">
      <c r="A53" s="72" t="s">
        <v>1891</v>
      </c>
      <c r="B53" s="109" t="s">
        <v>1818</v>
      </c>
      <c r="C53" s="109" t="s">
        <v>1819</v>
      </c>
      <c r="D53" s="36" t="s">
        <v>84</v>
      </c>
      <c r="E53" s="41" t="s">
        <v>89</v>
      </c>
      <c r="F53" s="4" t="s">
        <v>1892</v>
      </c>
      <c r="H53" s="589">
        <v>43525</v>
      </c>
    </row>
    <row r="54" spans="1:17" ht="22.5" x14ac:dyDescent="0.2">
      <c r="A54" s="41">
        <v>13657</v>
      </c>
      <c r="B54" s="41" t="s">
        <v>1893</v>
      </c>
      <c r="C54" s="36" t="s">
        <v>1894</v>
      </c>
      <c r="D54" s="36" t="s">
        <v>84</v>
      </c>
      <c r="E54" s="86" t="s">
        <v>307</v>
      </c>
      <c r="F54" s="41" t="s">
        <v>1895</v>
      </c>
      <c r="G54" s="36" t="s">
        <v>1879</v>
      </c>
      <c r="H54" s="587">
        <v>43952</v>
      </c>
      <c r="I54" s="41"/>
      <c r="J54" s="83"/>
      <c r="K54" s="41"/>
      <c r="L54" s="41"/>
      <c r="M54" s="590"/>
      <c r="N54" s="78"/>
      <c r="O54" s="79"/>
      <c r="P54" s="79"/>
      <c r="Q54" s="108"/>
    </row>
    <row r="55" spans="1:17" ht="22.5" x14ac:dyDescent="0.2">
      <c r="A55" s="188">
        <v>7232</v>
      </c>
      <c r="B55" s="109" t="s">
        <v>1893</v>
      </c>
      <c r="C55" s="109" t="s">
        <v>1896</v>
      </c>
      <c r="D55" s="36" t="s">
        <v>91</v>
      </c>
      <c r="E55" s="41" t="s">
        <v>307</v>
      </c>
      <c r="F55" s="41" t="s">
        <v>1897</v>
      </c>
      <c r="G55" s="36" t="s">
        <v>1879</v>
      </c>
      <c r="H55" s="587">
        <v>44531</v>
      </c>
    </row>
    <row r="56" spans="1:17" x14ac:dyDescent="0.2">
      <c r="A56" s="188"/>
      <c r="B56" s="109"/>
      <c r="C56" s="109"/>
      <c r="D56" s="36"/>
      <c r="E56" s="41"/>
      <c r="F56" s="41"/>
      <c r="G56" s="36"/>
      <c r="H56" s="41"/>
    </row>
    <row r="57" spans="1:17" x14ac:dyDescent="0.2">
      <c r="A57" s="188"/>
      <c r="B57" s="109"/>
      <c r="C57" s="109"/>
      <c r="D57" s="36"/>
      <c r="E57" s="41"/>
      <c r="F57" s="41"/>
      <c r="G57" s="36"/>
      <c r="H57" s="41"/>
    </row>
    <row r="58" spans="1:17" x14ac:dyDescent="0.2">
      <c r="A58" s="188"/>
      <c r="B58" s="109"/>
      <c r="C58" s="109"/>
      <c r="D58" s="36"/>
      <c r="E58" s="41"/>
      <c r="F58" s="41"/>
      <c r="G58" s="36"/>
      <c r="H58" s="41"/>
    </row>
    <row r="59" spans="1:17" x14ac:dyDescent="0.2">
      <c r="A59" s="188"/>
      <c r="B59" s="109"/>
      <c r="C59" s="109"/>
      <c r="D59" s="36"/>
      <c r="E59" s="41"/>
      <c r="F59" s="41"/>
      <c r="G59" s="36"/>
      <c r="H59" s="41"/>
    </row>
    <row r="60" spans="1:17" x14ac:dyDescent="0.2">
      <c r="A60" s="188"/>
      <c r="B60" s="109"/>
      <c r="C60" s="109"/>
      <c r="D60" s="36"/>
      <c r="E60" s="41"/>
      <c r="F60" s="41"/>
      <c r="G60" s="36"/>
      <c r="H60" s="41"/>
    </row>
    <row r="61" spans="1:17" x14ac:dyDescent="0.2">
      <c r="A61" s="188"/>
      <c r="B61" s="109"/>
      <c r="C61" s="109"/>
      <c r="D61" s="36"/>
      <c r="E61" s="41"/>
      <c r="F61" s="41"/>
      <c r="G61" s="36"/>
      <c r="H61" s="41"/>
    </row>
    <row r="62" spans="1:17" x14ac:dyDescent="0.2">
      <c r="A62" s="188"/>
      <c r="B62" s="109"/>
      <c r="C62" s="109"/>
      <c r="D62" s="36"/>
      <c r="E62" s="41"/>
      <c r="F62" s="41"/>
      <c r="G62" s="36"/>
      <c r="H62" s="41"/>
    </row>
    <row r="63" spans="1:17" x14ac:dyDescent="0.2">
      <c r="A63" s="188"/>
      <c r="B63" s="109"/>
      <c r="C63" s="109"/>
      <c r="D63" s="36"/>
      <c r="E63" s="41"/>
      <c r="F63" s="41"/>
      <c r="G63" s="36"/>
      <c r="H63" s="41"/>
    </row>
    <row r="64" spans="1:17" x14ac:dyDescent="0.2">
      <c r="A64" s="188"/>
      <c r="B64" s="109"/>
      <c r="C64" s="109"/>
      <c r="D64" s="36"/>
      <c r="E64" s="41"/>
      <c r="F64" s="41"/>
      <c r="G64" s="36"/>
      <c r="H64" s="41"/>
    </row>
    <row r="65" spans="1:8" x14ac:dyDescent="0.2">
      <c r="A65" s="188"/>
      <c r="B65" s="109"/>
      <c r="C65" s="109"/>
      <c r="D65" s="36"/>
      <c r="E65" s="41"/>
      <c r="F65" s="41"/>
      <c r="G65" s="36"/>
      <c r="H65" s="41"/>
    </row>
    <row r="66" spans="1:8" x14ac:dyDescent="0.2">
      <c r="A66" s="188"/>
      <c r="B66" s="109"/>
      <c r="C66" s="109"/>
      <c r="D66" s="36"/>
      <c r="E66" s="41"/>
      <c r="F66" s="41"/>
      <c r="G66" s="36"/>
      <c r="H66" s="41"/>
    </row>
    <row r="67" spans="1:8" x14ac:dyDescent="0.2">
      <c r="A67" s="188"/>
      <c r="B67" s="109"/>
      <c r="C67" s="109"/>
      <c r="D67" s="36"/>
      <c r="E67" s="41"/>
      <c r="F67" s="41"/>
      <c r="G67" s="36"/>
      <c r="H67" s="41"/>
    </row>
    <row r="68" spans="1:8" x14ac:dyDescent="0.2">
      <c r="A68" s="188"/>
      <c r="B68" s="109"/>
      <c r="C68" s="109"/>
      <c r="D68" s="36"/>
      <c r="E68" s="41"/>
      <c r="F68" s="41"/>
      <c r="G68" s="36"/>
      <c r="H68" s="41"/>
    </row>
    <row r="69" spans="1:8" x14ac:dyDescent="0.2">
      <c r="A69" s="188"/>
      <c r="B69" s="109"/>
      <c r="C69" s="109"/>
      <c r="D69" s="36"/>
      <c r="E69" s="41"/>
      <c r="F69" s="41"/>
      <c r="G69" s="36"/>
      <c r="H69" s="41"/>
    </row>
    <row r="70" spans="1:8" x14ac:dyDescent="0.2">
      <c r="A70" s="188"/>
      <c r="B70" s="109"/>
      <c r="C70" s="109"/>
      <c r="D70" s="36"/>
      <c r="E70" s="41"/>
      <c r="F70" s="41"/>
      <c r="G70" s="36"/>
      <c r="H70" s="41"/>
    </row>
    <row r="71" spans="1:8" x14ac:dyDescent="0.2">
      <c r="A71" s="188"/>
      <c r="B71" s="109"/>
      <c r="C71" s="109"/>
      <c r="D71" s="36"/>
      <c r="E71" s="41"/>
      <c r="F71" s="41"/>
      <c r="G71" s="36"/>
      <c r="H71" s="41"/>
    </row>
  </sheetData>
  <mergeCells count="1">
    <mergeCell ref="A49:D51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E643"/>
  <sheetViews>
    <sheetView zoomScale="90" zoomScaleNormal="90" workbookViewId="0">
      <selection activeCell="AC12" sqref="AC12"/>
    </sheetView>
  </sheetViews>
  <sheetFormatPr baseColWidth="10" defaultColWidth="11.42578125" defaultRowHeight="45" customHeight="1" thickBottom="1" x14ac:dyDescent="0.25"/>
  <cols>
    <col min="1" max="1" width="10.28515625" style="108" customWidth="1"/>
    <col min="2" max="2" width="12.5703125" style="88" hidden="1" customWidth="1"/>
    <col min="3" max="3" width="25" style="40" hidden="1" customWidth="1"/>
    <col min="4" max="4" width="13" style="89" hidden="1" customWidth="1"/>
    <col min="5" max="5" width="10.42578125" style="35" hidden="1" customWidth="1"/>
    <col min="6" max="6" width="7.140625" style="35" hidden="1" customWidth="1"/>
    <col min="7" max="7" width="6.7109375" style="35" hidden="1" customWidth="1"/>
    <col min="8" max="8" width="19.85546875" style="35" hidden="1" customWidth="1"/>
    <col min="9" max="9" width="20.42578125" style="55" hidden="1" customWidth="1"/>
    <col min="10" max="10" width="2.7109375" style="237" customWidth="1"/>
    <col min="11" max="11" width="0.85546875" style="226" customWidth="1"/>
    <col min="12" max="12" width="10.28515625" style="249" customWidth="1"/>
    <col min="13" max="13" width="10.28515625" style="250" customWidth="1"/>
    <col min="14" max="14" width="10.28515625" style="251" customWidth="1"/>
    <col min="15" max="15" width="10.28515625" style="250" customWidth="1"/>
    <col min="16" max="16" width="10.28515625" style="251" customWidth="1"/>
    <col min="17" max="17" width="10.28515625" style="250" customWidth="1"/>
    <col min="18" max="18" width="10.28515625" style="251" customWidth="1"/>
    <col min="19" max="19" width="10.28515625" style="252" customWidth="1"/>
    <col min="20" max="20" width="1.140625" style="234" customWidth="1"/>
    <col min="21" max="21" width="10.28515625" style="245" customWidth="1"/>
    <col min="22" max="22" width="10.28515625" style="246" customWidth="1"/>
    <col min="23" max="24" width="10.28515625" style="245" customWidth="1"/>
    <col min="25" max="25" width="10.28515625" style="246" customWidth="1"/>
    <col min="26" max="26" width="10.28515625" style="287" customWidth="1"/>
    <col min="27" max="28" width="10.28515625" style="302" customWidth="1"/>
    <col min="29" max="16384" width="11.42578125" style="40"/>
  </cols>
  <sheetData>
    <row r="1" spans="1:239" s="4" customFormat="1" ht="30" customHeight="1" thickBot="1" x14ac:dyDescent="0.25">
      <c r="A1" s="695"/>
      <c r="B1" s="88"/>
      <c r="D1" s="89"/>
      <c r="I1" s="101"/>
      <c r="J1" s="235"/>
      <c r="K1" s="226"/>
      <c r="L1" s="737" t="s">
        <v>1898</v>
      </c>
      <c r="M1" s="738"/>
      <c r="N1" s="738"/>
      <c r="O1" s="738"/>
      <c r="P1" s="738"/>
      <c r="Q1" s="738"/>
      <c r="R1" s="738"/>
      <c r="S1" s="739"/>
      <c r="T1" s="232"/>
      <c r="U1" s="743" t="s">
        <v>1899</v>
      </c>
      <c r="V1" s="744"/>
      <c r="W1" s="744"/>
      <c r="X1" s="744"/>
      <c r="Y1" s="744"/>
      <c r="Z1" s="744"/>
      <c r="AA1" s="744"/>
      <c r="AB1" s="745"/>
    </row>
    <row r="2" spans="1:239" s="35" customFormat="1" ht="45" customHeight="1" thickBot="1" x14ac:dyDescent="0.25">
      <c r="A2" s="308" t="s">
        <v>1900</v>
      </c>
      <c r="B2" s="72" t="s">
        <v>21</v>
      </c>
      <c r="C2" s="90" t="s">
        <v>22</v>
      </c>
      <c r="D2" s="72" t="s">
        <v>23</v>
      </c>
      <c r="E2" s="91" t="s">
        <v>24</v>
      </c>
      <c r="F2" s="91" t="s">
        <v>25</v>
      </c>
      <c r="G2" s="91" t="s">
        <v>26</v>
      </c>
      <c r="H2" s="72" t="s">
        <v>27</v>
      </c>
      <c r="I2" s="92" t="s">
        <v>28</v>
      </c>
      <c r="J2" s="236"/>
      <c r="K2" s="309"/>
      <c r="L2" s="310" t="s">
        <v>34</v>
      </c>
      <c r="M2" s="311" t="s">
        <v>35</v>
      </c>
      <c r="N2" s="312" t="s">
        <v>36</v>
      </c>
      <c r="O2" s="311" t="s">
        <v>37</v>
      </c>
      <c r="P2" s="312" t="s">
        <v>38</v>
      </c>
      <c r="Q2" s="311" t="s">
        <v>39</v>
      </c>
      <c r="R2" s="312" t="s">
        <v>33</v>
      </c>
      <c r="S2" s="313" t="s">
        <v>40</v>
      </c>
      <c r="T2" s="233"/>
      <c r="U2" s="314" t="s">
        <v>41</v>
      </c>
      <c r="V2" s="315" t="s">
        <v>42</v>
      </c>
      <c r="W2" s="314" t="s">
        <v>43</v>
      </c>
      <c r="X2" s="316" t="s">
        <v>44</v>
      </c>
      <c r="Y2" s="315" t="s">
        <v>45</v>
      </c>
      <c r="Z2" s="317" t="s">
        <v>46</v>
      </c>
      <c r="AA2" s="318" t="s">
        <v>47</v>
      </c>
      <c r="AB2" s="375" t="s">
        <v>1901</v>
      </c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</row>
    <row r="3" spans="1:239" s="194" customFormat="1" ht="45" customHeight="1" thickTop="1" thickBot="1" x14ac:dyDescent="0.25">
      <c r="A3" s="378" t="s">
        <v>1902</v>
      </c>
      <c r="B3" s="319"/>
      <c r="C3" s="320"/>
      <c r="D3" s="321"/>
      <c r="E3" s="322"/>
      <c r="F3" s="322"/>
      <c r="G3" s="322"/>
      <c r="H3" s="322"/>
      <c r="I3" s="323"/>
      <c r="J3" s="323"/>
      <c r="K3" s="324"/>
      <c r="L3" s="358">
        <f>SUM(L4:L15)</f>
        <v>0</v>
      </c>
      <c r="M3" s="358">
        <f t="shared" ref="M3" si="0">SUM(M4:M15)</f>
        <v>1.07</v>
      </c>
      <c r="N3" s="358">
        <f>SUM(N4:N15)</f>
        <v>13.873000000000001</v>
      </c>
      <c r="O3" s="358">
        <f>SUM(O4:O15)</f>
        <v>0</v>
      </c>
      <c r="P3" s="358">
        <f>SUM(P4:P15)</f>
        <v>2.48</v>
      </c>
      <c r="Q3" s="358">
        <f>SUM(Q4:Q15)</f>
        <v>0.72799999999999998</v>
      </c>
      <c r="R3" s="358">
        <f>SUM(R4:R15)</f>
        <v>0.52300000000000002</v>
      </c>
      <c r="S3" s="359"/>
      <c r="T3" s="360"/>
      <c r="U3" s="358">
        <f t="shared" ref="U3:Z3" si="1">SUM(U4:U15)</f>
        <v>0</v>
      </c>
      <c r="V3" s="358">
        <f t="shared" si="1"/>
        <v>2.74</v>
      </c>
      <c r="W3" s="358">
        <f t="shared" si="1"/>
        <v>12.765000000000001</v>
      </c>
      <c r="X3" s="358">
        <f t="shared" si="1"/>
        <v>0.111</v>
      </c>
      <c r="Y3" s="358">
        <f t="shared" si="1"/>
        <v>0.45900000000000002</v>
      </c>
      <c r="Z3" s="358">
        <f t="shared" si="1"/>
        <v>2.6019999999999999</v>
      </c>
      <c r="AA3" s="358">
        <f t="shared" ref="AA3" si="2">SUM(AA4:AA15)</f>
        <v>0</v>
      </c>
      <c r="AB3" s="358">
        <f t="shared" ref="AB3" si="3">SUM(AB4:AB15)</f>
        <v>0</v>
      </c>
      <c r="AC3" s="354">
        <f>SUM(U3:AB3)</f>
        <v>18.677000000000003</v>
      </c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</row>
    <row r="4" spans="1:239" s="179" customFormat="1" ht="45" customHeight="1" thickTop="1" thickBot="1" x14ac:dyDescent="0.25">
      <c r="A4" s="346" t="s">
        <v>1903</v>
      </c>
      <c r="B4" s="190"/>
      <c r="C4" s="191"/>
      <c r="D4" s="192"/>
      <c r="I4" s="193"/>
      <c r="J4" s="237"/>
      <c r="K4" s="226"/>
      <c r="L4" s="361"/>
      <c r="M4" s="362"/>
      <c r="N4" s="366">
        <v>0.47299999999999998</v>
      </c>
      <c r="O4" s="365"/>
      <c r="P4" s="366">
        <v>1.84</v>
      </c>
      <c r="Q4" s="365">
        <v>0.72799999999999998</v>
      </c>
      <c r="R4" s="366">
        <v>0.52300000000000002</v>
      </c>
      <c r="S4" s="367"/>
      <c r="T4" s="368"/>
      <c r="U4" s="369"/>
      <c r="V4" s="370" t="s">
        <v>1904</v>
      </c>
      <c r="W4" s="369">
        <v>0.86499999999999999</v>
      </c>
      <c r="X4" s="371">
        <v>0.111</v>
      </c>
      <c r="Y4" s="370">
        <v>0.45900000000000002</v>
      </c>
      <c r="Z4" s="372">
        <v>2.11</v>
      </c>
      <c r="AA4" s="363"/>
      <c r="AB4" s="376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  <c r="HN4" s="180"/>
      <c r="HO4" s="180"/>
      <c r="HP4" s="180"/>
      <c r="HQ4" s="180"/>
      <c r="HR4" s="180"/>
      <c r="HS4" s="180"/>
      <c r="HT4" s="180"/>
      <c r="HU4" s="180"/>
      <c r="HV4" s="180"/>
      <c r="HW4" s="180"/>
      <c r="HX4" s="180"/>
      <c r="HY4" s="180"/>
      <c r="HZ4" s="180"/>
      <c r="IA4" s="180"/>
      <c r="IB4" s="180"/>
      <c r="IC4" s="180"/>
      <c r="ID4" s="180"/>
      <c r="IE4" s="180"/>
    </row>
    <row r="5" spans="1:239" s="180" customFormat="1" ht="45" customHeight="1" thickBot="1" x14ac:dyDescent="0.25">
      <c r="A5" s="347" t="s">
        <v>1905</v>
      </c>
      <c r="B5" s="190"/>
      <c r="C5" s="179"/>
      <c r="D5" s="192"/>
      <c r="E5" s="179"/>
      <c r="F5" s="179"/>
      <c r="G5" s="179"/>
      <c r="H5" s="179"/>
      <c r="I5" s="193"/>
      <c r="J5" s="237"/>
      <c r="K5" s="226"/>
      <c r="L5" s="364"/>
      <c r="M5" s="365">
        <v>1.07</v>
      </c>
      <c r="N5" s="272">
        <v>13.4</v>
      </c>
      <c r="O5" s="271"/>
      <c r="P5" s="272">
        <v>0.64</v>
      </c>
      <c r="Q5" s="271"/>
      <c r="R5" s="272" t="s">
        <v>1904</v>
      </c>
      <c r="S5" s="268"/>
      <c r="T5" s="269"/>
      <c r="U5" s="273"/>
      <c r="V5" s="274">
        <v>2.74</v>
      </c>
      <c r="W5" s="273">
        <v>11.9</v>
      </c>
      <c r="X5" s="293"/>
      <c r="Y5" s="274" t="s">
        <v>1904</v>
      </c>
      <c r="Z5" s="287">
        <v>0.49199999999999999</v>
      </c>
      <c r="AA5" s="373"/>
      <c r="AB5" s="377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</row>
    <row r="6" spans="1:239" ht="45" customHeight="1" thickBot="1" x14ac:dyDescent="0.25">
      <c r="A6" s="347" t="s">
        <v>1906</v>
      </c>
      <c r="C6" s="93"/>
      <c r="L6" s="270"/>
      <c r="M6" s="271"/>
      <c r="N6" s="272"/>
      <c r="O6" s="271"/>
      <c r="P6" s="272"/>
      <c r="Q6" s="271"/>
      <c r="R6" s="272"/>
      <c r="S6" s="268"/>
      <c r="T6" s="269"/>
      <c r="U6" s="273"/>
      <c r="V6" s="274"/>
      <c r="W6" s="273"/>
      <c r="X6" s="293"/>
      <c r="Y6" s="274"/>
      <c r="AB6" s="35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</row>
    <row r="7" spans="1:239" ht="45" customHeight="1" thickBot="1" x14ac:dyDescent="0.25">
      <c r="A7" s="347" t="s">
        <v>1907</v>
      </c>
      <c r="C7" s="94"/>
      <c r="K7" s="226">
        <v>0.34399999999999997</v>
      </c>
      <c r="L7" s="262"/>
      <c r="M7" s="111"/>
      <c r="N7" s="263"/>
      <c r="O7" s="111"/>
      <c r="P7" s="263"/>
      <c r="Q7" s="111"/>
      <c r="R7" s="263"/>
      <c r="S7" s="264"/>
      <c r="T7" s="265"/>
      <c r="U7" s="266"/>
      <c r="V7" s="267"/>
      <c r="W7" s="266"/>
      <c r="X7" s="292"/>
      <c r="Y7" s="267"/>
      <c r="AB7" s="355"/>
    </row>
    <row r="8" spans="1:239" ht="45" customHeight="1" thickBot="1" x14ac:dyDescent="0.25">
      <c r="A8" s="347" t="s">
        <v>1908</v>
      </c>
      <c r="C8" s="93"/>
      <c r="L8" s="262"/>
      <c r="M8" s="111"/>
      <c r="N8" s="263"/>
      <c r="O8" s="111"/>
      <c r="P8" s="263"/>
      <c r="Q8" s="111"/>
      <c r="R8" s="263"/>
      <c r="S8" s="264"/>
      <c r="T8" s="269"/>
      <c r="U8" s="266"/>
      <c r="V8" s="267"/>
      <c r="W8" s="266"/>
      <c r="X8" s="292"/>
      <c r="Y8" s="267"/>
      <c r="AB8" s="35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</row>
    <row r="9" spans="1:239" ht="45" customHeight="1" thickBot="1" x14ac:dyDescent="0.25">
      <c r="A9" s="347" t="s">
        <v>1909</v>
      </c>
      <c r="C9" s="35"/>
      <c r="L9" s="262"/>
      <c r="M9" s="111"/>
      <c r="N9" s="263"/>
      <c r="O9" s="111"/>
      <c r="P9" s="263"/>
      <c r="Q9" s="111"/>
      <c r="R9" s="263"/>
      <c r="S9" s="264"/>
      <c r="T9" s="265"/>
      <c r="U9" s="266"/>
      <c r="V9" s="267"/>
      <c r="W9" s="266"/>
      <c r="X9" s="292"/>
      <c r="Y9" s="267"/>
      <c r="AB9" s="355"/>
    </row>
    <row r="10" spans="1:239" ht="45" customHeight="1" thickBot="1" x14ac:dyDescent="0.25">
      <c r="A10" s="347"/>
      <c r="C10" s="35"/>
      <c r="L10" s="262"/>
      <c r="M10" s="111"/>
      <c r="N10" s="263"/>
      <c r="O10" s="111"/>
      <c r="P10" s="263"/>
      <c r="Q10" s="111"/>
      <c r="R10" s="263"/>
      <c r="S10" s="264"/>
      <c r="T10" s="265"/>
      <c r="U10" s="266"/>
      <c r="V10" s="267"/>
      <c r="W10" s="266"/>
      <c r="X10" s="292"/>
      <c r="Y10" s="267"/>
      <c r="AB10" s="355"/>
    </row>
    <row r="11" spans="1:239" ht="45" customHeight="1" thickBot="1" x14ac:dyDescent="0.25">
      <c r="A11" s="347"/>
      <c r="C11" s="93"/>
      <c r="L11" s="262"/>
      <c r="M11" s="111"/>
      <c r="N11" s="263"/>
      <c r="O11" s="111"/>
      <c r="P11" s="263"/>
      <c r="Q11" s="111"/>
      <c r="R11" s="263"/>
      <c r="S11" s="268"/>
      <c r="T11" s="265"/>
      <c r="U11" s="266"/>
      <c r="V11" s="267"/>
      <c r="W11" s="266"/>
      <c r="X11" s="292"/>
      <c r="Y11" s="267"/>
      <c r="AB11" s="355"/>
    </row>
    <row r="12" spans="1:239" ht="45" customHeight="1" thickBot="1" x14ac:dyDescent="0.25">
      <c r="A12" s="347"/>
      <c r="C12" s="95"/>
      <c r="L12" s="262"/>
      <c r="M12" s="111"/>
      <c r="N12" s="263"/>
      <c r="O12" s="111"/>
      <c r="P12" s="263"/>
      <c r="Q12" s="111"/>
      <c r="R12" s="263"/>
      <c r="S12" s="268"/>
      <c r="T12" s="269"/>
      <c r="U12" s="266"/>
      <c r="V12" s="267"/>
      <c r="W12" s="266"/>
      <c r="X12" s="292"/>
      <c r="Y12" s="267"/>
      <c r="AB12" s="35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</row>
    <row r="13" spans="1:239" ht="45" customHeight="1" thickBot="1" x14ac:dyDescent="0.25">
      <c r="A13" s="347"/>
      <c r="C13" s="93"/>
      <c r="L13" s="262"/>
      <c r="M13" s="111"/>
      <c r="N13" s="263"/>
      <c r="O13" s="111"/>
      <c r="P13" s="263"/>
      <c r="Q13" s="111"/>
      <c r="R13" s="263"/>
      <c r="S13" s="264"/>
      <c r="T13" s="269"/>
      <c r="U13" s="266"/>
      <c r="V13" s="267"/>
      <c r="W13" s="266"/>
      <c r="X13" s="292"/>
      <c r="Y13" s="267"/>
      <c r="AB13" s="35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</row>
    <row r="14" spans="1:239" ht="45" customHeight="1" thickBot="1" x14ac:dyDescent="0.25">
      <c r="A14" s="347"/>
      <c r="C14" s="93"/>
      <c r="E14" s="96"/>
      <c r="F14" s="96"/>
      <c r="G14" s="96"/>
      <c r="H14" s="96"/>
      <c r="L14" s="262"/>
      <c r="M14" s="111"/>
      <c r="N14" s="263"/>
      <c r="O14" s="111"/>
      <c r="P14" s="263"/>
      <c r="Q14" s="111"/>
      <c r="R14" s="263"/>
      <c r="S14" s="264"/>
      <c r="T14" s="269"/>
      <c r="U14" s="266"/>
      <c r="V14" s="267"/>
      <c r="W14" s="266"/>
      <c r="X14" s="292"/>
      <c r="Y14" s="267"/>
      <c r="AB14" s="35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</row>
    <row r="15" spans="1:239" ht="45" customHeight="1" thickBot="1" x14ac:dyDescent="0.25">
      <c r="A15" s="347"/>
      <c r="C15" s="93"/>
      <c r="L15" s="262"/>
      <c r="M15" s="111"/>
      <c r="N15" s="263"/>
      <c r="O15" s="111"/>
      <c r="P15" s="263"/>
      <c r="Q15" s="111"/>
      <c r="R15" s="263"/>
      <c r="S15" s="264"/>
      <c r="T15" s="269"/>
      <c r="U15" s="266"/>
      <c r="V15" s="267"/>
      <c r="W15" s="266"/>
      <c r="X15" s="292"/>
      <c r="Y15" s="267"/>
      <c r="AB15" s="35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</row>
    <row r="16" spans="1:239" ht="45" customHeight="1" thickBot="1" x14ac:dyDescent="0.25">
      <c r="C16" s="93"/>
      <c r="E16" s="96"/>
      <c r="F16" s="96"/>
      <c r="G16" s="96"/>
      <c r="H16" s="96"/>
      <c r="J16" s="55"/>
      <c r="K16" s="17"/>
      <c r="L16" s="325"/>
      <c r="M16" s="111"/>
      <c r="N16" s="111"/>
      <c r="O16" s="111"/>
      <c r="P16" s="111"/>
      <c r="Q16" s="111"/>
      <c r="R16" s="111"/>
      <c r="S16" s="268"/>
      <c r="T16" s="326"/>
      <c r="U16" s="267"/>
      <c r="V16" s="267"/>
      <c r="W16" s="267"/>
      <c r="X16" s="267"/>
      <c r="Y16" s="267"/>
      <c r="Z16" s="327"/>
      <c r="AA16" s="274"/>
      <c r="AB16" s="274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</row>
    <row r="17" spans="3:239" ht="45" customHeight="1" thickBot="1" x14ac:dyDescent="0.25">
      <c r="C17" s="55"/>
      <c r="J17" s="55"/>
      <c r="K17" s="17"/>
      <c r="L17" s="325"/>
      <c r="M17" s="111"/>
      <c r="N17" s="111"/>
      <c r="O17" s="111"/>
      <c r="P17" s="111"/>
      <c r="Q17" s="111"/>
      <c r="R17" s="111"/>
      <c r="S17" s="264"/>
      <c r="T17" s="326"/>
      <c r="U17" s="267"/>
      <c r="V17" s="267"/>
      <c r="W17" s="267"/>
      <c r="X17" s="267"/>
      <c r="Y17" s="267"/>
      <c r="Z17" s="327"/>
      <c r="AA17" s="274"/>
      <c r="AB17" s="27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</row>
    <row r="18" spans="3:239" ht="45" customHeight="1" thickBot="1" x14ac:dyDescent="0.25">
      <c r="C18" s="35"/>
      <c r="J18" s="55"/>
      <c r="K18" s="17"/>
      <c r="L18" s="325"/>
      <c r="M18" s="111"/>
      <c r="N18" s="111"/>
      <c r="O18" s="111"/>
      <c r="P18" s="111"/>
      <c r="Q18" s="111"/>
      <c r="R18" s="111"/>
      <c r="S18" s="264"/>
      <c r="T18" s="328"/>
      <c r="U18" s="267"/>
      <c r="V18" s="267"/>
      <c r="W18" s="267"/>
      <c r="X18" s="267"/>
      <c r="Y18" s="267"/>
      <c r="Z18" s="327"/>
      <c r="AA18" s="274"/>
      <c r="AB18" s="274"/>
    </row>
    <row r="19" spans="3:239" ht="45" customHeight="1" thickBot="1" x14ac:dyDescent="0.25">
      <c r="J19" s="55"/>
      <c r="K19" s="17"/>
      <c r="L19" s="325"/>
      <c r="M19" s="111"/>
      <c r="N19" s="111"/>
      <c r="O19" s="111"/>
      <c r="P19" s="111"/>
      <c r="Q19" s="111"/>
      <c r="R19" s="111"/>
      <c r="S19" s="264"/>
      <c r="T19" s="326"/>
      <c r="U19" s="267"/>
      <c r="V19" s="267"/>
      <c r="W19" s="267"/>
      <c r="X19" s="267"/>
      <c r="Y19" s="267"/>
      <c r="Z19" s="327"/>
      <c r="AA19" s="274"/>
      <c r="AB19" s="27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</row>
    <row r="20" spans="3:239" ht="45" customHeight="1" thickBot="1" x14ac:dyDescent="0.25">
      <c r="J20" s="55"/>
      <c r="K20" s="17"/>
      <c r="L20" s="325"/>
      <c r="M20" s="111"/>
      <c r="N20" s="111"/>
      <c r="O20" s="111"/>
      <c r="P20" s="111"/>
      <c r="Q20" s="111"/>
      <c r="R20" s="111"/>
      <c r="S20" s="264"/>
      <c r="T20" s="328"/>
      <c r="U20" s="267"/>
      <c r="V20" s="267"/>
      <c r="W20" s="267"/>
      <c r="X20" s="267"/>
      <c r="Y20" s="267"/>
      <c r="Z20" s="327"/>
      <c r="AA20" s="274"/>
      <c r="AB20" s="274"/>
    </row>
    <row r="21" spans="3:239" ht="45" customHeight="1" thickBot="1" x14ac:dyDescent="0.25">
      <c r="C21" s="35"/>
      <c r="J21" s="55"/>
      <c r="K21" s="17"/>
      <c r="L21" s="325"/>
      <c r="M21" s="111"/>
      <c r="N21" s="111"/>
      <c r="O21" s="111"/>
      <c r="P21" s="111"/>
      <c r="Q21" s="111"/>
      <c r="R21" s="111"/>
      <c r="S21" s="264"/>
      <c r="T21" s="328"/>
      <c r="U21" s="267"/>
      <c r="V21" s="267"/>
      <c r="W21" s="267"/>
      <c r="X21" s="267"/>
      <c r="Y21" s="267"/>
      <c r="Z21" s="327"/>
      <c r="AA21" s="274"/>
      <c r="AB21" s="274"/>
    </row>
    <row r="22" spans="3:239" ht="45" customHeight="1" thickBot="1" x14ac:dyDescent="0.25">
      <c r="J22" s="55"/>
      <c r="K22" s="17"/>
      <c r="L22" s="325"/>
      <c r="M22" s="111"/>
      <c r="N22" s="111"/>
      <c r="O22" s="111"/>
      <c r="P22" s="111"/>
      <c r="Q22" s="111"/>
      <c r="R22" s="111"/>
      <c r="S22" s="264"/>
      <c r="T22" s="328"/>
      <c r="U22" s="267"/>
      <c r="V22" s="267"/>
      <c r="W22" s="267"/>
      <c r="X22" s="267"/>
      <c r="Y22" s="267"/>
      <c r="Z22" s="327"/>
      <c r="AA22" s="274"/>
      <c r="AB22" s="274"/>
    </row>
    <row r="23" spans="3:239" ht="45" customHeight="1" thickBot="1" x14ac:dyDescent="0.25">
      <c r="C23" s="93"/>
      <c r="J23" s="55"/>
      <c r="K23" s="17"/>
      <c r="L23" s="325"/>
      <c r="M23" s="111"/>
      <c r="N23" s="111"/>
      <c r="O23" s="111"/>
      <c r="P23" s="111"/>
      <c r="Q23" s="111"/>
      <c r="R23" s="111"/>
      <c r="S23" s="264"/>
      <c r="T23" s="328"/>
      <c r="U23" s="267"/>
      <c r="V23" s="267"/>
      <c r="W23" s="267"/>
      <c r="X23" s="267"/>
      <c r="Y23" s="267"/>
      <c r="Z23" s="327"/>
      <c r="AA23" s="274"/>
      <c r="AB23" s="274"/>
    </row>
    <row r="24" spans="3:239" ht="45" customHeight="1" thickBot="1" x14ac:dyDescent="0.25">
      <c r="C24" s="93"/>
      <c r="J24" s="55"/>
      <c r="K24" s="17"/>
      <c r="L24" s="325"/>
      <c r="M24" s="111"/>
      <c r="N24" s="111"/>
      <c r="O24" s="111"/>
      <c r="P24" s="111"/>
      <c r="Q24" s="111"/>
      <c r="R24" s="111"/>
      <c r="S24" s="264"/>
      <c r="T24" s="328"/>
      <c r="U24" s="267"/>
      <c r="V24" s="267"/>
      <c r="W24" s="267"/>
      <c r="X24" s="267"/>
      <c r="Y24" s="267"/>
      <c r="Z24" s="327"/>
      <c r="AA24" s="274"/>
      <c r="AB24" s="274"/>
    </row>
    <row r="25" spans="3:239" ht="45" customHeight="1" thickBot="1" x14ac:dyDescent="0.25">
      <c r="J25" s="55"/>
      <c r="K25" s="17"/>
      <c r="L25" s="325"/>
      <c r="M25" s="111"/>
      <c r="N25" s="111"/>
      <c r="O25" s="111"/>
      <c r="P25" s="111"/>
      <c r="Q25" s="111"/>
      <c r="R25" s="111"/>
      <c r="S25" s="264"/>
      <c r="T25" s="328"/>
      <c r="U25" s="267"/>
      <c r="V25" s="267"/>
      <c r="W25" s="267"/>
      <c r="X25" s="267"/>
      <c r="Y25" s="267"/>
      <c r="Z25" s="327"/>
      <c r="AA25" s="274"/>
      <c r="AB25" s="274"/>
    </row>
    <row r="26" spans="3:239" ht="45" customHeight="1" thickBot="1" x14ac:dyDescent="0.25">
      <c r="C26" s="35"/>
      <c r="J26" s="55"/>
      <c r="K26" s="17"/>
      <c r="L26" s="325"/>
      <c r="M26" s="111"/>
      <c r="N26" s="111"/>
      <c r="O26" s="111"/>
      <c r="P26" s="111"/>
      <c r="Q26" s="111"/>
      <c r="R26" s="111"/>
      <c r="S26" s="264"/>
      <c r="T26" s="326"/>
      <c r="U26" s="267"/>
      <c r="V26" s="267"/>
      <c r="W26" s="267"/>
      <c r="X26" s="267"/>
      <c r="Y26" s="267"/>
      <c r="Z26" s="327"/>
      <c r="AA26" s="274"/>
      <c r="AB26" s="274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</row>
    <row r="27" spans="3:239" ht="45" customHeight="1" thickBot="1" x14ac:dyDescent="0.25">
      <c r="C27" s="35"/>
      <c r="J27" s="55"/>
      <c r="K27" s="17"/>
      <c r="L27" s="325"/>
      <c r="M27" s="111"/>
      <c r="N27" s="111"/>
      <c r="O27" s="111"/>
      <c r="P27" s="111"/>
      <c r="Q27" s="111"/>
      <c r="R27" s="111"/>
      <c r="S27" s="264"/>
      <c r="T27" s="328"/>
      <c r="U27" s="267"/>
      <c r="V27" s="267"/>
      <c r="W27" s="267"/>
      <c r="X27" s="267"/>
      <c r="Y27" s="267"/>
      <c r="Z27" s="327"/>
      <c r="AA27" s="274"/>
      <c r="AB27" s="274"/>
    </row>
    <row r="28" spans="3:239" ht="45" customHeight="1" thickBot="1" x14ac:dyDescent="0.25">
      <c r="C28" s="35"/>
      <c r="J28" s="55"/>
      <c r="K28" s="17"/>
      <c r="L28" s="325"/>
      <c r="M28" s="111"/>
      <c r="N28" s="111"/>
      <c r="O28" s="111"/>
      <c r="P28" s="111"/>
      <c r="Q28" s="111"/>
      <c r="R28" s="111"/>
      <c r="S28" s="268"/>
      <c r="T28" s="326"/>
      <c r="U28" s="267"/>
      <c r="V28" s="267"/>
      <c r="W28" s="267"/>
      <c r="X28" s="267"/>
      <c r="Y28" s="267"/>
      <c r="Z28" s="327"/>
      <c r="AA28" s="274"/>
      <c r="AB28" s="274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</row>
    <row r="29" spans="3:239" ht="45" customHeight="1" thickBot="1" x14ac:dyDescent="0.25">
      <c r="C29" s="35"/>
      <c r="J29" s="55"/>
      <c r="K29" s="17"/>
      <c r="L29" s="325"/>
      <c r="M29" s="111"/>
      <c r="N29" s="111"/>
      <c r="O29" s="111"/>
      <c r="P29" s="111"/>
      <c r="Q29" s="111"/>
      <c r="R29" s="111"/>
      <c r="S29" s="268"/>
      <c r="T29" s="328"/>
      <c r="U29" s="267"/>
      <c r="V29" s="267"/>
      <c r="W29" s="267"/>
      <c r="X29" s="267"/>
      <c r="Y29" s="267"/>
      <c r="Z29" s="327"/>
      <c r="AA29" s="274"/>
      <c r="AB29" s="274"/>
    </row>
    <row r="30" spans="3:239" ht="45" customHeight="1" thickBot="1" x14ac:dyDescent="0.25">
      <c r="C30" s="35"/>
      <c r="J30" s="55"/>
      <c r="K30" s="17"/>
      <c r="L30" s="325"/>
      <c r="M30" s="111"/>
      <c r="N30" s="111"/>
      <c r="O30" s="111"/>
      <c r="P30" s="111"/>
      <c r="Q30" s="111"/>
      <c r="R30" s="111"/>
      <c r="S30" s="268"/>
      <c r="T30" s="328"/>
      <c r="U30" s="267"/>
      <c r="V30" s="267"/>
      <c r="W30" s="267"/>
      <c r="X30" s="267"/>
      <c r="Y30" s="267"/>
      <c r="Z30" s="327"/>
      <c r="AA30" s="274"/>
      <c r="AB30" s="274"/>
    </row>
    <row r="31" spans="3:239" ht="45" customHeight="1" thickBot="1" x14ac:dyDescent="0.25">
      <c r="C31" s="35"/>
      <c r="J31" s="55"/>
      <c r="K31" s="17"/>
      <c r="L31" s="325"/>
      <c r="M31" s="111"/>
      <c r="N31" s="111"/>
      <c r="O31" s="111"/>
      <c r="P31" s="111"/>
      <c r="Q31" s="111"/>
      <c r="R31" s="111"/>
      <c r="S31" s="268"/>
      <c r="T31" s="328"/>
      <c r="U31" s="267"/>
      <c r="V31" s="267"/>
      <c r="W31" s="267"/>
      <c r="X31" s="267"/>
      <c r="Y31" s="267"/>
      <c r="Z31" s="327"/>
      <c r="AA31" s="274"/>
      <c r="AB31" s="274"/>
    </row>
    <row r="32" spans="3:239" ht="45" customHeight="1" thickBot="1" x14ac:dyDescent="0.25">
      <c r="C32" s="97"/>
      <c r="J32" s="55"/>
      <c r="K32" s="17"/>
      <c r="L32" s="325"/>
      <c r="M32" s="111"/>
      <c r="N32" s="111"/>
      <c r="O32" s="111"/>
      <c r="P32" s="111"/>
      <c r="Q32" s="111"/>
      <c r="R32" s="111"/>
      <c r="S32" s="268"/>
      <c r="T32" s="328"/>
      <c r="U32" s="267"/>
      <c r="V32" s="267"/>
      <c r="W32" s="267"/>
      <c r="X32" s="267"/>
      <c r="Y32" s="267"/>
      <c r="Z32" s="327"/>
      <c r="AA32" s="274"/>
      <c r="AB32" s="274"/>
    </row>
    <row r="33" spans="1:239" ht="45" customHeight="1" thickBot="1" x14ac:dyDescent="0.25">
      <c r="C33" s="97"/>
      <c r="J33" s="55"/>
      <c r="K33" s="17"/>
      <c r="L33" s="325"/>
      <c r="M33" s="111"/>
      <c r="N33" s="111"/>
      <c r="O33" s="111"/>
      <c r="P33" s="111"/>
      <c r="Q33" s="111"/>
      <c r="R33" s="111"/>
      <c r="S33" s="268"/>
      <c r="T33" s="328"/>
      <c r="U33" s="267"/>
      <c r="V33" s="267"/>
      <c r="W33" s="267"/>
      <c r="X33" s="267"/>
      <c r="Y33" s="267"/>
      <c r="Z33" s="327"/>
      <c r="AA33" s="274"/>
      <c r="AB33" s="274"/>
    </row>
    <row r="34" spans="1:239" ht="45" customHeight="1" thickBot="1" x14ac:dyDescent="0.25">
      <c r="C34" s="97"/>
      <c r="J34" s="55"/>
      <c r="K34" s="17"/>
      <c r="L34" s="325"/>
      <c r="M34" s="111"/>
      <c r="N34" s="111"/>
      <c r="O34" s="111"/>
      <c r="P34" s="111"/>
      <c r="Q34" s="111"/>
      <c r="R34" s="111"/>
      <c r="S34" s="268"/>
      <c r="T34" s="328"/>
      <c r="U34" s="267"/>
      <c r="V34" s="267"/>
      <c r="W34" s="267"/>
      <c r="X34" s="267"/>
      <c r="Y34" s="267"/>
      <c r="Z34" s="327"/>
      <c r="AA34" s="274"/>
      <c r="AB34" s="274"/>
    </row>
    <row r="35" spans="1:239" ht="45" customHeight="1" thickBot="1" x14ac:dyDescent="0.25">
      <c r="A35" s="164"/>
      <c r="C35" s="97"/>
      <c r="J35" s="55"/>
      <c r="K35" s="17"/>
      <c r="L35" s="325"/>
      <c r="M35" s="111"/>
      <c r="N35" s="111"/>
      <c r="O35" s="111"/>
      <c r="P35" s="111"/>
      <c r="Q35" s="111"/>
      <c r="R35" s="111"/>
      <c r="S35" s="268"/>
      <c r="T35" s="328"/>
      <c r="U35" s="267"/>
      <c r="V35" s="267"/>
      <c r="W35" s="267"/>
      <c r="X35" s="267"/>
      <c r="Y35" s="267"/>
      <c r="Z35" s="327"/>
      <c r="AA35" s="274"/>
      <c r="AB35" s="274"/>
    </row>
    <row r="36" spans="1:239" ht="45" customHeight="1" thickBot="1" x14ac:dyDescent="0.25">
      <c r="A36" s="164"/>
      <c r="J36" s="55"/>
      <c r="K36" s="17"/>
      <c r="L36" s="325"/>
      <c r="M36" s="111"/>
      <c r="N36" s="111"/>
      <c r="O36" s="111"/>
      <c r="P36" s="111"/>
      <c r="Q36" s="111"/>
      <c r="R36" s="111"/>
      <c r="S36" s="268"/>
      <c r="T36" s="328"/>
      <c r="U36" s="267"/>
      <c r="V36" s="267"/>
      <c r="W36" s="267"/>
      <c r="X36" s="267"/>
      <c r="Y36" s="267"/>
      <c r="Z36" s="327"/>
      <c r="AA36" s="274"/>
      <c r="AB36" s="274"/>
    </row>
    <row r="37" spans="1:239" ht="45" customHeight="1" thickBot="1" x14ac:dyDescent="0.25">
      <c r="J37" s="55"/>
      <c r="K37" s="17"/>
      <c r="L37" s="325"/>
      <c r="M37" s="111"/>
      <c r="N37" s="111"/>
      <c r="O37" s="111"/>
      <c r="P37" s="111"/>
      <c r="Q37" s="111"/>
      <c r="R37" s="111"/>
      <c r="S37" s="268"/>
      <c r="T37" s="328"/>
      <c r="U37" s="267"/>
      <c r="V37" s="267"/>
      <c r="W37" s="267"/>
      <c r="X37" s="267"/>
      <c r="Y37" s="267"/>
      <c r="Z37" s="327"/>
      <c r="AA37" s="274"/>
      <c r="AB37" s="274"/>
    </row>
    <row r="38" spans="1:239" ht="45" customHeight="1" thickBot="1" x14ac:dyDescent="0.25">
      <c r="C38" s="98"/>
      <c r="J38" s="55"/>
      <c r="K38" s="17"/>
      <c r="L38" s="325"/>
      <c r="M38" s="111"/>
      <c r="N38" s="111"/>
      <c r="O38" s="111"/>
      <c r="P38" s="111"/>
      <c r="Q38" s="111"/>
      <c r="R38" s="111"/>
      <c r="S38" s="268"/>
      <c r="T38" s="328"/>
      <c r="U38" s="267"/>
      <c r="V38" s="267"/>
      <c r="W38" s="267"/>
      <c r="X38" s="267"/>
      <c r="Y38" s="267"/>
      <c r="Z38" s="327"/>
      <c r="AA38" s="274"/>
      <c r="AB38" s="274"/>
    </row>
    <row r="39" spans="1:239" ht="45" customHeight="1" thickBot="1" x14ac:dyDescent="0.25">
      <c r="C39" s="98"/>
      <c r="J39" s="55"/>
      <c r="K39" s="17"/>
      <c r="L39" s="325"/>
      <c r="M39" s="111"/>
      <c r="N39" s="111"/>
      <c r="O39" s="111"/>
      <c r="P39" s="111"/>
      <c r="Q39" s="111"/>
      <c r="R39" s="111"/>
      <c r="S39" s="268"/>
      <c r="T39" s="328"/>
      <c r="U39" s="267"/>
      <c r="V39" s="267"/>
      <c r="W39" s="267"/>
      <c r="X39" s="267"/>
      <c r="Y39" s="267"/>
      <c r="Z39" s="327"/>
      <c r="AA39" s="274"/>
      <c r="AB39" s="274"/>
    </row>
    <row r="40" spans="1:239" ht="45" customHeight="1" thickBot="1" x14ac:dyDescent="0.25">
      <c r="C40" s="98"/>
      <c r="J40" s="55"/>
      <c r="K40" s="17"/>
      <c r="L40" s="325"/>
      <c r="M40" s="111"/>
      <c r="N40" s="111"/>
      <c r="O40" s="111"/>
      <c r="P40" s="111"/>
      <c r="Q40" s="111"/>
      <c r="R40" s="111"/>
      <c r="S40" s="268"/>
      <c r="T40" s="328"/>
      <c r="U40" s="267"/>
      <c r="V40" s="267"/>
      <c r="W40" s="267"/>
      <c r="X40" s="267"/>
      <c r="Y40" s="267"/>
      <c r="Z40" s="327"/>
      <c r="AA40" s="274"/>
      <c r="AB40" s="274"/>
    </row>
    <row r="41" spans="1:239" ht="45" customHeight="1" thickBot="1" x14ac:dyDescent="0.25">
      <c r="C41" s="99"/>
      <c r="J41" s="55"/>
      <c r="K41" s="17"/>
      <c r="L41" s="325"/>
      <c r="M41" s="111"/>
      <c r="N41" s="111"/>
      <c r="O41" s="111"/>
      <c r="P41" s="111"/>
      <c r="Q41" s="111"/>
      <c r="R41" s="111"/>
      <c r="S41" s="268"/>
      <c r="T41" s="328"/>
      <c r="U41" s="267"/>
      <c r="V41" s="267"/>
      <c r="W41" s="267"/>
      <c r="X41" s="267"/>
      <c r="Y41" s="267"/>
      <c r="Z41" s="327"/>
      <c r="AA41" s="274"/>
      <c r="AB41" s="274"/>
    </row>
    <row r="42" spans="1:239" ht="45" customHeight="1" thickBot="1" x14ac:dyDescent="0.25">
      <c r="J42" s="55"/>
      <c r="K42" s="17"/>
      <c r="L42" s="325"/>
      <c r="M42" s="111"/>
      <c r="N42" s="111"/>
      <c r="O42" s="111"/>
      <c r="P42" s="111"/>
      <c r="Q42" s="111"/>
      <c r="R42" s="111"/>
      <c r="S42" s="268"/>
      <c r="T42" s="326"/>
      <c r="U42" s="267"/>
      <c r="V42" s="267"/>
      <c r="W42" s="267"/>
      <c r="X42" s="267"/>
      <c r="Y42" s="267"/>
      <c r="Z42" s="327"/>
      <c r="AA42" s="274"/>
      <c r="AB42" s="27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</row>
    <row r="43" spans="1:239" ht="45" customHeight="1" thickBot="1" x14ac:dyDescent="0.25">
      <c r="J43" s="55"/>
      <c r="K43" s="17"/>
      <c r="L43" s="325"/>
      <c r="M43" s="111"/>
      <c r="N43" s="111"/>
      <c r="O43" s="111"/>
      <c r="P43" s="111"/>
      <c r="Q43" s="111"/>
      <c r="R43" s="111"/>
      <c r="S43" s="268"/>
      <c r="T43" s="328"/>
      <c r="U43" s="267"/>
      <c r="V43" s="267"/>
      <c r="W43" s="267"/>
      <c r="X43" s="267"/>
      <c r="Y43" s="267"/>
      <c r="Z43" s="327"/>
      <c r="AA43" s="274"/>
      <c r="AB43" s="274"/>
    </row>
    <row r="44" spans="1:239" s="35" customFormat="1" ht="45" customHeight="1" thickBot="1" x14ac:dyDescent="0.25">
      <c r="A44" s="108"/>
      <c r="B44" s="88"/>
      <c r="C44" s="40"/>
      <c r="D44" s="89"/>
      <c r="I44" s="55"/>
      <c r="J44" s="55"/>
      <c r="K44" s="17"/>
      <c r="L44" s="325"/>
      <c r="M44" s="111"/>
      <c r="N44" s="111"/>
      <c r="O44" s="111"/>
      <c r="P44" s="111"/>
      <c r="Q44" s="111"/>
      <c r="R44" s="111"/>
      <c r="S44" s="268"/>
      <c r="T44" s="326"/>
      <c r="U44" s="267"/>
      <c r="V44" s="267"/>
      <c r="W44" s="267"/>
      <c r="X44" s="267"/>
      <c r="Y44" s="267"/>
      <c r="Z44" s="327"/>
      <c r="AA44" s="274"/>
      <c r="AB44" s="274"/>
    </row>
    <row r="45" spans="1:239" s="35" customFormat="1" ht="45" customHeight="1" thickBot="1" x14ac:dyDescent="0.25">
      <c r="A45" s="108"/>
      <c r="B45" s="88"/>
      <c r="C45" s="40"/>
      <c r="D45" s="89"/>
      <c r="I45" s="55"/>
      <c r="J45" s="55"/>
      <c r="K45" s="17"/>
      <c r="L45" s="325"/>
      <c r="M45" s="111"/>
      <c r="N45" s="111"/>
      <c r="O45" s="111"/>
      <c r="P45" s="111"/>
      <c r="Q45" s="111"/>
      <c r="R45" s="111"/>
      <c r="S45" s="268"/>
      <c r="T45" s="326"/>
      <c r="U45" s="267"/>
      <c r="V45" s="267"/>
      <c r="W45" s="267"/>
      <c r="X45" s="267"/>
      <c r="Y45" s="267"/>
      <c r="Z45" s="327"/>
      <c r="AA45" s="274"/>
      <c r="AB45" s="274"/>
    </row>
    <row r="46" spans="1:239" s="35" customFormat="1" ht="45" customHeight="1" thickBot="1" x14ac:dyDescent="0.25">
      <c r="A46" s="108"/>
      <c r="B46" s="88"/>
      <c r="C46" s="40"/>
      <c r="D46" s="89"/>
      <c r="I46" s="55"/>
      <c r="J46" s="55"/>
      <c r="K46" s="17"/>
      <c r="L46" s="325"/>
      <c r="M46" s="111"/>
      <c r="N46" s="111"/>
      <c r="O46" s="111"/>
      <c r="P46" s="111"/>
      <c r="Q46" s="111"/>
      <c r="R46" s="111"/>
      <c r="S46" s="268"/>
      <c r="T46" s="328"/>
      <c r="U46" s="267"/>
      <c r="V46" s="267"/>
      <c r="W46" s="267"/>
      <c r="X46" s="267"/>
      <c r="Y46" s="267"/>
      <c r="Z46" s="327"/>
      <c r="AA46" s="274"/>
      <c r="AB46" s="274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</row>
    <row r="47" spans="1:239" s="35" customFormat="1" ht="45" customHeight="1" thickBot="1" x14ac:dyDescent="0.25">
      <c r="A47" s="108"/>
      <c r="B47" s="88"/>
      <c r="C47" s="40"/>
      <c r="D47" s="89"/>
      <c r="I47" s="55"/>
      <c r="J47" s="55"/>
      <c r="K47" s="17"/>
      <c r="L47" s="325"/>
      <c r="M47" s="111"/>
      <c r="N47" s="111"/>
      <c r="O47" s="111"/>
      <c r="P47" s="111"/>
      <c r="Q47" s="111"/>
      <c r="R47" s="111"/>
      <c r="S47" s="268"/>
      <c r="T47" s="328"/>
      <c r="U47" s="267"/>
      <c r="V47" s="267"/>
      <c r="W47" s="267"/>
      <c r="X47" s="267"/>
      <c r="Y47" s="267"/>
      <c r="Z47" s="327"/>
      <c r="AA47" s="274"/>
      <c r="AB47" s="274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</row>
    <row r="48" spans="1:239" ht="45" customHeight="1" thickBot="1" x14ac:dyDescent="0.25">
      <c r="J48" s="55"/>
      <c r="K48" s="17"/>
      <c r="L48" s="325"/>
      <c r="M48" s="111"/>
      <c r="N48" s="111"/>
      <c r="O48" s="111"/>
      <c r="P48" s="111"/>
      <c r="Q48" s="111"/>
      <c r="R48" s="111"/>
      <c r="S48" s="268"/>
      <c r="T48" s="328"/>
      <c r="U48" s="267"/>
      <c r="V48" s="267"/>
      <c r="W48" s="267"/>
      <c r="X48" s="267"/>
      <c r="Y48" s="267"/>
      <c r="Z48" s="327"/>
      <c r="AA48" s="274"/>
      <c r="AB48" s="274"/>
    </row>
    <row r="49" spans="1:239" ht="45" customHeight="1" thickBot="1" x14ac:dyDescent="0.25">
      <c r="C49" s="93"/>
      <c r="J49" s="55"/>
      <c r="K49" s="17"/>
      <c r="L49" s="325"/>
      <c r="M49" s="111"/>
      <c r="N49" s="111"/>
      <c r="O49" s="111"/>
      <c r="P49" s="111"/>
      <c r="Q49" s="111"/>
      <c r="R49" s="111"/>
      <c r="S49" s="268"/>
      <c r="T49" s="328"/>
      <c r="U49" s="267"/>
      <c r="V49" s="267"/>
      <c r="W49" s="267"/>
      <c r="X49" s="267"/>
      <c r="Y49" s="267"/>
      <c r="Z49" s="327"/>
      <c r="AA49" s="274"/>
      <c r="AB49" s="274"/>
    </row>
    <row r="50" spans="1:239" ht="45" customHeight="1" thickBot="1" x14ac:dyDescent="0.25">
      <c r="C50" s="93"/>
      <c r="J50" s="55"/>
      <c r="K50" s="17"/>
      <c r="L50" s="325"/>
      <c r="M50" s="111"/>
      <c r="N50" s="111"/>
      <c r="O50" s="111"/>
      <c r="P50" s="111"/>
      <c r="Q50" s="111"/>
      <c r="R50" s="111"/>
      <c r="S50" s="268"/>
      <c r="T50" s="328"/>
      <c r="U50" s="267"/>
      <c r="V50" s="267"/>
      <c r="W50" s="267"/>
      <c r="X50" s="267"/>
      <c r="Y50" s="267"/>
      <c r="Z50" s="327"/>
      <c r="AA50" s="274"/>
      <c r="AB50" s="274"/>
    </row>
    <row r="51" spans="1:239" ht="45" customHeight="1" thickBot="1" x14ac:dyDescent="0.25">
      <c r="J51" s="55"/>
      <c r="K51" s="17"/>
      <c r="L51" s="325"/>
      <c r="M51" s="111"/>
      <c r="N51" s="111"/>
      <c r="O51" s="111"/>
      <c r="P51" s="111"/>
      <c r="Q51" s="111"/>
      <c r="R51" s="111"/>
      <c r="S51" s="268"/>
      <c r="T51" s="328"/>
      <c r="U51" s="267"/>
      <c r="V51" s="267"/>
      <c r="W51" s="267"/>
      <c r="X51" s="267"/>
      <c r="Y51" s="267"/>
      <c r="Z51" s="327"/>
      <c r="AA51" s="274"/>
      <c r="AB51" s="274"/>
    </row>
    <row r="52" spans="1:239" ht="45" customHeight="1" thickBot="1" x14ac:dyDescent="0.25">
      <c r="C52" s="93"/>
      <c r="J52" s="55"/>
      <c r="K52" s="17"/>
      <c r="L52" s="325"/>
      <c r="M52" s="111"/>
      <c r="N52" s="111"/>
      <c r="O52" s="111"/>
      <c r="P52" s="111"/>
      <c r="Q52" s="111"/>
      <c r="R52" s="111"/>
      <c r="S52" s="268"/>
      <c r="T52" s="328"/>
      <c r="U52" s="267"/>
      <c r="V52" s="267"/>
      <c r="W52" s="267"/>
      <c r="X52" s="267"/>
      <c r="Y52" s="267"/>
      <c r="Z52" s="327"/>
      <c r="AA52" s="274"/>
      <c r="AB52" s="274"/>
    </row>
    <row r="53" spans="1:239" ht="45" customHeight="1" thickBot="1" x14ac:dyDescent="0.25">
      <c r="C53" s="35"/>
      <c r="J53" s="55"/>
      <c r="K53" s="17"/>
      <c r="L53" s="325"/>
      <c r="M53" s="111"/>
      <c r="N53" s="111"/>
      <c r="O53" s="111"/>
      <c r="P53" s="111"/>
      <c r="Q53" s="111"/>
      <c r="R53" s="111"/>
      <c r="S53" s="268"/>
      <c r="T53" s="326"/>
      <c r="U53" s="267"/>
      <c r="V53" s="267"/>
      <c r="W53" s="267"/>
      <c r="X53" s="267"/>
      <c r="Y53" s="267"/>
      <c r="Z53" s="327"/>
      <c r="AA53" s="274"/>
      <c r="AB53" s="274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</row>
    <row r="54" spans="1:239" ht="45" customHeight="1" thickBot="1" x14ac:dyDescent="0.25">
      <c r="C54" s="93"/>
      <c r="J54" s="55"/>
      <c r="K54" s="17"/>
      <c r="L54" s="325"/>
      <c r="M54" s="111"/>
      <c r="N54" s="111"/>
      <c r="O54" s="111"/>
      <c r="P54" s="111"/>
      <c r="Q54" s="111"/>
      <c r="R54" s="111"/>
      <c r="S54" s="268"/>
      <c r="T54" s="328"/>
      <c r="U54" s="267"/>
      <c r="V54" s="267"/>
      <c r="W54" s="267"/>
      <c r="X54" s="267"/>
      <c r="Y54" s="267"/>
      <c r="Z54" s="327"/>
      <c r="AA54" s="274"/>
      <c r="AB54" s="274"/>
    </row>
    <row r="55" spans="1:239" ht="45" customHeight="1" thickBot="1" x14ac:dyDescent="0.25">
      <c r="C55" s="93"/>
      <c r="J55" s="55"/>
      <c r="K55" s="17"/>
      <c r="L55" s="325"/>
      <c r="M55" s="111"/>
      <c r="N55" s="111"/>
      <c r="O55" s="111"/>
      <c r="P55" s="111"/>
      <c r="Q55" s="111"/>
      <c r="R55" s="111"/>
      <c r="S55" s="268"/>
      <c r="T55" s="328"/>
      <c r="U55" s="267"/>
      <c r="V55" s="267"/>
      <c r="W55" s="267"/>
      <c r="X55" s="267"/>
      <c r="Y55" s="267"/>
      <c r="Z55" s="327"/>
      <c r="AA55" s="274"/>
      <c r="AB55" s="274"/>
    </row>
    <row r="56" spans="1:239" ht="45" customHeight="1" thickBot="1" x14ac:dyDescent="0.25">
      <c r="C56" s="93"/>
      <c r="J56" s="55"/>
      <c r="K56" s="17"/>
      <c r="L56" s="325"/>
      <c r="M56" s="111"/>
      <c r="N56" s="111"/>
      <c r="O56" s="111"/>
      <c r="P56" s="111"/>
      <c r="Q56" s="111"/>
      <c r="R56" s="111"/>
      <c r="S56" s="268"/>
      <c r="T56" s="328"/>
      <c r="U56" s="267"/>
      <c r="V56" s="267"/>
      <c r="W56" s="267"/>
      <c r="X56" s="267"/>
      <c r="Y56" s="267"/>
      <c r="Z56" s="327"/>
      <c r="AA56" s="274"/>
      <c r="AB56" s="274"/>
    </row>
    <row r="57" spans="1:239" ht="45" customHeight="1" thickBot="1" x14ac:dyDescent="0.25">
      <c r="C57" s="93"/>
      <c r="J57" s="55"/>
      <c r="K57" s="17"/>
      <c r="L57" s="325"/>
      <c r="M57" s="111"/>
      <c r="N57" s="111"/>
      <c r="O57" s="111"/>
      <c r="P57" s="111"/>
      <c r="Q57" s="111"/>
      <c r="R57" s="111"/>
      <c r="S57" s="264"/>
      <c r="T57" s="326"/>
      <c r="U57" s="267"/>
      <c r="V57" s="267"/>
      <c r="W57" s="267"/>
      <c r="X57" s="267"/>
      <c r="Y57" s="267"/>
      <c r="Z57" s="327"/>
      <c r="AA57" s="274"/>
      <c r="AB57" s="27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</row>
    <row r="58" spans="1:239" ht="45" customHeight="1" thickBot="1" x14ac:dyDescent="0.25">
      <c r="C58" s="35"/>
      <c r="J58" s="55"/>
      <c r="K58" s="17"/>
      <c r="L58" s="325"/>
      <c r="M58" s="111"/>
      <c r="N58" s="111"/>
      <c r="O58" s="111"/>
      <c r="P58" s="111"/>
      <c r="Q58" s="111"/>
      <c r="R58" s="111"/>
      <c r="S58" s="264"/>
      <c r="T58" s="328"/>
      <c r="U58" s="267"/>
      <c r="V58" s="267"/>
      <c r="W58" s="267"/>
      <c r="X58" s="267"/>
      <c r="Y58" s="267"/>
      <c r="Z58" s="327"/>
      <c r="AA58" s="274"/>
      <c r="AB58" s="274"/>
    </row>
    <row r="59" spans="1:239" ht="45" customHeight="1" thickBot="1" x14ac:dyDescent="0.25">
      <c r="J59" s="55"/>
      <c r="K59" s="17"/>
      <c r="L59" s="325"/>
      <c r="M59" s="111"/>
      <c r="N59" s="111"/>
      <c r="O59" s="111"/>
      <c r="P59" s="111"/>
      <c r="Q59" s="111"/>
      <c r="R59" s="111"/>
      <c r="S59" s="264"/>
      <c r="T59" s="328"/>
      <c r="U59" s="267"/>
      <c r="V59" s="267"/>
      <c r="W59" s="267"/>
      <c r="X59" s="267"/>
      <c r="Y59" s="267"/>
      <c r="Z59" s="327"/>
      <c r="AA59" s="274"/>
      <c r="AB59" s="274"/>
    </row>
    <row r="60" spans="1:239" ht="45" customHeight="1" thickBot="1" x14ac:dyDescent="0.25">
      <c r="J60" s="55"/>
      <c r="K60" s="17"/>
      <c r="L60" s="325"/>
      <c r="M60" s="111"/>
      <c r="N60" s="111"/>
      <c r="O60" s="111"/>
      <c r="P60" s="111"/>
      <c r="Q60" s="111"/>
      <c r="R60" s="111"/>
      <c r="S60" s="264"/>
      <c r="T60" s="328"/>
      <c r="U60" s="267"/>
      <c r="V60" s="267"/>
      <c r="W60" s="267"/>
      <c r="X60" s="267"/>
      <c r="Y60" s="267"/>
      <c r="Z60" s="327"/>
      <c r="AA60" s="274"/>
      <c r="AB60" s="274"/>
    </row>
    <row r="61" spans="1:239" ht="45" customHeight="1" thickBot="1" x14ac:dyDescent="0.25">
      <c r="A61" s="54"/>
      <c r="J61" s="55"/>
      <c r="K61" s="17"/>
      <c r="L61" s="325"/>
      <c r="M61" s="111"/>
      <c r="N61" s="111"/>
      <c r="O61" s="111"/>
      <c r="P61" s="111"/>
      <c r="Q61" s="111"/>
      <c r="R61" s="111"/>
      <c r="S61" s="264"/>
      <c r="T61" s="328"/>
      <c r="U61" s="267"/>
      <c r="V61" s="267"/>
      <c r="W61" s="267"/>
      <c r="X61" s="267"/>
      <c r="Y61" s="267"/>
      <c r="Z61" s="327"/>
      <c r="AA61" s="274"/>
      <c r="AB61" s="274"/>
    </row>
    <row r="62" spans="1:239" ht="45" customHeight="1" thickBot="1" x14ac:dyDescent="0.25">
      <c r="C62" s="93"/>
      <c r="J62" s="55"/>
      <c r="K62" s="17"/>
      <c r="L62" s="325"/>
      <c r="M62" s="111"/>
      <c r="N62" s="111"/>
      <c r="O62" s="111"/>
      <c r="P62" s="111"/>
      <c r="Q62" s="111"/>
      <c r="R62" s="111"/>
      <c r="S62" s="264"/>
      <c r="T62" s="326"/>
      <c r="U62" s="267"/>
      <c r="V62" s="267"/>
      <c r="W62" s="267"/>
      <c r="X62" s="267"/>
      <c r="Y62" s="267"/>
      <c r="Z62" s="327"/>
      <c r="AA62" s="274"/>
      <c r="AB62" s="274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</row>
    <row r="63" spans="1:239" s="35" customFormat="1" ht="45" customHeight="1" thickBot="1" x14ac:dyDescent="0.25">
      <c r="A63" s="108"/>
      <c r="B63" s="88"/>
      <c r="C63" s="93"/>
      <c r="D63" s="89"/>
      <c r="E63" s="96"/>
      <c r="F63" s="96"/>
      <c r="G63" s="96"/>
      <c r="H63" s="96"/>
      <c r="I63" s="55"/>
      <c r="J63" s="55"/>
      <c r="K63" s="17"/>
      <c r="L63" s="325"/>
      <c r="M63" s="111"/>
      <c r="N63" s="111"/>
      <c r="O63" s="111"/>
      <c r="P63" s="111"/>
      <c r="Q63" s="111"/>
      <c r="R63" s="111"/>
      <c r="S63" s="264"/>
      <c r="T63" s="328"/>
      <c r="U63" s="267"/>
      <c r="V63" s="267"/>
      <c r="W63" s="267"/>
      <c r="X63" s="267"/>
      <c r="Y63" s="267"/>
      <c r="Z63" s="327"/>
      <c r="AA63" s="274"/>
      <c r="AB63" s="274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</row>
    <row r="64" spans="1:239" ht="45" customHeight="1" thickBot="1" x14ac:dyDescent="0.25">
      <c r="C64" s="93"/>
      <c r="E64" s="96"/>
      <c r="F64" s="96"/>
      <c r="G64" s="96"/>
      <c r="H64" s="96"/>
      <c r="J64" s="55"/>
      <c r="K64" s="17"/>
      <c r="L64" s="325"/>
      <c r="M64" s="111"/>
      <c r="N64" s="111"/>
      <c r="O64" s="111"/>
      <c r="P64" s="111"/>
      <c r="Q64" s="111"/>
      <c r="R64" s="111"/>
      <c r="S64" s="264"/>
      <c r="T64" s="326"/>
      <c r="U64" s="267"/>
      <c r="V64" s="267"/>
      <c r="W64" s="267"/>
      <c r="X64" s="267"/>
      <c r="Y64" s="267"/>
      <c r="Z64" s="327"/>
      <c r="AA64" s="274"/>
      <c r="AB64" s="274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</row>
    <row r="65" spans="1:239" ht="45" customHeight="1" thickBot="1" x14ac:dyDescent="0.25">
      <c r="C65" s="35"/>
      <c r="J65" s="55"/>
      <c r="K65" s="17"/>
      <c r="L65" s="325"/>
      <c r="M65" s="111"/>
      <c r="N65" s="111"/>
      <c r="O65" s="111"/>
      <c r="P65" s="111"/>
      <c r="Q65" s="111"/>
      <c r="R65" s="111"/>
      <c r="S65" s="264"/>
      <c r="T65" s="326"/>
      <c r="U65" s="267"/>
      <c r="V65" s="267"/>
      <c r="W65" s="267"/>
      <c r="X65" s="267"/>
      <c r="Y65" s="267"/>
      <c r="Z65" s="327"/>
      <c r="AA65" s="274"/>
      <c r="AB65" s="274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</row>
    <row r="66" spans="1:239" ht="45" customHeight="1" thickBot="1" x14ac:dyDescent="0.25">
      <c r="J66" s="55"/>
      <c r="K66" s="17"/>
      <c r="L66" s="325"/>
      <c r="M66" s="111"/>
      <c r="N66" s="111"/>
      <c r="O66" s="111"/>
      <c r="P66" s="111"/>
      <c r="Q66" s="111"/>
      <c r="R66" s="111"/>
      <c r="S66" s="264"/>
      <c r="T66" s="326"/>
      <c r="U66" s="267"/>
      <c r="V66" s="267"/>
      <c r="W66" s="267"/>
      <c r="X66" s="267"/>
      <c r="Y66" s="267"/>
      <c r="Z66" s="327"/>
      <c r="AA66" s="274"/>
      <c r="AB66" s="274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</row>
    <row r="67" spans="1:239" ht="45" customHeight="1" thickBot="1" x14ac:dyDescent="0.25">
      <c r="C67" s="98"/>
      <c r="J67" s="55"/>
      <c r="K67" s="17"/>
      <c r="L67" s="325"/>
      <c r="M67" s="111"/>
      <c r="N67" s="111"/>
      <c r="O67" s="111"/>
      <c r="P67" s="111"/>
      <c r="Q67" s="111"/>
      <c r="R67" s="111"/>
      <c r="S67" s="264"/>
      <c r="T67" s="326"/>
      <c r="U67" s="267"/>
      <c r="V67" s="267"/>
      <c r="W67" s="267"/>
      <c r="X67" s="267"/>
      <c r="Y67" s="267"/>
      <c r="Z67" s="327"/>
      <c r="AA67" s="274"/>
      <c r="AB67" s="274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</row>
    <row r="68" spans="1:239" ht="45" customHeight="1" thickBot="1" x14ac:dyDescent="0.25">
      <c r="C68" s="98"/>
      <c r="J68" s="55"/>
      <c r="K68" s="17"/>
      <c r="L68" s="325"/>
      <c r="M68" s="111"/>
      <c r="N68" s="111"/>
      <c r="O68" s="111"/>
      <c r="P68" s="111"/>
      <c r="Q68" s="111"/>
      <c r="R68" s="111"/>
      <c r="S68" s="264"/>
      <c r="T68" s="328"/>
      <c r="U68" s="267"/>
      <c r="V68" s="267"/>
      <c r="W68" s="267"/>
      <c r="X68" s="267"/>
      <c r="Y68" s="267"/>
      <c r="Z68" s="327"/>
      <c r="AA68" s="274"/>
      <c r="AB68" s="274"/>
    </row>
    <row r="69" spans="1:239" ht="45" customHeight="1" thickBot="1" x14ac:dyDescent="0.25">
      <c r="C69" s="98"/>
      <c r="J69" s="55"/>
      <c r="K69" s="17"/>
      <c r="L69" s="325"/>
      <c r="M69" s="111"/>
      <c r="N69" s="111"/>
      <c r="O69" s="111"/>
      <c r="P69" s="111"/>
      <c r="Q69" s="111"/>
      <c r="R69" s="111"/>
      <c r="S69" s="264"/>
      <c r="T69" s="326"/>
      <c r="U69" s="267"/>
      <c r="V69" s="267"/>
      <c r="W69" s="267"/>
      <c r="X69" s="267"/>
      <c r="Y69" s="267"/>
      <c r="Z69" s="327"/>
      <c r="AA69" s="274"/>
      <c r="AB69" s="274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</row>
    <row r="70" spans="1:239" ht="45" customHeight="1" thickBot="1" x14ac:dyDescent="0.25">
      <c r="C70" s="98"/>
      <c r="J70" s="55"/>
      <c r="K70" s="17"/>
      <c r="L70" s="325"/>
      <c r="M70" s="111"/>
      <c r="N70" s="111"/>
      <c r="O70" s="111"/>
      <c r="P70" s="111"/>
      <c r="Q70" s="111"/>
      <c r="R70" s="111"/>
      <c r="S70" s="264"/>
      <c r="T70" s="326"/>
      <c r="U70" s="267"/>
      <c r="V70" s="267"/>
      <c r="W70" s="267"/>
      <c r="X70" s="267"/>
      <c r="Y70" s="267"/>
      <c r="Z70" s="327"/>
      <c r="AA70" s="274"/>
      <c r="AB70" s="274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</row>
    <row r="71" spans="1:239" ht="45" customHeight="1" thickBot="1" x14ac:dyDescent="0.25">
      <c r="C71" s="98"/>
      <c r="J71" s="55"/>
      <c r="K71" s="17"/>
      <c r="L71" s="325"/>
      <c r="M71" s="111"/>
      <c r="N71" s="111"/>
      <c r="O71" s="111"/>
      <c r="P71" s="111"/>
      <c r="Q71" s="111"/>
      <c r="R71" s="111"/>
      <c r="S71" s="264"/>
      <c r="T71" s="328"/>
      <c r="U71" s="267"/>
      <c r="V71" s="267"/>
      <c r="W71" s="267"/>
      <c r="X71" s="267"/>
      <c r="Y71" s="267"/>
      <c r="Z71" s="327"/>
      <c r="AA71" s="274"/>
      <c r="AB71" s="274"/>
    </row>
    <row r="72" spans="1:239" ht="45" customHeight="1" thickBot="1" x14ac:dyDescent="0.25">
      <c r="C72" s="98"/>
      <c r="J72" s="55"/>
      <c r="K72" s="17"/>
      <c r="L72" s="325"/>
      <c r="M72" s="111"/>
      <c r="N72" s="111"/>
      <c r="O72" s="111"/>
      <c r="P72" s="111"/>
      <c r="Q72" s="111"/>
      <c r="R72" s="111"/>
      <c r="S72" s="264"/>
      <c r="T72" s="328"/>
      <c r="U72" s="267"/>
      <c r="V72" s="267"/>
      <c r="W72" s="267"/>
      <c r="X72" s="267"/>
      <c r="Y72" s="267"/>
      <c r="Z72" s="327"/>
      <c r="AA72" s="274"/>
      <c r="AB72" s="274"/>
    </row>
    <row r="73" spans="1:239" ht="45" customHeight="1" thickBot="1" x14ac:dyDescent="0.25">
      <c r="C73" s="98"/>
      <c r="J73" s="55"/>
      <c r="K73" s="17"/>
      <c r="L73" s="325"/>
      <c r="M73" s="111"/>
      <c r="N73" s="111"/>
      <c r="O73" s="111"/>
      <c r="P73" s="111"/>
      <c r="Q73" s="111"/>
      <c r="R73" s="111"/>
      <c r="S73" s="264"/>
      <c r="T73" s="328"/>
      <c r="U73" s="267"/>
      <c r="V73" s="267"/>
      <c r="W73" s="267"/>
      <c r="X73" s="267"/>
      <c r="Y73" s="267"/>
      <c r="Z73" s="327"/>
      <c r="AA73" s="274"/>
      <c r="AB73" s="274"/>
    </row>
    <row r="74" spans="1:239" s="35" customFormat="1" ht="45" customHeight="1" thickBot="1" x14ac:dyDescent="0.25">
      <c r="A74" s="108"/>
      <c r="B74" s="88"/>
      <c r="C74" s="56"/>
      <c r="D74" s="88"/>
      <c r="I74" s="55"/>
      <c r="J74" s="55"/>
      <c r="K74" s="17"/>
      <c r="L74" s="325"/>
      <c r="M74" s="111"/>
      <c r="N74" s="111"/>
      <c r="O74" s="111"/>
      <c r="P74" s="111"/>
      <c r="Q74" s="111"/>
      <c r="R74" s="111"/>
      <c r="S74" s="264"/>
      <c r="T74" s="326"/>
      <c r="U74" s="267"/>
      <c r="V74" s="267"/>
      <c r="W74" s="267"/>
      <c r="X74" s="267"/>
      <c r="Y74" s="267"/>
      <c r="Z74" s="327"/>
      <c r="AA74" s="274"/>
      <c r="AB74" s="274"/>
    </row>
    <row r="75" spans="1:239" s="35" customFormat="1" ht="45" customHeight="1" thickBot="1" x14ac:dyDescent="0.25">
      <c r="A75" s="108"/>
      <c r="B75" s="88"/>
      <c r="C75" s="56"/>
      <c r="D75" s="88"/>
      <c r="I75" s="55"/>
      <c r="J75" s="55"/>
      <c r="K75" s="17"/>
      <c r="L75" s="325"/>
      <c r="M75" s="111"/>
      <c r="N75" s="111"/>
      <c r="O75" s="111"/>
      <c r="P75" s="111"/>
      <c r="Q75" s="111"/>
      <c r="R75" s="111"/>
      <c r="S75" s="264"/>
      <c r="T75" s="328"/>
      <c r="U75" s="267"/>
      <c r="V75" s="267"/>
      <c r="W75" s="267"/>
      <c r="X75" s="267"/>
      <c r="Y75" s="267"/>
      <c r="Z75" s="327"/>
      <c r="AA75" s="274"/>
      <c r="AB75" s="274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</row>
    <row r="76" spans="1:239" s="35" customFormat="1" ht="45" customHeight="1" thickBot="1" x14ac:dyDescent="0.25">
      <c r="A76" s="108"/>
      <c r="B76" s="88"/>
      <c r="C76" s="56"/>
      <c r="D76" s="88"/>
      <c r="I76" s="55"/>
      <c r="J76" s="55"/>
      <c r="K76" s="17"/>
      <c r="L76" s="325"/>
      <c r="M76" s="111"/>
      <c r="N76" s="111"/>
      <c r="O76" s="111"/>
      <c r="P76" s="111"/>
      <c r="Q76" s="111"/>
      <c r="R76" s="111"/>
      <c r="S76" s="264"/>
      <c r="T76" s="326"/>
      <c r="U76" s="267"/>
      <c r="V76" s="267"/>
      <c r="W76" s="267"/>
      <c r="X76" s="267"/>
      <c r="Y76" s="267"/>
      <c r="Z76" s="327"/>
      <c r="AA76" s="274"/>
      <c r="AB76" s="274"/>
    </row>
    <row r="77" spans="1:239" s="35" customFormat="1" ht="45" customHeight="1" thickBot="1" x14ac:dyDescent="0.25">
      <c r="A77" s="108"/>
      <c r="B77" s="88"/>
      <c r="C77" s="56"/>
      <c r="D77" s="88"/>
      <c r="I77" s="55"/>
      <c r="J77" s="55"/>
      <c r="K77" s="17"/>
      <c r="L77" s="325"/>
      <c r="M77" s="111"/>
      <c r="N77" s="111"/>
      <c r="O77" s="111"/>
      <c r="P77" s="111"/>
      <c r="Q77" s="111"/>
      <c r="R77" s="111"/>
      <c r="S77" s="264"/>
      <c r="T77" s="326"/>
      <c r="U77" s="267"/>
      <c r="V77" s="267"/>
      <c r="W77" s="267"/>
      <c r="X77" s="267"/>
      <c r="Y77" s="267"/>
      <c r="Z77" s="327"/>
      <c r="AA77" s="274"/>
      <c r="AB77" s="274"/>
    </row>
    <row r="78" spans="1:239" s="35" customFormat="1" ht="45" customHeight="1" thickBot="1" x14ac:dyDescent="0.25">
      <c r="A78" s="108"/>
      <c r="B78" s="88"/>
      <c r="C78" s="56"/>
      <c r="D78" s="88"/>
      <c r="I78" s="55"/>
      <c r="J78" s="55"/>
      <c r="K78" s="17"/>
      <c r="L78" s="325"/>
      <c r="M78" s="111"/>
      <c r="N78" s="111"/>
      <c r="O78" s="111"/>
      <c r="P78" s="111"/>
      <c r="Q78" s="111"/>
      <c r="R78" s="111"/>
      <c r="S78" s="264"/>
      <c r="T78" s="328"/>
      <c r="U78" s="267"/>
      <c r="V78" s="267"/>
      <c r="W78" s="267"/>
      <c r="X78" s="267"/>
      <c r="Y78" s="267"/>
      <c r="Z78" s="327"/>
      <c r="AA78" s="274"/>
      <c r="AB78" s="274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</row>
    <row r="79" spans="1:239" s="35" customFormat="1" ht="45" customHeight="1" thickBot="1" x14ac:dyDescent="0.25">
      <c r="A79" s="108"/>
      <c r="B79" s="88"/>
      <c r="C79" s="40"/>
      <c r="D79" s="88"/>
      <c r="I79" s="55"/>
      <c r="J79" s="55"/>
      <c r="K79" s="17"/>
      <c r="L79" s="325"/>
      <c r="M79" s="111"/>
      <c r="N79" s="111"/>
      <c r="O79" s="111"/>
      <c r="P79" s="111"/>
      <c r="Q79" s="111"/>
      <c r="R79" s="111"/>
      <c r="S79" s="264"/>
      <c r="T79" s="326"/>
      <c r="U79" s="267"/>
      <c r="V79" s="267"/>
      <c r="W79" s="267"/>
      <c r="X79" s="267"/>
      <c r="Y79" s="267"/>
      <c r="Z79" s="327"/>
      <c r="AA79" s="274"/>
      <c r="AB79" s="274"/>
    </row>
    <row r="80" spans="1:239" s="35" customFormat="1" ht="45" customHeight="1" thickBot="1" x14ac:dyDescent="0.25">
      <c r="A80" s="108"/>
      <c r="B80" s="88"/>
      <c r="C80" s="98"/>
      <c r="D80" s="89"/>
      <c r="I80" s="55"/>
      <c r="J80" s="55"/>
      <c r="K80" s="17"/>
      <c r="L80" s="325"/>
      <c r="M80" s="111"/>
      <c r="N80" s="111"/>
      <c r="O80" s="111"/>
      <c r="P80" s="111"/>
      <c r="Q80" s="111"/>
      <c r="R80" s="111"/>
      <c r="S80" s="278"/>
      <c r="T80" s="328"/>
      <c r="U80" s="267"/>
      <c r="V80" s="267"/>
      <c r="W80" s="267"/>
      <c r="X80" s="267"/>
      <c r="Y80" s="267"/>
      <c r="Z80" s="327"/>
      <c r="AA80" s="274"/>
      <c r="AB80" s="274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</row>
    <row r="81" spans="1:239" s="35" customFormat="1" ht="45" customHeight="1" thickBot="1" x14ac:dyDescent="0.25">
      <c r="A81" s="108"/>
      <c r="B81" s="88"/>
      <c r="C81" s="40"/>
      <c r="D81" s="89"/>
      <c r="I81" s="55"/>
      <c r="J81" s="55"/>
      <c r="K81" s="17"/>
      <c r="L81" s="325"/>
      <c r="M81" s="111"/>
      <c r="N81" s="111"/>
      <c r="O81" s="111"/>
      <c r="P81" s="111"/>
      <c r="Q81" s="111"/>
      <c r="R81" s="111"/>
      <c r="S81" s="264"/>
      <c r="T81" s="326"/>
      <c r="U81" s="267"/>
      <c r="V81" s="267"/>
      <c r="W81" s="267"/>
      <c r="X81" s="267"/>
      <c r="Y81" s="267"/>
      <c r="Z81" s="327"/>
      <c r="AA81" s="274"/>
      <c r="AB81" s="274"/>
    </row>
    <row r="82" spans="1:239" s="35" customFormat="1" ht="45" customHeight="1" thickBot="1" x14ac:dyDescent="0.25">
      <c r="A82" s="108"/>
      <c r="B82" s="88"/>
      <c r="C82" s="93"/>
      <c r="D82" s="89"/>
      <c r="I82" s="55"/>
      <c r="J82" s="55"/>
      <c r="K82" s="17"/>
      <c r="L82" s="325"/>
      <c r="M82" s="111"/>
      <c r="N82" s="111"/>
      <c r="O82" s="111"/>
      <c r="P82" s="111"/>
      <c r="Q82" s="111"/>
      <c r="R82" s="111"/>
      <c r="S82" s="264"/>
      <c r="T82" s="328"/>
      <c r="U82" s="267"/>
      <c r="V82" s="267"/>
      <c r="W82" s="267"/>
      <c r="X82" s="267"/>
      <c r="Y82" s="267"/>
      <c r="Z82" s="327"/>
      <c r="AA82" s="274"/>
      <c r="AB82" s="274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</row>
    <row r="83" spans="1:239" s="35" customFormat="1" ht="45" customHeight="1" thickBot="1" x14ac:dyDescent="0.25">
      <c r="A83" s="108"/>
      <c r="B83" s="88"/>
      <c r="C83" s="40"/>
      <c r="D83" s="88"/>
      <c r="I83" s="55"/>
      <c r="J83" s="55"/>
      <c r="K83" s="17"/>
      <c r="L83" s="325"/>
      <c r="M83" s="111"/>
      <c r="N83" s="111"/>
      <c r="O83" s="111"/>
      <c r="P83" s="111"/>
      <c r="Q83" s="111"/>
      <c r="R83" s="111"/>
      <c r="S83" s="264"/>
      <c r="T83" s="328"/>
      <c r="U83" s="267"/>
      <c r="V83" s="267"/>
      <c r="W83" s="267"/>
      <c r="X83" s="267"/>
      <c r="Y83" s="267"/>
      <c r="Z83" s="327"/>
      <c r="AA83" s="274"/>
      <c r="AB83" s="274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</row>
    <row r="84" spans="1:239" ht="45" customHeight="1" thickBot="1" x14ac:dyDescent="0.25">
      <c r="C84" s="93"/>
      <c r="J84" s="55"/>
      <c r="K84" s="17"/>
      <c r="L84" s="325"/>
      <c r="M84" s="111"/>
      <c r="N84" s="111"/>
      <c r="O84" s="111"/>
      <c r="P84" s="111"/>
      <c r="Q84" s="111"/>
      <c r="R84" s="111"/>
      <c r="S84" s="264"/>
      <c r="T84" s="328"/>
      <c r="U84" s="267"/>
      <c r="V84" s="267"/>
      <c r="W84" s="267"/>
      <c r="X84" s="267"/>
      <c r="Y84" s="267"/>
      <c r="Z84" s="327"/>
      <c r="AA84" s="274"/>
      <c r="AB84" s="274"/>
    </row>
    <row r="85" spans="1:239" ht="45" customHeight="1" thickBot="1" x14ac:dyDescent="0.25">
      <c r="C85" s="93"/>
      <c r="J85" s="55"/>
      <c r="K85" s="17"/>
      <c r="L85" s="325"/>
      <c r="M85" s="111"/>
      <c r="N85" s="111"/>
      <c r="O85" s="111"/>
      <c r="P85" s="111"/>
      <c r="Q85" s="111"/>
      <c r="R85" s="111"/>
      <c r="S85" s="264"/>
      <c r="T85" s="328"/>
      <c r="U85" s="267"/>
      <c r="V85" s="267"/>
      <c r="W85" s="267"/>
      <c r="X85" s="267"/>
      <c r="Y85" s="267"/>
      <c r="Z85" s="327"/>
      <c r="AA85" s="274"/>
      <c r="AB85" s="274"/>
    </row>
    <row r="86" spans="1:239" ht="45" customHeight="1" thickBot="1" x14ac:dyDescent="0.3">
      <c r="C86" s="93"/>
      <c r="J86" s="55"/>
      <c r="K86" s="17"/>
      <c r="L86" s="329"/>
      <c r="M86" s="276"/>
      <c r="N86" s="276"/>
      <c r="O86" s="276"/>
      <c r="P86" s="276"/>
      <c r="Q86" s="276"/>
      <c r="R86" s="276"/>
      <c r="S86" s="278"/>
      <c r="T86" s="330"/>
      <c r="U86" s="281"/>
      <c r="V86" s="281"/>
      <c r="W86" s="281"/>
      <c r="X86" s="281"/>
      <c r="Y86" s="281"/>
      <c r="Z86" s="331"/>
      <c r="AA86" s="281"/>
      <c r="AB86" s="281"/>
    </row>
    <row r="87" spans="1:239" ht="45" customHeight="1" thickBot="1" x14ac:dyDescent="0.3">
      <c r="C87" s="56"/>
      <c r="J87" s="55"/>
      <c r="K87" s="17"/>
      <c r="L87" s="329"/>
      <c r="M87" s="276"/>
      <c r="N87" s="276"/>
      <c r="O87" s="276"/>
      <c r="P87" s="276"/>
      <c r="Q87" s="276"/>
      <c r="R87" s="276"/>
      <c r="S87" s="278"/>
      <c r="T87" s="330"/>
      <c r="U87" s="281"/>
      <c r="V87" s="281"/>
      <c r="W87" s="281"/>
      <c r="X87" s="281"/>
      <c r="Y87" s="281"/>
      <c r="Z87" s="331"/>
      <c r="AA87" s="281"/>
      <c r="AB87" s="281"/>
    </row>
    <row r="88" spans="1:239" ht="45" customHeight="1" thickBot="1" x14ac:dyDescent="0.25">
      <c r="J88" s="55"/>
      <c r="K88" s="17"/>
      <c r="L88" s="329"/>
      <c r="M88" s="276"/>
      <c r="N88" s="276"/>
      <c r="O88" s="276"/>
      <c r="P88" s="276"/>
      <c r="Q88" s="276"/>
      <c r="R88" s="276"/>
      <c r="S88" s="278"/>
      <c r="T88" s="332"/>
      <c r="U88" s="281"/>
      <c r="V88" s="281"/>
      <c r="W88" s="281"/>
      <c r="X88" s="281"/>
      <c r="Y88" s="281"/>
      <c r="Z88" s="331"/>
      <c r="AA88" s="281"/>
      <c r="AB88" s="281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</row>
    <row r="89" spans="1:239" ht="45" customHeight="1" thickBot="1" x14ac:dyDescent="0.3">
      <c r="C89" s="35"/>
      <c r="J89" s="55"/>
      <c r="K89" s="17"/>
      <c r="L89" s="329"/>
      <c r="M89" s="276"/>
      <c r="N89" s="276"/>
      <c r="O89" s="276"/>
      <c r="P89" s="276"/>
      <c r="Q89" s="276"/>
      <c r="R89" s="276"/>
      <c r="S89" s="278"/>
      <c r="T89" s="330"/>
      <c r="U89" s="281"/>
      <c r="V89" s="281"/>
      <c r="W89" s="281"/>
      <c r="X89" s="281"/>
      <c r="Y89" s="281"/>
      <c r="Z89" s="331"/>
      <c r="AA89" s="281"/>
      <c r="AB89" s="281"/>
    </row>
    <row r="90" spans="1:239" ht="45" customHeight="1" thickBot="1" x14ac:dyDescent="0.3">
      <c r="J90" s="55"/>
      <c r="K90" s="17"/>
      <c r="L90" s="329"/>
      <c r="M90" s="276"/>
      <c r="N90" s="276"/>
      <c r="O90" s="276"/>
      <c r="P90" s="276"/>
      <c r="Q90" s="276"/>
      <c r="R90" s="276"/>
      <c r="S90" s="278"/>
      <c r="T90" s="330"/>
      <c r="U90" s="281"/>
      <c r="V90" s="281"/>
      <c r="W90" s="281"/>
      <c r="X90" s="281"/>
      <c r="Y90" s="281"/>
      <c r="Z90" s="331"/>
      <c r="AA90" s="281"/>
      <c r="AB90" s="281"/>
    </row>
    <row r="91" spans="1:239" ht="45" customHeight="1" thickBot="1" x14ac:dyDescent="0.3">
      <c r="J91" s="55"/>
      <c r="K91" s="17"/>
      <c r="L91" s="276"/>
      <c r="M91" s="283"/>
      <c r="N91" s="276"/>
      <c r="O91" s="276"/>
      <c r="P91" s="276"/>
      <c r="Q91" s="276"/>
      <c r="R91" s="276"/>
      <c r="S91" s="278"/>
      <c r="T91" s="330"/>
      <c r="U91" s="281"/>
      <c r="V91" s="281"/>
      <c r="W91" s="281"/>
      <c r="X91" s="281"/>
      <c r="Y91" s="281"/>
      <c r="Z91" s="331"/>
      <c r="AA91" s="281"/>
      <c r="AB91" s="281"/>
    </row>
    <row r="92" spans="1:239" ht="45" customHeight="1" thickBot="1" x14ac:dyDescent="0.3">
      <c r="C92" s="93"/>
      <c r="J92" s="55"/>
      <c r="K92" s="17"/>
      <c r="L92" s="276"/>
      <c r="M92" s="283"/>
      <c r="N92" s="276"/>
      <c r="O92" s="276"/>
      <c r="P92" s="276"/>
      <c r="Q92" s="276"/>
      <c r="R92" s="276"/>
      <c r="S92" s="278"/>
      <c r="T92" s="330"/>
      <c r="U92" s="281"/>
      <c r="V92" s="281"/>
      <c r="W92" s="281"/>
      <c r="X92" s="281"/>
      <c r="Y92" s="281"/>
      <c r="Z92" s="331"/>
      <c r="AA92" s="281"/>
      <c r="AB92" s="281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</row>
    <row r="93" spans="1:239" ht="45" customHeight="1" thickBot="1" x14ac:dyDescent="0.25">
      <c r="C93" s="98"/>
      <c r="J93" s="55"/>
      <c r="K93" s="17"/>
      <c r="L93" s="329"/>
      <c r="M93" s="276"/>
      <c r="N93" s="276"/>
      <c r="O93" s="276"/>
      <c r="P93" s="276"/>
      <c r="Q93" s="276"/>
      <c r="R93" s="276"/>
      <c r="S93" s="278"/>
      <c r="T93" s="332"/>
      <c r="U93" s="281"/>
      <c r="V93" s="281"/>
      <c r="W93" s="281"/>
      <c r="X93" s="281"/>
      <c r="Y93" s="281"/>
      <c r="Z93" s="331"/>
      <c r="AA93" s="281"/>
      <c r="AB93" s="281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</row>
    <row r="94" spans="1:239" ht="45" customHeight="1" thickBot="1" x14ac:dyDescent="0.25">
      <c r="C94" s="98"/>
      <c r="J94" s="55"/>
      <c r="K94" s="17"/>
      <c r="L94" s="329"/>
      <c r="M94" s="276"/>
      <c r="N94" s="276"/>
      <c r="O94" s="276"/>
      <c r="P94" s="276"/>
      <c r="Q94" s="276"/>
      <c r="R94" s="276"/>
      <c r="S94" s="278"/>
      <c r="T94" s="332"/>
      <c r="U94" s="281"/>
      <c r="V94" s="281"/>
      <c r="W94" s="281"/>
      <c r="X94" s="281"/>
      <c r="Y94" s="281"/>
      <c r="Z94" s="331"/>
      <c r="AA94" s="281"/>
      <c r="AB94" s="281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</row>
    <row r="95" spans="1:239" ht="45" customHeight="1" thickBot="1" x14ac:dyDescent="0.3">
      <c r="C95" s="98"/>
      <c r="J95" s="55"/>
      <c r="K95" s="17"/>
      <c r="L95" s="329"/>
      <c r="M95" s="276"/>
      <c r="N95" s="276"/>
      <c r="O95" s="276"/>
      <c r="P95" s="276"/>
      <c r="Q95" s="276"/>
      <c r="R95" s="276"/>
      <c r="S95" s="278"/>
      <c r="T95" s="330"/>
      <c r="U95" s="281"/>
      <c r="V95" s="281"/>
      <c r="W95" s="281"/>
      <c r="X95" s="281"/>
      <c r="Y95" s="281"/>
      <c r="Z95" s="331"/>
      <c r="AA95" s="281"/>
      <c r="AB95" s="281"/>
    </row>
    <row r="96" spans="1:239" ht="45" customHeight="1" thickBot="1" x14ac:dyDescent="0.25">
      <c r="C96" s="98"/>
      <c r="J96" s="55"/>
      <c r="K96" s="17"/>
      <c r="L96" s="329"/>
      <c r="M96" s="276"/>
      <c r="N96" s="276"/>
      <c r="O96" s="276"/>
      <c r="P96" s="276"/>
      <c r="Q96" s="276"/>
      <c r="R96" s="276"/>
      <c r="S96" s="278"/>
      <c r="T96" s="332"/>
      <c r="U96" s="281"/>
      <c r="V96" s="281"/>
      <c r="W96" s="281"/>
      <c r="X96" s="281"/>
      <c r="Y96" s="281"/>
      <c r="Z96" s="331"/>
      <c r="AA96" s="281"/>
      <c r="AB96" s="281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</row>
    <row r="97" spans="3:239" ht="45" customHeight="1" thickBot="1" x14ac:dyDescent="0.3">
      <c r="C97" s="98"/>
      <c r="J97" s="55"/>
      <c r="K97" s="17"/>
      <c r="L97" s="329"/>
      <c r="M97" s="276"/>
      <c r="N97" s="276"/>
      <c r="O97" s="276"/>
      <c r="P97" s="276"/>
      <c r="Q97" s="276"/>
      <c r="R97" s="276"/>
      <c r="S97" s="278"/>
      <c r="T97" s="330"/>
      <c r="U97" s="281"/>
      <c r="V97" s="281"/>
      <c r="W97" s="281"/>
      <c r="X97" s="281"/>
      <c r="Y97" s="281"/>
      <c r="Z97" s="331"/>
      <c r="AA97" s="281"/>
      <c r="AB97" s="281"/>
    </row>
    <row r="98" spans="3:239" ht="45" customHeight="1" thickBot="1" x14ac:dyDescent="0.3">
      <c r="J98" s="55"/>
      <c r="K98" s="17"/>
      <c r="L98" s="329"/>
      <c r="M98" s="276"/>
      <c r="N98" s="276"/>
      <c r="O98" s="276"/>
      <c r="P98" s="276"/>
      <c r="Q98" s="276"/>
      <c r="R98" s="276"/>
      <c r="S98" s="278"/>
      <c r="T98" s="330"/>
      <c r="U98" s="281"/>
      <c r="V98" s="281"/>
      <c r="W98" s="281"/>
      <c r="X98" s="281"/>
      <c r="Y98" s="281"/>
      <c r="Z98" s="331"/>
      <c r="AA98" s="281"/>
      <c r="AB98" s="281"/>
    </row>
    <row r="99" spans="3:239" ht="45" customHeight="1" thickBot="1" x14ac:dyDescent="0.3">
      <c r="C99" s="97"/>
      <c r="J99" s="55"/>
      <c r="K99" s="17"/>
      <c r="L99" s="329"/>
      <c r="M99" s="276"/>
      <c r="N99" s="276"/>
      <c r="O99" s="276"/>
      <c r="P99" s="276"/>
      <c r="Q99" s="276"/>
      <c r="R99" s="276"/>
      <c r="S99" s="278"/>
      <c r="T99" s="330"/>
      <c r="U99" s="281"/>
      <c r="V99" s="281"/>
      <c r="W99" s="281"/>
      <c r="X99" s="281"/>
      <c r="Y99" s="281"/>
      <c r="Z99" s="331"/>
      <c r="AA99" s="281"/>
      <c r="AB99" s="281"/>
    </row>
    <row r="100" spans="3:239" ht="45" customHeight="1" thickBot="1" x14ac:dyDescent="0.25">
      <c r="C100" s="97"/>
      <c r="J100" s="55"/>
      <c r="K100" s="17"/>
      <c r="L100" s="329"/>
      <c r="M100" s="276"/>
      <c r="N100" s="276"/>
      <c r="O100" s="276"/>
      <c r="P100" s="276"/>
      <c r="Q100" s="276"/>
      <c r="R100" s="276"/>
      <c r="S100" s="278"/>
      <c r="T100" s="332"/>
      <c r="U100" s="281"/>
      <c r="V100" s="281"/>
      <c r="W100" s="281"/>
      <c r="X100" s="281"/>
      <c r="Y100" s="281"/>
      <c r="Z100" s="331"/>
      <c r="AA100" s="281"/>
      <c r="AB100" s="281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</row>
    <row r="101" spans="3:239" ht="45" customHeight="1" thickBot="1" x14ac:dyDescent="0.3">
      <c r="C101" s="97"/>
      <c r="J101" s="55"/>
      <c r="K101" s="17"/>
      <c r="L101" s="329"/>
      <c r="M101" s="276"/>
      <c r="N101" s="276"/>
      <c r="O101" s="276"/>
      <c r="P101" s="276"/>
      <c r="Q101" s="276"/>
      <c r="R101" s="276"/>
      <c r="S101" s="278"/>
      <c r="T101" s="330"/>
      <c r="U101" s="281"/>
      <c r="V101" s="281"/>
      <c r="W101" s="281"/>
      <c r="X101" s="281"/>
      <c r="Y101" s="281"/>
      <c r="Z101" s="331"/>
      <c r="AA101" s="281"/>
      <c r="AB101" s="281"/>
    </row>
    <row r="102" spans="3:239" ht="45" customHeight="1" thickBot="1" x14ac:dyDescent="0.3">
      <c r="C102" s="97"/>
      <c r="J102" s="55"/>
      <c r="K102" s="17"/>
      <c r="L102" s="329"/>
      <c r="M102" s="276"/>
      <c r="N102" s="276"/>
      <c r="O102" s="276"/>
      <c r="P102" s="276"/>
      <c r="Q102" s="276"/>
      <c r="R102" s="276"/>
      <c r="S102" s="278"/>
      <c r="T102" s="330"/>
      <c r="U102" s="281"/>
      <c r="V102" s="281"/>
      <c r="W102" s="281"/>
      <c r="X102" s="281"/>
      <c r="Y102" s="281"/>
      <c r="Z102" s="331"/>
      <c r="AA102" s="281"/>
      <c r="AB102" s="281"/>
    </row>
    <row r="103" spans="3:239" ht="45" customHeight="1" thickBot="1" x14ac:dyDescent="0.25">
      <c r="C103" s="97"/>
      <c r="J103" s="55"/>
      <c r="K103" s="17"/>
      <c r="L103" s="329"/>
      <c r="M103" s="276"/>
      <c r="N103" s="276"/>
      <c r="O103" s="276"/>
      <c r="P103" s="276"/>
      <c r="Q103" s="276"/>
      <c r="R103" s="276"/>
      <c r="S103" s="278"/>
      <c r="T103" s="332"/>
      <c r="U103" s="281"/>
      <c r="V103" s="281"/>
      <c r="W103" s="281"/>
      <c r="X103" s="281"/>
      <c r="Y103" s="281"/>
      <c r="Z103" s="331"/>
      <c r="AA103" s="281"/>
      <c r="AB103" s="281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</row>
    <row r="104" spans="3:239" ht="45" customHeight="1" thickBot="1" x14ac:dyDescent="0.3">
      <c r="C104" s="98"/>
      <c r="J104" s="55"/>
      <c r="K104" s="17"/>
      <c r="L104" s="329"/>
      <c r="M104" s="276"/>
      <c r="N104" s="276"/>
      <c r="O104" s="276"/>
      <c r="P104" s="276"/>
      <c r="Q104" s="276"/>
      <c r="R104" s="276"/>
      <c r="S104" s="278"/>
      <c r="T104" s="330"/>
      <c r="U104" s="281"/>
      <c r="V104" s="281"/>
      <c r="W104" s="281"/>
      <c r="X104" s="281"/>
      <c r="Y104" s="281"/>
      <c r="Z104" s="331"/>
      <c r="AA104" s="281"/>
      <c r="AB104" s="281"/>
    </row>
    <row r="105" spans="3:239" ht="45" customHeight="1" thickBot="1" x14ac:dyDescent="0.3">
      <c r="C105" s="98"/>
      <c r="J105" s="55"/>
      <c r="K105" s="17"/>
      <c r="L105" s="329"/>
      <c r="M105" s="276"/>
      <c r="N105" s="276"/>
      <c r="O105" s="276"/>
      <c r="P105" s="276"/>
      <c r="Q105" s="276"/>
      <c r="R105" s="276"/>
      <c r="S105" s="278"/>
      <c r="T105" s="330"/>
      <c r="U105" s="281"/>
      <c r="V105" s="281"/>
      <c r="W105" s="281"/>
      <c r="X105" s="281"/>
      <c r="Y105" s="281"/>
      <c r="Z105" s="331"/>
      <c r="AA105" s="281"/>
      <c r="AB105" s="281"/>
    </row>
    <row r="106" spans="3:239" ht="45" customHeight="1" thickBot="1" x14ac:dyDescent="0.3">
      <c r="C106" s="98"/>
      <c r="J106" s="55"/>
      <c r="K106" s="17"/>
      <c r="L106" s="329"/>
      <c r="M106" s="276"/>
      <c r="N106" s="276"/>
      <c r="O106" s="276"/>
      <c r="P106" s="276"/>
      <c r="Q106" s="276"/>
      <c r="R106" s="276"/>
      <c r="S106" s="278"/>
      <c r="T106" s="330"/>
      <c r="U106" s="281"/>
      <c r="V106" s="281"/>
      <c r="W106" s="281"/>
      <c r="X106" s="281"/>
      <c r="Y106" s="281"/>
      <c r="Z106" s="331"/>
      <c r="AA106" s="281"/>
      <c r="AB106" s="281"/>
    </row>
    <row r="107" spans="3:239" ht="45" customHeight="1" thickBot="1" x14ac:dyDescent="0.3">
      <c r="C107" s="98"/>
      <c r="J107" s="55"/>
      <c r="K107" s="17"/>
      <c r="L107" s="329"/>
      <c r="M107" s="276"/>
      <c r="N107" s="276"/>
      <c r="O107" s="276"/>
      <c r="P107" s="276"/>
      <c r="Q107" s="276"/>
      <c r="R107" s="276"/>
      <c r="S107" s="278"/>
      <c r="T107" s="330"/>
      <c r="U107" s="281"/>
      <c r="V107" s="281"/>
      <c r="W107" s="281"/>
      <c r="X107" s="281"/>
      <c r="Y107" s="281"/>
      <c r="Z107" s="331"/>
      <c r="AA107" s="281"/>
      <c r="AB107" s="281"/>
    </row>
    <row r="108" spans="3:239" ht="45" customHeight="1" thickBot="1" x14ac:dyDescent="0.3">
      <c r="C108" s="98"/>
      <c r="J108" s="55"/>
      <c r="K108" s="17"/>
      <c r="L108" s="329"/>
      <c r="M108" s="276"/>
      <c r="N108" s="276"/>
      <c r="O108" s="276"/>
      <c r="P108" s="276"/>
      <c r="Q108" s="276"/>
      <c r="R108" s="276"/>
      <c r="S108" s="278"/>
      <c r="T108" s="330"/>
      <c r="U108" s="281"/>
      <c r="V108" s="281"/>
      <c r="W108" s="281"/>
      <c r="X108" s="281"/>
      <c r="Y108" s="281"/>
      <c r="Z108" s="331"/>
      <c r="AA108" s="281"/>
      <c r="AB108" s="281"/>
    </row>
    <row r="109" spans="3:239" ht="45" customHeight="1" thickBot="1" x14ac:dyDescent="0.25">
      <c r="C109" s="98"/>
      <c r="J109" s="55"/>
      <c r="K109" s="17"/>
      <c r="L109" s="329"/>
      <c r="M109" s="276"/>
      <c r="N109" s="276"/>
      <c r="O109" s="276"/>
      <c r="P109" s="276"/>
      <c r="Q109" s="276"/>
      <c r="R109" s="276"/>
      <c r="S109" s="278"/>
      <c r="T109" s="332"/>
      <c r="U109" s="281"/>
      <c r="V109" s="281"/>
      <c r="W109" s="281"/>
      <c r="X109" s="281"/>
      <c r="Y109" s="281"/>
      <c r="Z109" s="331"/>
      <c r="AA109" s="281"/>
      <c r="AB109" s="281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</row>
    <row r="110" spans="3:239" ht="45" customHeight="1" thickBot="1" x14ac:dyDescent="0.3">
      <c r="C110" s="98"/>
      <c r="J110" s="55"/>
      <c r="K110" s="17"/>
      <c r="L110" s="329"/>
      <c r="M110" s="276"/>
      <c r="N110" s="276"/>
      <c r="O110" s="276"/>
      <c r="P110" s="276"/>
      <c r="Q110" s="276"/>
      <c r="R110" s="276"/>
      <c r="S110" s="278"/>
      <c r="T110" s="330"/>
      <c r="U110" s="281"/>
      <c r="V110" s="281"/>
      <c r="W110" s="281"/>
      <c r="X110" s="281"/>
      <c r="Y110" s="281"/>
      <c r="Z110" s="331"/>
      <c r="AA110" s="281"/>
      <c r="AB110" s="281"/>
    </row>
    <row r="111" spans="3:239" ht="45" customHeight="1" thickBot="1" x14ac:dyDescent="0.3">
      <c r="J111" s="55"/>
      <c r="K111" s="17"/>
      <c r="L111" s="329"/>
      <c r="M111" s="276"/>
      <c r="N111" s="276"/>
      <c r="O111" s="276"/>
      <c r="P111" s="276"/>
      <c r="Q111" s="276"/>
      <c r="R111" s="276"/>
      <c r="S111" s="278"/>
      <c r="T111" s="330"/>
      <c r="U111" s="281"/>
      <c r="V111" s="281"/>
      <c r="W111" s="281"/>
      <c r="X111" s="281"/>
      <c r="Y111" s="281"/>
      <c r="Z111" s="331"/>
      <c r="AA111" s="281"/>
      <c r="AB111" s="281"/>
    </row>
    <row r="112" spans="3:239" ht="45" customHeight="1" thickBot="1" x14ac:dyDescent="0.25">
      <c r="J112" s="55"/>
      <c r="K112" s="17"/>
      <c r="L112" s="329"/>
      <c r="M112" s="276"/>
      <c r="N112" s="276"/>
      <c r="O112" s="276"/>
      <c r="P112" s="276"/>
      <c r="Q112" s="276"/>
      <c r="R112" s="276"/>
      <c r="S112" s="278"/>
      <c r="T112" s="332"/>
      <c r="U112" s="281"/>
      <c r="V112" s="281"/>
      <c r="W112" s="281"/>
      <c r="X112" s="281"/>
      <c r="Y112" s="281"/>
      <c r="Z112" s="331"/>
      <c r="AA112" s="281"/>
      <c r="AB112" s="281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</row>
    <row r="113" spans="1:239" ht="45" customHeight="1" thickBot="1" x14ac:dyDescent="0.3">
      <c r="J113" s="55"/>
      <c r="K113" s="17"/>
      <c r="L113" s="329"/>
      <c r="M113" s="276"/>
      <c r="N113" s="276"/>
      <c r="O113" s="276"/>
      <c r="P113" s="276"/>
      <c r="Q113" s="276"/>
      <c r="R113" s="276"/>
      <c r="S113" s="278"/>
      <c r="T113" s="330"/>
      <c r="U113" s="281"/>
      <c r="V113" s="281"/>
      <c r="W113" s="281"/>
      <c r="X113" s="281"/>
      <c r="Y113" s="281"/>
      <c r="Z113" s="331"/>
      <c r="AA113" s="281"/>
      <c r="AB113" s="281"/>
    </row>
    <row r="114" spans="1:239" ht="45" customHeight="1" thickBot="1" x14ac:dyDescent="0.25">
      <c r="C114" s="98"/>
      <c r="J114" s="55"/>
      <c r="K114" s="17"/>
      <c r="L114" s="329"/>
      <c r="M114" s="276"/>
      <c r="N114" s="276"/>
      <c r="O114" s="276"/>
      <c r="P114" s="276"/>
      <c r="Q114" s="276"/>
      <c r="R114" s="276"/>
      <c r="S114" s="278"/>
      <c r="T114" s="332"/>
      <c r="U114" s="281"/>
      <c r="V114" s="281"/>
      <c r="W114" s="281"/>
      <c r="X114" s="281"/>
      <c r="Y114" s="281"/>
      <c r="Z114" s="331"/>
      <c r="AA114" s="281"/>
      <c r="AB114" s="281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</row>
    <row r="115" spans="1:239" ht="45" customHeight="1" thickBot="1" x14ac:dyDescent="0.3">
      <c r="C115" s="98"/>
      <c r="J115" s="55"/>
      <c r="K115" s="17"/>
      <c r="L115" s="329"/>
      <c r="M115" s="276"/>
      <c r="N115" s="276"/>
      <c r="O115" s="276"/>
      <c r="P115" s="276"/>
      <c r="Q115" s="276"/>
      <c r="R115" s="276"/>
      <c r="S115" s="278"/>
      <c r="T115" s="330"/>
      <c r="U115" s="281"/>
      <c r="V115" s="281"/>
      <c r="W115" s="281"/>
      <c r="X115" s="281"/>
      <c r="Y115" s="281"/>
      <c r="Z115" s="331"/>
      <c r="AA115" s="281"/>
      <c r="AB115" s="281"/>
    </row>
    <row r="116" spans="1:239" ht="45" customHeight="1" thickBot="1" x14ac:dyDescent="0.3">
      <c r="C116" s="98"/>
      <c r="J116" s="55"/>
      <c r="K116" s="17"/>
      <c r="L116" s="329"/>
      <c r="M116" s="276"/>
      <c r="N116" s="276"/>
      <c r="O116" s="276"/>
      <c r="P116" s="276"/>
      <c r="Q116" s="276"/>
      <c r="R116" s="276"/>
      <c r="S116" s="278"/>
      <c r="T116" s="330"/>
      <c r="U116" s="281"/>
      <c r="V116" s="281"/>
      <c r="W116" s="281"/>
      <c r="X116" s="281"/>
      <c r="Y116" s="281"/>
      <c r="Z116" s="331"/>
      <c r="AA116" s="281"/>
      <c r="AB116" s="281"/>
    </row>
    <row r="117" spans="1:239" ht="45" customHeight="1" thickBot="1" x14ac:dyDescent="0.25">
      <c r="C117" s="98"/>
      <c r="J117" s="55"/>
      <c r="K117" s="17"/>
      <c r="L117" s="329"/>
      <c r="M117" s="276"/>
      <c r="N117" s="276"/>
      <c r="O117" s="276"/>
      <c r="P117" s="276"/>
      <c r="Q117" s="276"/>
      <c r="R117" s="276"/>
      <c r="S117" s="278"/>
      <c r="T117" s="332"/>
      <c r="U117" s="281"/>
      <c r="V117" s="281"/>
      <c r="W117" s="281"/>
      <c r="X117" s="281"/>
      <c r="Y117" s="281"/>
      <c r="Z117" s="331"/>
      <c r="AA117" s="281"/>
      <c r="AB117" s="281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</row>
    <row r="118" spans="1:239" ht="45" customHeight="1" thickBot="1" x14ac:dyDescent="0.25">
      <c r="J118" s="55"/>
      <c r="K118" s="17"/>
      <c r="L118" s="329"/>
      <c r="M118" s="276"/>
      <c r="N118" s="276"/>
      <c r="O118" s="276"/>
      <c r="P118" s="276"/>
      <c r="Q118" s="276"/>
      <c r="R118" s="276"/>
      <c r="S118" s="278"/>
      <c r="T118" s="332"/>
      <c r="U118" s="281"/>
      <c r="V118" s="281"/>
      <c r="W118" s="281"/>
      <c r="X118" s="281"/>
      <c r="Y118" s="281"/>
      <c r="Z118" s="331"/>
      <c r="AA118" s="281"/>
      <c r="AB118" s="281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</row>
    <row r="119" spans="1:239" ht="45" customHeight="1" thickBot="1" x14ac:dyDescent="0.3">
      <c r="C119" s="35"/>
      <c r="J119" s="55"/>
      <c r="K119" s="17"/>
      <c r="L119" s="329"/>
      <c r="M119" s="276"/>
      <c r="N119" s="276"/>
      <c r="O119" s="276"/>
      <c r="P119" s="276"/>
      <c r="Q119" s="276"/>
      <c r="R119" s="276"/>
      <c r="S119" s="278"/>
      <c r="T119" s="330"/>
      <c r="U119" s="281"/>
      <c r="V119" s="281"/>
      <c r="W119" s="281"/>
      <c r="X119" s="281"/>
      <c r="Y119" s="281"/>
      <c r="Z119" s="331"/>
      <c r="AA119" s="281"/>
      <c r="AB119" s="281"/>
    </row>
    <row r="120" spans="1:239" ht="45" customHeight="1" thickBot="1" x14ac:dyDescent="0.25">
      <c r="C120" s="35"/>
      <c r="J120" s="55"/>
      <c r="K120" s="17"/>
      <c r="L120" s="329"/>
      <c r="M120" s="276"/>
      <c r="N120" s="276"/>
      <c r="O120" s="276"/>
      <c r="P120" s="276"/>
      <c r="Q120" s="276"/>
      <c r="R120" s="276"/>
      <c r="S120" s="278"/>
      <c r="T120" s="332"/>
      <c r="U120" s="281"/>
      <c r="V120" s="281"/>
      <c r="W120" s="281"/>
      <c r="X120" s="281"/>
      <c r="Y120" s="281"/>
      <c r="Z120" s="331"/>
      <c r="AA120" s="281"/>
      <c r="AB120" s="281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</row>
    <row r="121" spans="1:239" s="35" customFormat="1" ht="45" customHeight="1" thickBot="1" x14ac:dyDescent="0.3">
      <c r="A121" s="108"/>
      <c r="B121" s="88"/>
      <c r="D121" s="89"/>
      <c r="I121" s="55"/>
      <c r="J121" s="55"/>
      <c r="K121" s="17"/>
      <c r="L121" s="329"/>
      <c r="M121" s="276"/>
      <c r="N121" s="276"/>
      <c r="O121" s="276"/>
      <c r="P121" s="276"/>
      <c r="Q121" s="276"/>
      <c r="R121" s="276"/>
      <c r="S121" s="278"/>
      <c r="T121" s="330"/>
      <c r="U121" s="281"/>
      <c r="V121" s="281"/>
      <c r="W121" s="281"/>
      <c r="X121" s="281"/>
      <c r="Y121" s="281"/>
      <c r="Z121" s="331"/>
      <c r="AA121" s="281"/>
      <c r="AB121" s="281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</row>
    <row r="122" spans="1:239" s="35" customFormat="1" ht="45" customHeight="1" thickBot="1" x14ac:dyDescent="0.3">
      <c r="A122" s="108"/>
      <c r="B122" s="88"/>
      <c r="C122" s="93"/>
      <c r="D122" s="89"/>
      <c r="I122" s="55"/>
      <c r="J122" s="55"/>
      <c r="K122" s="17"/>
      <c r="L122" s="329"/>
      <c r="M122" s="276"/>
      <c r="N122" s="276"/>
      <c r="O122" s="276"/>
      <c r="P122" s="276"/>
      <c r="Q122" s="276"/>
      <c r="R122" s="276"/>
      <c r="S122" s="278"/>
      <c r="T122" s="330"/>
      <c r="U122" s="281"/>
      <c r="V122" s="281"/>
      <c r="W122" s="281"/>
      <c r="X122" s="281"/>
      <c r="Y122" s="281"/>
      <c r="Z122" s="331"/>
      <c r="AA122" s="281"/>
      <c r="AB122" s="281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</row>
    <row r="123" spans="1:239" s="35" customFormat="1" ht="45" customHeight="1" thickBot="1" x14ac:dyDescent="0.3">
      <c r="A123" s="54"/>
      <c r="B123" s="88"/>
      <c r="C123" s="40"/>
      <c r="D123" s="89"/>
      <c r="I123" s="55"/>
      <c r="J123" s="55"/>
      <c r="K123" s="17"/>
      <c r="L123" s="329"/>
      <c r="M123" s="276"/>
      <c r="N123" s="276"/>
      <c r="O123" s="276"/>
      <c r="P123" s="276"/>
      <c r="Q123" s="276"/>
      <c r="R123" s="276"/>
      <c r="S123" s="278"/>
      <c r="T123" s="330"/>
      <c r="U123" s="281"/>
      <c r="V123" s="281"/>
      <c r="W123" s="281"/>
      <c r="X123" s="281"/>
      <c r="Y123" s="281"/>
      <c r="Z123" s="331"/>
      <c r="AA123" s="281"/>
      <c r="AB123" s="281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</row>
    <row r="124" spans="1:239" ht="45" customHeight="1" thickBot="1" x14ac:dyDescent="0.25">
      <c r="C124" s="35"/>
      <c r="J124" s="55"/>
      <c r="K124" s="17"/>
      <c r="L124" s="329"/>
      <c r="M124" s="276"/>
      <c r="N124" s="276"/>
      <c r="O124" s="276"/>
      <c r="P124" s="276"/>
      <c r="Q124" s="276"/>
      <c r="R124" s="276"/>
      <c r="S124" s="278"/>
      <c r="T124" s="332"/>
      <c r="U124" s="281"/>
      <c r="V124" s="281"/>
      <c r="W124" s="281"/>
      <c r="X124" s="281"/>
      <c r="Y124" s="281"/>
      <c r="Z124" s="331"/>
      <c r="AA124" s="281"/>
      <c r="AB124" s="281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</row>
    <row r="125" spans="1:239" ht="45" customHeight="1" thickBot="1" x14ac:dyDescent="0.3">
      <c r="J125" s="55"/>
      <c r="K125" s="17"/>
      <c r="L125" s="329"/>
      <c r="M125" s="276"/>
      <c r="N125" s="276"/>
      <c r="O125" s="276"/>
      <c r="P125" s="276"/>
      <c r="Q125" s="276"/>
      <c r="R125" s="276"/>
      <c r="S125" s="278"/>
      <c r="T125" s="330"/>
      <c r="U125" s="281"/>
      <c r="V125" s="281"/>
      <c r="W125" s="281"/>
      <c r="X125" s="281"/>
      <c r="Y125" s="281"/>
      <c r="Z125" s="331"/>
      <c r="AA125" s="281"/>
      <c r="AB125" s="281"/>
    </row>
    <row r="126" spans="1:239" ht="45" customHeight="1" thickBot="1" x14ac:dyDescent="0.3">
      <c r="C126" s="98"/>
      <c r="J126" s="55"/>
      <c r="K126" s="17"/>
      <c r="L126" s="329"/>
      <c r="M126" s="276"/>
      <c r="N126" s="276"/>
      <c r="O126" s="276"/>
      <c r="P126" s="276"/>
      <c r="Q126" s="276"/>
      <c r="R126" s="276"/>
      <c r="S126" s="278"/>
      <c r="T126" s="330"/>
      <c r="U126" s="281"/>
      <c r="V126" s="281"/>
      <c r="W126" s="281"/>
      <c r="X126" s="281"/>
      <c r="Y126" s="281"/>
      <c r="Z126" s="331"/>
      <c r="AA126" s="281"/>
      <c r="AB126" s="281"/>
    </row>
    <row r="127" spans="1:239" ht="45" customHeight="1" thickBot="1" x14ac:dyDescent="0.3">
      <c r="C127" s="98"/>
      <c r="J127" s="55"/>
      <c r="K127" s="17"/>
      <c r="L127" s="329"/>
      <c r="M127" s="276"/>
      <c r="N127" s="276"/>
      <c r="O127" s="276"/>
      <c r="P127" s="276"/>
      <c r="Q127" s="276"/>
      <c r="R127" s="276"/>
      <c r="S127" s="278"/>
      <c r="T127" s="330"/>
      <c r="U127" s="281"/>
      <c r="V127" s="281"/>
      <c r="W127" s="281"/>
      <c r="X127" s="281"/>
      <c r="Y127" s="281"/>
      <c r="Z127" s="331"/>
      <c r="AA127" s="281"/>
      <c r="AB127" s="281"/>
    </row>
    <row r="128" spans="1:239" ht="45" customHeight="1" thickBot="1" x14ac:dyDescent="0.25">
      <c r="C128" s="98"/>
      <c r="J128" s="55"/>
      <c r="K128" s="17"/>
      <c r="L128" s="329"/>
      <c r="M128" s="276"/>
      <c r="N128" s="276"/>
      <c r="O128" s="276"/>
      <c r="P128" s="276"/>
      <c r="Q128" s="276"/>
      <c r="R128" s="276"/>
      <c r="S128" s="278"/>
      <c r="T128" s="332"/>
      <c r="U128" s="281"/>
      <c r="V128" s="281"/>
      <c r="W128" s="281"/>
      <c r="X128" s="281"/>
      <c r="Y128" s="281"/>
      <c r="Z128" s="331"/>
      <c r="AA128" s="281"/>
      <c r="AB128" s="281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</row>
    <row r="129" spans="1:239" ht="45" customHeight="1" thickBot="1" x14ac:dyDescent="0.3">
      <c r="A129" s="54"/>
      <c r="C129" s="98"/>
      <c r="J129" s="55"/>
      <c r="K129" s="17"/>
      <c r="L129" s="329"/>
      <c r="M129" s="276"/>
      <c r="N129" s="276"/>
      <c r="O129" s="276"/>
      <c r="P129" s="276"/>
      <c r="Q129" s="276"/>
      <c r="R129" s="276"/>
      <c r="S129" s="278"/>
      <c r="T129" s="330"/>
      <c r="U129" s="281"/>
      <c r="V129" s="281"/>
      <c r="W129" s="281"/>
      <c r="X129" s="281"/>
      <c r="Y129" s="281"/>
      <c r="Z129" s="331"/>
      <c r="AA129" s="281"/>
      <c r="AB129" s="281"/>
    </row>
    <row r="130" spans="1:239" ht="45" customHeight="1" thickBot="1" x14ac:dyDescent="0.3">
      <c r="J130" s="55"/>
      <c r="K130" s="17"/>
      <c r="L130" s="329"/>
      <c r="M130" s="276"/>
      <c r="N130" s="276"/>
      <c r="O130" s="276"/>
      <c r="P130" s="276"/>
      <c r="Q130" s="276"/>
      <c r="R130" s="276"/>
      <c r="S130" s="278"/>
      <c r="T130" s="330"/>
      <c r="U130" s="281"/>
      <c r="V130" s="281"/>
      <c r="W130" s="281"/>
      <c r="X130" s="281"/>
      <c r="Y130" s="281"/>
      <c r="Z130" s="331"/>
      <c r="AA130" s="281"/>
      <c r="AB130" s="281"/>
    </row>
    <row r="131" spans="1:239" s="35" customFormat="1" ht="45" customHeight="1" thickBot="1" x14ac:dyDescent="0.3">
      <c r="A131" s="108"/>
      <c r="B131" s="88"/>
      <c r="C131" s="40"/>
      <c r="D131" s="89"/>
      <c r="I131" s="55"/>
      <c r="J131" s="55"/>
      <c r="K131" s="17"/>
      <c r="L131" s="329"/>
      <c r="M131" s="276"/>
      <c r="N131" s="276"/>
      <c r="O131" s="276"/>
      <c r="P131" s="276"/>
      <c r="Q131" s="276"/>
      <c r="R131" s="276"/>
      <c r="S131" s="278"/>
      <c r="T131" s="330"/>
      <c r="U131" s="281"/>
      <c r="V131" s="281"/>
      <c r="W131" s="281"/>
      <c r="X131" s="281"/>
      <c r="Y131" s="281"/>
      <c r="Z131" s="331"/>
      <c r="AA131" s="281"/>
      <c r="AB131" s="281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</row>
    <row r="132" spans="1:239" s="35" customFormat="1" ht="45" customHeight="1" thickBot="1" x14ac:dyDescent="0.3">
      <c r="A132" s="108"/>
      <c r="B132" s="88"/>
      <c r="C132" s="40"/>
      <c r="D132" s="89"/>
      <c r="I132" s="55"/>
      <c r="J132" s="55"/>
      <c r="K132" s="17"/>
      <c r="L132" s="329"/>
      <c r="M132" s="276"/>
      <c r="N132" s="276"/>
      <c r="O132" s="276"/>
      <c r="P132" s="276"/>
      <c r="Q132" s="276"/>
      <c r="R132" s="276"/>
      <c r="S132" s="278"/>
      <c r="T132" s="330"/>
      <c r="U132" s="281"/>
      <c r="V132" s="281"/>
      <c r="W132" s="281"/>
      <c r="X132" s="281"/>
      <c r="Y132" s="281"/>
      <c r="Z132" s="331"/>
      <c r="AA132" s="281"/>
      <c r="AB132" s="281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</row>
    <row r="133" spans="1:239" s="35" customFormat="1" ht="45" customHeight="1" thickBot="1" x14ac:dyDescent="0.25">
      <c r="A133" s="108"/>
      <c r="B133" s="88"/>
      <c r="C133" s="40"/>
      <c r="D133" s="89"/>
      <c r="I133" s="55"/>
      <c r="J133" s="55"/>
      <c r="K133" s="17"/>
      <c r="L133" s="329"/>
      <c r="M133" s="276"/>
      <c r="N133" s="276"/>
      <c r="O133" s="276"/>
      <c r="P133" s="276"/>
      <c r="Q133" s="276"/>
      <c r="R133" s="276"/>
      <c r="S133" s="278"/>
      <c r="T133" s="332"/>
      <c r="U133" s="281"/>
      <c r="V133" s="281"/>
      <c r="W133" s="281"/>
      <c r="X133" s="281"/>
      <c r="Y133" s="281"/>
      <c r="Z133" s="331"/>
      <c r="AA133" s="281"/>
      <c r="AB133" s="281"/>
    </row>
    <row r="134" spans="1:239" s="35" customFormat="1" ht="45" customHeight="1" thickBot="1" x14ac:dyDescent="0.25">
      <c r="A134" s="108"/>
      <c r="B134" s="88"/>
      <c r="C134" s="40"/>
      <c r="D134" s="89"/>
      <c r="I134" s="55"/>
      <c r="J134" s="55"/>
      <c r="K134" s="17"/>
      <c r="L134" s="329"/>
      <c r="M134" s="276"/>
      <c r="N134" s="276"/>
      <c r="O134" s="276"/>
      <c r="P134" s="276"/>
      <c r="Q134" s="276"/>
      <c r="R134" s="276"/>
      <c r="S134" s="278"/>
      <c r="T134" s="332"/>
      <c r="U134" s="281"/>
      <c r="V134" s="281"/>
      <c r="W134" s="281"/>
      <c r="X134" s="281"/>
      <c r="Y134" s="281"/>
      <c r="Z134" s="331"/>
      <c r="AA134" s="281"/>
      <c r="AB134" s="281"/>
    </row>
    <row r="135" spans="1:239" ht="45" customHeight="1" thickBot="1" x14ac:dyDescent="0.3">
      <c r="J135" s="55"/>
      <c r="K135" s="17"/>
      <c r="L135" s="329"/>
      <c r="M135" s="276"/>
      <c r="N135" s="276"/>
      <c r="O135" s="276"/>
      <c r="P135" s="276"/>
      <c r="Q135" s="276"/>
      <c r="R135" s="276"/>
      <c r="S135" s="278"/>
      <c r="T135" s="330"/>
      <c r="U135" s="281"/>
      <c r="V135" s="281"/>
      <c r="W135" s="281"/>
      <c r="X135" s="281"/>
      <c r="Y135" s="281"/>
      <c r="Z135" s="331"/>
      <c r="AA135" s="281"/>
      <c r="AB135" s="281"/>
    </row>
    <row r="136" spans="1:239" ht="45" customHeight="1" thickBot="1" x14ac:dyDescent="0.3">
      <c r="C136" s="35"/>
      <c r="J136" s="55"/>
      <c r="K136" s="17"/>
      <c r="L136" s="329"/>
      <c r="M136" s="276"/>
      <c r="N136" s="276"/>
      <c r="O136" s="276"/>
      <c r="P136" s="276"/>
      <c r="Q136" s="276"/>
      <c r="R136" s="276"/>
      <c r="S136" s="278"/>
      <c r="T136" s="330"/>
      <c r="U136" s="281"/>
      <c r="V136" s="281"/>
      <c r="W136" s="281"/>
      <c r="X136" s="281"/>
      <c r="Y136" s="281"/>
      <c r="Z136" s="331"/>
      <c r="AA136" s="281"/>
      <c r="AB136" s="281"/>
    </row>
    <row r="137" spans="1:239" ht="45" customHeight="1" thickBot="1" x14ac:dyDescent="0.3">
      <c r="C137" s="35"/>
      <c r="J137" s="55"/>
      <c r="K137" s="17"/>
      <c r="L137" s="329"/>
      <c r="M137" s="276"/>
      <c r="N137" s="276"/>
      <c r="O137" s="276"/>
      <c r="P137" s="276"/>
      <c r="Q137" s="276"/>
      <c r="R137" s="276"/>
      <c r="S137" s="278"/>
      <c r="T137" s="330"/>
      <c r="U137" s="281"/>
      <c r="V137" s="281"/>
      <c r="W137" s="281"/>
      <c r="X137" s="281"/>
      <c r="Y137" s="281"/>
      <c r="Z137" s="331"/>
      <c r="AA137" s="281"/>
      <c r="AB137" s="281"/>
    </row>
    <row r="138" spans="1:239" ht="45" customHeight="1" thickBot="1" x14ac:dyDescent="0.3">
      <c r="J138" s="55"/>
      <c r="K138" s="17"/>
      <c r="L138" s="329"/>
      <c r="M138" s="276"/>
      <c r="N138" s="276"/>
      <c r="O138" s="276"/>
      <c r="P138" s="276"/>
      <c r="Q138" s="276"/>
      <c r="R138" s="276"/>
      <c r="S138" s="278"/>
      <c r="T138" s="330"/>
      <c r="U138" s="281"/>
      <c r="V138" s="281"/>
      <c r="W138" s="281"/>
      <c r="X138" s="281"/>
      <c r="Y138" s="281"/>
      <c r="Z138" s="331"/>
      <c r="AA138" s="281"/>
      <c r="AB138" s="281"/>
    </row>
    <row r="139" spans="1:239" ht="45" customHeight="1" thickBot="1" x14ac:dyDescent="0.25">
      <c r="J139" s="55"/>
      <c r="K139" s="17"/>
      <c r="L139" s="329"/>
      <c r="M139" s="276"/>
      <c r="N139" s="276"/>
      <c r="O139" s="276"/>
      <c r="P139" s="276"/>
      <c r="Q139" s="276"/>
      <c r="R139" s="276"/>
      <c r="S139" s="278"/>
      <c r="T139" s="332"/>
      <c r="U139" s="281"/>
      <c r="V139" s="281"/>
      <c r="W139" s="281"/>
      <c r="X139" s="281"/>
      <c r="Y139" s="281"/>
      <c r="Z139" s="331"/>
      <c r="AA139" s="281"/>
      <c r="AB139" s="281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</row>
    <row r="140" spans="1:239" ht="45" customHeight="1" thickBot="1" x14ac:dyDescent="0.3">
      <c r="C140" s="35"/>
      <c r="J140" s="55"/>
      <c r="K140" s="17"/>
      <c r="L140" s="329"/>
      <c r="M140" s="276"/>
      <c r="N140" s="276"/>
      <c r="O140" s="276"/>
      <c r="P140" s="276"/>
      <c r="Q140" s="276"/>
      <c r="R140" s="276"/>
      <c r="S140" s="278"/>
      <c r="T140" s="330"/>
      <c r="U140" s="281"/>
      <c r="V140" s="281"/>
      <c r="W140" s="281"/>
      <c r="X140" s="281"/>
      <c r="Y140" s="281"/>
      <c r="Z140" s="331"/>
      <c r="AA140" s="281"/>
      <c r="AB140" s="281"/>
    </row>
    <row r="141" spans="1:239" ht="45" customHeight="1" thickBot="1" x14ac:dyDescent="0.3">
      <c r="J141" s="55"/>
      <c r="K141" s="17"/>
      <c r="L141" s="329"/>
      <c r="M141" s="276"/>
      <c r="N141" s="276"/>
      <c r="O141" s="276"/>
      <c r="P141" s="276"/>
      <c r="Q141" s="276"/>
      <c r="R141" s="276"/>
      <c r="S141" s="278"/>
      <c r="T141" s="330"/>
      <c r="U141" s="281"/>
      <c r="V141" s="281"/>
      <c r="W141" s="281"/>
      <c r="X141" s="281"/>
      <c r="Y141" s="281"/>
      <c r="Z141" s="331"/>
      <c r="AA141" s="281"/>
      <c r="AB141" s="281"/>
    </row>
    <row r="142" spans="1:239" ht="45" customHeight="1" thickBot="1" x14ac:dyDescent="0.3">
      <c r="J142" s="55"/>
      <c r="K142" s="17"/>
      <c r="L142" s="329"/>
      <c r="M142" s="276"/>
      <c r="N142" s="276"/>
      <c r="O142" s="276"/>
      <c r="P142" s="276"/>
      <c r="Q142" s="276"/>
      <c r="R142" s="276"/>
      <c r="S142" s="278"/>
      <c r="T142" s="330"/>
      <c r="U142" s="281"/>
      <c r="V142" s="281"/>
      <c r="W142" s="281"/>
      <c r="X142" s="281"/>
      <c r="Y142" s="281"/>
      <c r="Z142" s="331"/>
      <c r="AA142" s="281"/>
      <c r="AB142" s="281"/>
    </row>
    <row r="143" spans="1:239" ht="45" customHeight="1" thickBot="1" x14ac:dyDescent="0.3">
      <c r="C143" s="93"/>
      <c r="J143" s="55"/>
      <c r="K143" s="17"/>
      <c r="L143" s="329"/>
      <c r="M143" s="276"/>
      <c r="N143" s="276"/>
      <c r="O143" s="276"/>
      <c r="P143" s="276"/>
      <c r="Q143" s="276"/>
      <c r="R143" s="276"/>
      <c r="S143" s="278"/>
      <c r="T143" s="330"/>
      <c r="U143" s="281"/>
      <c r="V143" s="281"/>
      <c r="W143" s="281"/>
      <c r="X143" s="281"/>
      <c r="Y143" s="281"/>
      <c r="Z143" s="331"/>
      <c r="AA143" s="281"/>
      <c r="AB143" s="281"/>
    </row>
    <row r="144" spans="1:239" ht="45" customHeight="1" thickBot="1" x14ac:dyDescent="0.3">
      <c r="J144" s="55"/>
      <c r="K144" s="17"/>
      <c r="L144" s="329"/>
      <c r="M144" s="276"/>
      <c r="N144" s="276"/>
      <c r="O144" s="276"/>
      <c r="P144" s="276"/>
      <c r="Q144" s="276"/>
      <c r="R144" s="276"/>
      <c r="S144" s="278"/>
      <c r="T144" s="330"/>
      <c r="U144" s="281"/>
      <c r="V144" s="281"/>
      <c r="W144" s="281"/>
      <c r="X144" s="281"/>
      <c r="Y144" s="281"/>
      <c r="Z144" s="331"/>
      <c r="AA144" s="281"/>
      <c r="AB144" s="281"/>
    </row>
    <row r="145" spans="3:239" ht="45" customHeight="1" thickBot="1" x14ac:dyDescent="0.25">
      <c r="J145" s="55"/>
      <c r="K145" s="17"/>
      <c r="L145" s="329"/>
      <c r="M145" s="276"/>
      <c r="N145" s="276"/>
      <c r="O145" s="276"/>
      <c r="P145" s="276"/>
      <c r="Q145" s="276"/>
      <c r="R145" s="276"/>
      <c r="S145" s="278"/>
      <c r="T145" s="332"/>
      <c r="U145" s="281"/>
      <c r="V145" s="281"/>
      <c r="W145" s="281"/>
      <c r="X145" s="281"/>
      <c r="Y145" s="281"/>
      <c r="Z145" s="331"/>
      <c r="AA145" s="281"/>
      <c r="AB145" s="281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</row>
    <row r="146" spans="3:239" ht="45" customHeight="1" thickBot="1" x14ac:dyDescent="0.3">
      <c r="C146" s="93"/>
      <c r="J146" s="55"/>
      <c r="K146" s="17"/>
      <c r="L146" s="329"/>
      <c r="M146" s="276"/>
      <c r="N146" s="276"/>
      <c r="O146" s="276"/>
      <c r="P146" s="276"/>
      <c r="Q146" s="276"/>
      <c r="R146" s="276"/>
      <c r="S146" s="278"/>
      <c r="T146" s="330"/>
      <c r="U146" s="281"/>
      <c r="V146" s="281"/>
      <c r="W146" s="281"/>
      <c r="X146" s="281"/>
      <c r="Y146" s="281"/>
      <c r="Z146" s="331"/>
      <c r="AA146" s="281"/>
      <c r="AB146" s="281"/>
    </row>
    <row r="147" spans="3:239" ht="45" customHeight="1" thickBot="1" x14ac:dyDescent="0.3">
      <c r="C147" s="35"/>
      <c r="J147" s="55"/>
      <c r="K147" s="17"/>
      <c r="L147" s="329"/>
      <c r="M147" s="276"/>
      <c r="N147" s="276"/>
      <c r="O147" s="276"/>
      <c r="P147" s="276"/>
      <c r="Q147" s="276"/>
      <c r="R147" s="276"/>
      <c r="S147" s="278"/>
      <c r="T147" s="330"/>
      <c r="U147" s="281"/>
      <c r="V147" s="281"/>
      <c r="W147" s="281"/>
      <c r="X147" s="281"/>
      <c r="Y147" s="281"/>
      <c r="Z147" s="331"/>
      <c r="AA147" s="281"/>
      <c r="AB147" s="281"/>
    </row>
    <row r="148" spans="3:239" ht="45" customHeight="1" thickBot="1" x14ac:dyDescent="0.3">
      <c r="C148" s="94"/>
      <c r="E148" s="96"/>
      <c r="F148" s="96"/>
      <c r="G148" s="96"/>
      <c r="H148" s="96"/>
      <c r="J148" s="55"/>
      <c r="K148" s="17"/>
      <c r="L148" s="329"/>
      <c r="M148" s="276"/>
      <c r="N148" s="276"/>
      <c r="O148" s="276"/>
      <c r="P148" s="276"/>
      <c r="Q148" s="276"/>
      <c r="R148" s="276"/>
      <c r="S148" s="278"/>
      <c r="T148" s="330"/>
      <c r="U148" s="281"/>
      <c r="V148" s="281"/>
      <c r="W148" s="281"/>
      <c r="X148" s="281"/>
      <c r="Y148" s="281"/>
      <c r="Z148" s="331"/>
      <c r="AA148" s="281"/>
      <c r="AB148" s="281"/>
    </row>
    <row r="149" spans="3:239" ht="45" customHeight="1" thickBot="1" x14ac:dyDescent="0.25">
      <c r="C149" s="35"/>
      <c r="J149" s="55"/>
      <c r="K149" s="17"/>
      <c r="L149" s="329"/>
      <c r="M149" s="276"/>
      <c r="N149" s="276"/>
      <c r="O149" s="276"/>
      <c r="P149" s="276"/>
      <c r="Q149" s="276"/>
      <c r="R149" s="276"/>
      <c r="S149" s="278"/>
      <c r="T149" s="332"/>
      <c r="U149" s="281"/>
      <c r="V149" s="281"/>
      <c r="W149" s="281"/>
      <c r="X149" s="281"/>
      <c r="Y149" s="281"/>
      <c r="Z149" s="331"/>
      <c r="AA149" s="281"/>
      <c r="AB149" s="281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</row>
    <row r="150" spans="3:239" ht="45" customHeight="1" thickBot="1" x14ac:dyDescent="0.25">
      <c r="C150" s="93"/>
      <c r="E150" s="96"/>
      <c r="F150" s="96"/>
      <c r="G150" s="96"/>
      <c r="H150" s="96"/>
      <c r="J150" s="55"/>
      <c r="K150" s="17"/>
      <c r="L150" s="329"/>
      <c r="M150" s="276"/>
      <c r="N150" s="276"/>
      <c r="O150" s="276"/>
      <c r="P150" s="276"/>
      <c r="Q150" s="276"/>
      <c r="R150" s="276"/>
      <c r="S150" s="278"/>
      <c r="T150" s="332"/>
      <c r="U150" s="281"/>
      <c r="V150" s="281"/>
      <c r="W150" s="281"/>
      <c r="X150" s="281"/>
      <c r="Y150" s="281"/>
      <c r="Z150" s="331"/>
      <c r="AA150" s="281"/>
      <c r="AB150" s="281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</row>
    <row r="151" spans="3:239" ht="45" customHeight="1" thickBot="1" x14ac:dyDescent="0.3">
      <c r="J151" s="55"/>
      <c r="K151" s="17"/>
      <c r="L151" s="329"/>
      <c r="M151" s="276"/>
      <c r="N151" s="276"/>
      <c r="O151" s="276"/>
      <c r="P151" s="276"/>
      <c r="Q151" s="276"/>
      <c r="R151" s="276"/>
      <c r="S151" s="278"/>
      <c r="T151" s="330"/>
      <c r="U151" s="281"/>
      <c r="V151" s="281"/>
      <c r="W151" s="281"/>
      <c r="X151" s="281"/>
      <c r="Y151" s="281"/>
      <c r="Z151" s="331"/>
      <c r="AA151" s="281"/>
      <c r="AB151" s="281"/>
    </row>
    <row r="152" spans="3:239" ht="45" customHeight="1" thickBot="1" x14ac:dyDescent="0.3">
      <c r="C152" s="100"/>
      <c r="J152" s="55"/>
      <c r="K152" s="17"/>
      <c r="L152" s="329"/>
      <c r="M152" s="276"/>
      <c r="N152" s="276"/>
      <c r="O152" s="276"/>
      <c r="P152" s="276"/>
      <c r="Q152" s="276"/>
      <c r="R152" s="276"/>
      <c r="S152" s="278"/>
      <c r="T152" s="330"/>
      <c r="U152" s="281"/>
      <c r="V152" s="281"/>
      <c r="W152" s="281"/>
      <c r="X152" s="281"/>
      <c r="Y152" s="281"/>
      <c r="Z152" s="331"/>
      <c r="AA152" s="281"/>
      <c r="AB152" s="281"/>
    </row>
    <row r="153" spans="3:239" ht="45" customHeight="1" thickBot="1" x14ac:dyDescent="0.3">
      <c r="C153" s="93"/>
      <c r="J153" s="55"/>
      <c r="K153" s="17"/>
      <c r="L153" s="329"/>
      <c r="M153" s="276"/>
      <c r="N153" s="276"/>
      <c r="O153" s="276"/>
      <c r="P153" s="276"/>
      <c r="Q153" s="276"/>
      <c r="R153" s="276"/>
      <c r="S153" s="278"/>
      <c r="T153" s="330"/>
      <c r="U153" s="281"/>
      <c r="V153" s="281"/>
      <c r="W153" s="281"/>
      <c r="X153" s="281"/>
      <c r="Y153" s="281"/>
      <c r="Z153" s="331"/>
      <c r="AA153" s="281"/>
      <c r="AB153" s="281"/>
    </row>
    <row r="154" spans="3:239" ht="45" customHeight="1" thickBot="1" x14ac:dyDescent="0.25">
      <c r="J154" s="55"/>
      <c r="K154" s="17"/>
      <c r="L154" s="329"/>
      <c r="M154" s="276"/>
      <c r="N154" s="276"/>
      <c r="O154" s="276"/>
      <c r="P154" s="276"/>
      <c r="Q154" s="276"/>
      <c r="R154" s="276"/>
      <c r="S154" s="278"/>
      <c r="T154" s="332"/>
      <c r="U154" s="281"/>
      <c r="V154" s="281"/>
      <c r="W154" s="281"/>
      <c r="X154" s="281"/>
      <c r="Y154" s="281"/>
      <c r="Z154" s="331"/>
      <c r="AA154" s="281"/>
      <c r="AB154" s="281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</row>
    <row r="155" spans="3:239" ht="45" customHeight="1" thickBot="1" x14ac:dyDescent="0.3">
      <c r="J155" s="55"/>
      <c r="K155" s="17"/>
      <c r="L155" s="329"/>
      <c r="M155" s="276"/>
      <c r="N155" s="276"/>
      <c r="O155" s="276"/>
      <c r="P155" s="276"/>
      <c r="Q155" s="276"/>
      <c r="R155" s="276"/>
      <c r="S155" s="278"/>
      <c r="T155" s="330"/>
      <c r="U155" s="281"/>
      <c r="V155" s="281"/>
      <c r="W155" s="281"/>
      <c r="X155" s="281"/>
      <c r="Y155" s="281"/>
      <c r="Z155" s="331"/>
      <c r="AA155" s="281"/>
      <c r="AB155" s="281"/>
    </row>
    <row r="156" spans="3:239" ht="45" customHeight="1" thickBot="1" x14ac:dyDescent="0.25">
      <c r="J156" s="55"/>
      <c r="K156" s="333"/>
      <c r="L156" s="329"/>
      <c r="M156" s="276"/>
      <c r="N156" s="276"/>
      <c r="O156" s="276"/>
      <c r="P156" s="276"/>
      <c r="Q156" s="276"/>
      <c r="R156" s="276"/>
      <c r="S156" s="278"/>
      <c r="T156" s="332"/>
      <c r="U156" s="281"/>
      <c r="V156" s="281"/>
      <c r="W156" s="281"/>
      <c r="X156" s="281"/>
      <c r="Y156" s="281"/>
      <c r="Z156" s="331"/>
      <c r="AA156" s="281"/>
      <c r="AB156" s="281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</row>
    <row r="157" spans="3:239" ht="45" customHeight="1" thickBot="1" x14ac:dyDescent="0.3">
      <c r="J157" s="55"/>
      <c r="K157" s="333"/>
      <c r="L157" s="329"/>
      <c r="M157" s="276"/>
      <c r="N157" s="276"/>
      <c r="O157" s="276"/>
      <c r="P157" s="276"/>
      <c r="Q157" s="276"/>
      <c r="R157" s="276"/>
      <c r="S157" s="278"/>
      <c r="T157" s="330"/>
      <c r="U157" s="281"/>
      <c r="V157" s="281"/>
      <c r="W157" s="281"/>
      <c r="X157" s="281"/>
      <c r="Y157" s="281"/>
      <c r="Z157" s="331"/>
      <c r="AA157" s="281"/>
      <c r="AB157" s="281"/>
    </row>
    <row r="158" spans="3:239" ht="45" customHeight="1" thickBot="1" x14ac:dyDescent="0.25">
      <c r="J158" s="55"/>
      <c r="K158" s="17"/>
      <c r="L158" s="329"/>
      <c r="M158" s="276"/>
      <c r="N158" s="276"/>
      <c r="O158" s="276"/>
      <c r="P158" s="276"/>
      <c r="Q158" s="276"/>
      <c r="R158" s="276"/>
      <c r="S158" s="278"/>
      <c r="T158" s="332"/>
      <c r="U158" s="281"/>
      <c r="V158" s="281"/>
      <c r="W158" s="281"/>
      <c r="X158" s="281"/>
      <c r="Y158" s="281"/>
      <c r="Z158" s="331"/>
      <c r="AA158" s="281"/>
      <c r="AB158" s="281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</row>
    <row r="159" spans="3:239" ht="45" customHeight="1" thickBot="1" x14ac:dyDescent="0.3">
      <c r="C159" s="93"/>
      <c r="J159" s="55"/>
      <c r="K159" s="17"/>
      <c r="L159" s="329"/>
      <c r="M159" s="276"/>
      <c r="N159" s="276"/>
      <c r="O159" s="276"/>
      <c r="P159" s="276"/>
      <c r="Q159" s="276"/>
      <c r="R159" s="276"/>
      <c r="S159" s="278"/>
      <c r="T159" s="330"/>
      <c r="U159" s="281"/>
      <c r="V159" s="281"/>
      <c r="W159" s="281"/>
      <c r="X159" s="281"/>
      <c r="Y159" s="281"/>
      <c r="Z159" s="331"/>
      <c r="AA159" s="281"/>
      <c r="AB159" s="281"/>
    </row>
    <row r="160" spans="3:239" ht="45" customHeight="1" thickBot="1" x14ac:dyDescent="0.25">
      <c r="C160" s="93"/>
      <c r="J160" s="55"/>
      <c r="K160" s="333"/>
      <c r="L160" s="329"/>
      <c r="M160" s="276"/>
      <c r="N160" s="276"/>
      <c r="O160" s="276"/>
      <c r="P160" s="276"/>
      <c r="Q160" s="276"/>
      <c r="R160" s="276"/>
      <c r="S160" s="278"/>
      <c r="T160" s="332"/>
      <c r="U160" s="281"/>
      <c r="V160" s="281"/>
      <c r="W160" s="281"/>
      <c r="X160" s="281"/>
      <c r="Y160" s="281"/>
      <c r="Z160" s="331"/>
      <c r="AA160" s="281"/>
      <c r="AB160" s="281"/>
    </row>
    <row r="161" spans="1:239" ht="45" customHeight="1" thickBot="1" x14ac:dyDescent="0.3">
      <c r="C161" s="93"/>
      <c r="J161" s="55"/>
      <c r="K161" s="333"/>
      <c r="L161" s="329"/>
      <c r="M161" s="276"/>
      <c r="N161" s="276"/>
      <c r="O161" s="276"/>
      <c r="P161" s="276"/>
      <c r="Q161" s="276"/>
      <c r="R161" s="276"/>
      <c r="S161" s="278"/>
      <c r="T161" s="330"/>
      <c r="U161" s="281"/>
      <c r="V161" s="281"/>
      <c r="W161" s="281"/>
      <c r="X161" s="281"/>
      <c r="Y161" s="281"/>
      <c r="Z161" s="331"/>
      <c r="AA161" s="281"/>
      <c r="AB161" s="281"/>
    </row>
    <row r="162" spans="1:239" ht="45" customHeight="1" thickBot="1" x14ac:dyDescent="0.3">
      <c r="J162" s="55"/>
      <c r="K162" s="17"/>
      <c r="L162" s="329"/>
      <c r="M162" s="276"/>
      <c r="N162" s="276"/>
      <c r="O162" s="276"/>
      <c r="P162" s="276"/>
      <c r="Q162" s="276"/>
      <c r="R162" s="276"/>
      <c r="S162" s="278"/>
      <c r="T162" s="330"/>
      <c r="U162" s="281"/>
      <c r="V162" s="281"/>
      <c r="W162" s="281"/>
      <c r="X162" s="281"/>
      <c r="Y162" s="281"/>
      <c r="Z162" s="331"/>
      <c r="AA162" s="281"/>
      <c r="AB162" s="281"/>
    </row>
    <row r="163" spans="1:239" ht="45" customHeight="1" thickBot="1" x14ac:dyDescent="0.3">
      <c r="C163" s="35"/>
      <c r="J163" s="55"/>
      <c r="K163" s="17"/>
      <c r="L163" s="329"/>
      <c r="M163" s="276"/>
      <c r="N163" s="276"/>
      <c r="O163" s="276"/>
      <c r="P163" s="276"/>
      <c r="Q163" s="276"/>
      <c r="R163" s="276"/>
      <c r="S163" s="278"/>
      <c r="T163" s="330"/>
      <c r="U163" s="281"/>
      <c r="V163" s="281"/>
      <c r="W163" s="281"/>
      <c r="X163" s="281"/>
      <c r="Y163" s="281"/>
      <c r="Z163" s="331"/>
      <c r="AA163" s="281"/>
      <c r="AB163" s="281"/>
    </row>
    <row r="164" spans="1:239" ht="45" customHeight="1" thickBot="1" x14ac:dyDescent="0.3">
      <c r="C164" s="93"/>
      <c r="J164" s="55"/>
      <c r="K164" s="17"/>
      <c r="L164" s="329"/>
      <c r="M164" s="276"/>
      <c r="N164" s="276"/>
      <c r="O164" s="276"/>
      <c r="P164" s="276"/>
      <c r="Q164" s="276"/>
      <c r="R164" s="276"/>
      <c r="S164" s="278"/>
      <c r="T164" s="330"/>
      <c r="U164" s="281"/>
      <c r="V164" s="281"/>
      <c r="W164" s="281"/>
      <c r="X164" s="281"/>
      <c r="Y164" s="281"/>
      <c r="Z164" s="331"/>
      <c r="AA164" s="281"/>
      <c r="AB164" s="281"/>
    </row>
    <row r="165" spans="1:239" ht="45" customHeight="1" thickBot="1" x14ac:dyDescent="0.25">
      <c r="C165" s="35"/>
      <c r="J165" s="55"/>
      <c r="K165" s="17"/>
      <c r="L165" s="329"/>
      <c r="M165" s="276"/>
      <c r="N165" s="276"/>
      <c r="O165" s="276"/>
      <c r="P165" s="276"/>
      <c r="Q165" s="276"/>
      <c r="R165" s="276"/>
      <c r="S165" s="278"/>
      <c r="T165" s="332"/>
      <c r="U165" s="281"/>
      <c r="V165" s="281"/>
      <c r="W165" s="281"/>
      <c r="X165" s="281"/>
      <c r="Y165" s="281"/>
      <c r="Z165" s="331"/>
      <c r="AA165" s="281"/>
      <c r="AB165" s="281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</row>
    <row r="166" spans="1:239" ht="45" customHeight="1" thickBot="1" x14ac:dyDescent="0.3">
      <c r="J166" s="55"/>
      <c r="K166" s="17"/>
      <c r="L166" s="329"/>
      <c r="M166" s="276"/>
      <c r="N166" s="276"/>
      <c r="O166" s="276"/>
      <c r="P166" s="276"/>
      <c r="Q166" s="276"/>
      <c r="R166" s="276"/>
      <c r="S166" s="278"/>
      <c r="T166" s="330"/>
      <c r="U166" s="281"/>
      <c r="V166" s="281"/>
      <c r="W166" s="281"/>
      <c r="X166" s="281"/>
      <c r="Y166" s="281"/>
      <c r="Z166" s="331"/>
      <c r="AA166" s="281"/>
      <c r="AB166" s="281"/>
    </row>
    <row r="167" spans="1:239" ht="45" customHeight="1" thickBot="1" x14ac:dyDescent="0.3">
      <c r="C167" s="93"/>
      <c r="E167" s="96"/>
      <c r="F167" s="96"/>
      <c r="G167" s="96"/>
      <c r="H167" s="96"/>
      <c r="J167" s="55"/>
      <c r="K167" s="17"/>
      <c r="L167" s="329"/>
      <c r="M167" s="276"/>
      <c r="N167" s="276"/>
      <c r="O167" s="276"/>
      <c r="P167" s="276"/>
      <c r="Q167" s="276"/>
      <c r="R167" s="276"/>
      <c r="S167" s="278"/>
      <c r="T167" s="330"/>
      <c r="U167" s="281"/>
      <c r="V167" s="281"/>
      <c r="W167" s="281"/>
      <c r="X167" s="281"/>
      <c r="Y167" s="281"/>
      <c r="Z167" s="331"/>
      <c r="AA167" s="281"/>
      <c r="AB167" s="281"/>
    </row>
    <row r="168" spans="1:239" ht="45" customHeight="1" thickBot="1" x14ac:dyDescent="0.3">
      <c r="C168" s="101"/>
      <c r="J168" s="55"/>
      <c r="K168" s="17"/>
      <c r="L168" s="329"/>
      <c r="M168" s="276"/>
      <c r="N168" s="276"/>
      <c r="O168" s="276"/>
      <c r="P168" s="276"/>
      <c r="Q168" s="276"/>
      <c r="R168" s="276"/>
      <c r="S168" s="278"/>
      <c r="T168" s="330"/>
      <c r="U168" s="281"/>
      <c r="V168" s="281"/>
      <c r="W168" s="281"/>
      <c r="X168" s="281"/>
      <c r="Y168" s="281"/>
      <c r="Z168" s="331"/>
      <c r="AA168" s="281"/>
      <c r="AB168" s="281"/>
    </row>
    <row r="169" spans="1:239" ht="45" customHeight="1" thickBot="1" x14ac:dyDescent="0.3">
      <c r="J169" s="55"/>
      <c r="K169" s="17"/>
      <c r="L169" s="329"/>
      <c r="M169" s="276"/>
      <c r="N169" s="276"/>
      <c r="O169" s="276"/>
      <c r="P169" s="276"/>
      <c r="Q169" s="276"/>
      <c r="R169" s="276"/>
      <c r="S169" s="278"/>
      <c r="T169" s="330"/>
      <c r="U169" s="281"/>
      <c r="V169" s="281"/>
      <c r="W169" s="281"/>
      <c r="X169" s="281"/>
      <c r="Y169" s="281"/>
      <c r="Z169" s="331"/>
      <c r="AA169" s="281"/>
      <c r="AB169" s="281"/>
    </row>
    <row r="170" spans="1:239" ht="45" customHeight="1" thickBot="1" x14ac:dyDescent="0.3">
      <c r="C170" s="55"/>
      <c r="J170" s="55"/>
      <c r="K170" s="17"/>
      <c r="L170" s="329"/>
      <c r="M170" s="276"/>
      <c r="N170" s="276"/>
      <c r="O170" s="276"/>
      <c r="P170" s="276"/>
      <c r="Q170" s="276"/>
      <c r="R170" s="276"/>
      <c r="S170" s="278"/>
      <c r="T170" s="330"/>
      <c r="U170" s="281"/>
      <c r="V170" s="281"/>
      <c r="W170" s="281"/>
      <c r="X170" s="281"/>
      <c r="Y170" s="281"/>
      <c r="Z170" s="331"/>
      <c r="AA170" s="281"/>
      <c r="AB170" s="281"/>
    </row>
    <row r="171" spans="1:239" ht="45" customHeight="1" thickBot="1" x14ac:dyDescent="0.25">
      <c r="A171" s="122"/>
      <c r="C171" s="35"/>
      <c r="E171" s="96"/>
      <c r="F171" s="96"/>
      <c r="G171" s="96"/>
      <c r="H171" s="96"/>
      <c r="J171" s="55"/>
      <c r="K171" s="17"/>
      <c r="L171" s="329"/>
      <c r="M171" s="276"/>
      <c r="N171" s="276"/>
      <c r="O171" s="276"/>
      <c r="P171" s="276"/>
      <c r="Q171" s="276"/>
      <c r="R171" s="276"/>
      <c r="S171" s="278"/>
      <c r="T171" s="332"/>
      <c r="U171" s="281"/>
      <c r="V171" s="281"/>
      <c r="W171" s="281"/>
      <c r="X171" s="281"/>
      <c r="Y171" s="281"/>
      <c r="Z171" s="331"/>
      <c r="AA171" s="281"/>
      <c r="AB171" s="281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</row>
    <row r="172" spans="1:239" s="56" customFormat="1" ht="45" customHeight="1" thickBot="1" x14ac:dyDescent="0.25">
      <c r="A172" s="108"/>
      <c r="B172" s="88"/>
      <c r="C172" s="93"/>
      <c r="D172" s="89"/>
      <c r="E172" s="35"/>
      <c r="F172" s="35"/>
      <c r="G172" s="35"/>
      <c r="H172" s="35"/>
      <c r="I172" s="55"/>
      <c r="J172" s="55"/>
      <c r="K172" s="17"/>
      <c r="L172" s="329"/>
      <c r="M172" s="276"/>
      <c r="N172" s="276"/>
      <c r="O172" s="276"/>
      <c r="P172" s="276"/>
      <c r="Q172" s="276"/>
      <c r="R172" s="276"/>
      <c r="S172" s="278"/>
      <c r="T172" s="332"/>
      <c r="U172" s="281"/>
      <c r="V172" s="281"/>
      <c r="W172" s="281"/>
      <c r="X172" s="281"/>
      <c r="Y172" s="281"/>
      <c r="Z172" s="331"/>
      <c r="AA172" s="281"/>
      <c r="AB172" s="281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</row>
    <row r="173" spans="1:239" ht="45" customHeight="1" thickBot="1" x14ac:dyDescent="0.3">
      <c r="J173" s="55"/>
      <c r="K173" s="17"/>
      <c r="L173" s="329"/>
      <c r="M173" s="276"/>
      <c r="N173" s="276"/>
      <c r="O173" s="276"/>
      <c r="P173" s="276"/>
      <c r="Q173" s="276"/>
      <c r="R173" s="276"/>
      <c r="S173" s="278"/>
      <c r="T173" s="330"/>
      <c r="U173" s="281"/>
      <c r="V173" s="281"/>
      <c r="W173" s="281"/>
      <c r="X173" s="281"/>
      <c r="Y173" s="281"/>
      <c r="Z173" s="331"/>
      <c r="AA173" s="281"/>
      <c r="AB173" s="281"/>
    </row>
    <row r="174" spans="1:239" ht="45" customHeight="1" thickBot="1" x14ac:dyDescent="0.3">
      <c r="J174" s="55"/>
      <c r="K174" s="17"/>
      <c r="L174" s="329"/>
      <c r="M174" s="276"/>
      <c r="N174" s="276"/>
      <c r="O174" s="276"/>
      <c r="P174" s="276"/>
      <c r="Q174" s="276"/>
      <c r="R174" s="276"/>
      <c r="S174" s="278"/>
      <c r="T174" s="330"/>
      <c r="U174" s="281"/>
      <c r="V174" s="281"/>
      <c r="W174" s="281"/>
      <c r="X174" s="281"/>
      <c r="Y174" s="281"/>
      <c r="Z174" s="331"/>
      <c r="AA174" s="281"/>
      <c r="AB174" s="281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</row>
    <row r="175" spans="1:239" ht="45" customHeight="1" thickBot="1" x14ac:dyDescent="0.25">
      <c r="J175" s="55"/>
      <c r="K175" s="17"/>
      <c r="L175" s="329"/>
      <c r="M175" s="276"/>
      <c r="N175" s="276"/>
      <c r="O175" s="276"/>
      <c r="P175" s="276"/>
      <c r="Q175" s="276"/>
      <c r="R175" s="276"/>
      <c r="S175" s="278"/>
      <c r="T175" s="332"/>
      <c r="U175" s="281"/>
      <c r="V175" s="281"/>
      <c r="W175" s="281"/>
      <c r="X175" s="281"/>
      <c r="Y175" s="281"/>
      <c r="Z175" s="331"/>
      <c r="AA175" s="281"/>
      <c r="AB175" s="281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</row>
    <row r="176" spans="1:239" ht="45" customHeight="1" thickBot="1" x14ac:dyDescent="0.25">
      <c r="C176" s="93"/>
      <c r="J176" s="55"/>
      <c r="K176" s="17"/>
      <c r="L176" s="329"/>
      <c r="M176" s="276"/>
      <c r="N176" s="276"/>
      <c r="O176" s="276"/>
      <c r="P176" s="276"/>
      <c r="Q176" s="276"/>
      <c r="R176" s="276"/>
      <c r="S176" s="278"/>
      <c r="T176" s="332"/>
      <c r="U176" s="281"/>
      <c r="V176" s="281"/>
      <c r="W176" s="281"/>
      <c r="X176" s="281"/>
      <c r="Y176" s="281"/>
      <c r="Z176" s="331"/>
      <c r="AA176" s="281"/>
      <c r="AB176" s="281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</row>
    <row r="177" spans="3:239" ht="45" customHeight="1" thickBot="1" x14ac:dyDescent="0.25">
      <c r="C177" s="98"/>
      <c r="J177" s="55"/>
      <c r="K177" s="17"/>
      <c r="L177" s="329"/>
      <c r="M177" s="276"/>
      <c r="N177" s="276"/>
      <c r="O177" s="276"/>
      <c r="P177" s="276"/>
      <c r="Q177" s="276"/>
      <c r="R177" s="276"/>
      <c r="S177" s="278"/>
      <c r="T177" s="332"/>
      <c r="U177" s="281"/>
      <c r="V177" s="281"/>
      <c r="W177" s="281"/>
      <c r="X177" s="281"/>
      <c r="Y177" s="281"/>
      <c r="Z177" s="331"/>
      <c r="AA177" s="281"/>
      <c r="AB177" s="281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</row>
    <row r="178" spans="3:239" ht="45" customHeight="1" thickBot="1" x14ac:dyDescent="0.25">
      <c r="C178" s="98"/>
      <c r="J178" s="55"/>
      <c r="K178" s="17"/>
      <c r="L178" s="329"/>
      <c r="M178" s="276"/>
      <c r="N178" s="276"/>
      <c r="O178" s="276"/>
      <c r="P178" s="276"/>
      <c r="Q178" s="276"/>
      <c r="R178" s="276"/>
      <c r="S178" s="278"/>
      <c r="T178" s="332"/>
      <c r="U178" s="281"/>
      <c r="V178" s="281"/>
      <c r="W178" s="281"/>
      <c r="X178" s="281"/>
      <c r="Y178" s="281"/>
      <c r="Z178" s="331"/>
      <c r="AA178" s="281"/>
      <c r="AB178" s="281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</row>
    <row r="179" spans="3:239" ht="45" customHeight="1" thickBot="1" x14ac:dyDescent="0.3">
      <c r="C179" s="98"/>
      <c r="J179" s="55"/>
      <c r="K179" s="17"/>
      <c r="L179" s="329"/>
      <c r="M179" s="276"/>
      <c r="N179" s="276"/>
      <c r="O179" s="276"/>
      <c r="P179" s="276"/>
      <c r="Q179" s="276"/>
      <c r="R179" s="276"/>
      <c r="S179" s="278"/>
      <c r="T179" s="330"/>
      <c r="U179" s="281"/>
      <c r="V179" s="281"/>
      <c r="W179" s="281"/>
      <c r="X179" s="281"/>
      <c r="Y179" s="281"/>
      <c r="Z179" s="331"/>
      <c r="AA179" s="281"/>
      <c r="AB179" s="281"/>
    </row>
    <row r="180" spans="3:239" ht="45" customHeight="1" thickBot="1" x14ac:dyDescent="0.3">
      <c r="C180" s="98"/>
      <c r="J180" s="55"/>
      <c r="K180" s="17"/>
      <c r="L180" s="329"/>
      <c r="M180" s="276"/>
      <c r="N180" s="276"/>
      <c r="O180" s="276"/>
      <c r="P180" s="276"/>
      <c r="Q180" s="276"/>
      <c r="R180" s="276"/>
      <c r="S180" s="278"/>
      <c r="T180" s="330"/>
      <c r="U180" s="281"/>
      <c r="V180" s="281"/>
      <c r="W180" s="281"/>
      <c r="X180" s="281"/>
      <c r="Y180" s="281"/>
      <c r="Z180" s="331"/>
      <c r="AA180" s="281"/>
      <c r="AB180" s="281"/>
    </row>
    <row r="181" spans="3:239" ht="45" customHeight="1" thickBot="1" x14ac:dyDescent="0.3">
      <c r="C181" s="98"/>
      <c r="J181" s="55"/>
      <c r="K181" s="17"/>
      <c r="L181" s="329"/>
      <c r="M181" s="276"/>
      <c r="N181" s="276"/>
      <c r="O181" s="276"/>
      <c r="P181" s="276"/>
      <c r="Q181" s="276"/>
      <c r="R181" s="276"/>
      <c r="S181" s="278"/>
      <c r="T181" s="330"/>
      <c r="U181" s="281"/>
      <c r="V181" s="281"/>
      <c r="W181" s="281"/>
      <c r="X181" s="281"/>
      <c r="Y181" s="281"/>
      <c r="Z181" s="331"/>
      <c r="AA181" s="281"/>
      <c r="AB181" s="281"/>
    </row>
    <row r="182" spans="3:239" ht="45" customHeight="1" thickBot="1" x14ac:dyDescent="0.25">
      <c r="C182" s="98"/>
      <c r="J182" s="55"/>
      <c r="K182" s="17"/>
      <c r="L182" s="329"/>
      <c r="M182" s="276"/>
      <c r="N182" s="276"/>
      <c r="O182" s="276"/>
      <c r="P182" s="276"/>
      <c r="Q182" s="276"/>
      <c r="R182" s="276"/>
      <c r="S182" s="278"/>
      <c r="T182" s="332"/>
      <c r="U182" s="281"/>
      <c r="V182" s="281"/>
      <c r="W182" s="281"/>
      <c r="X182" s="281"/>
      <c r="Y182" s="281"/>
      <c r="Z182" s="331"/>
      <c r="AA182" s="281"/>
      <c r="AB182" s="281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</row>
    <row r="183" spans="3:239" ht="45" customHeight="1" thickBot="1" x14ac:dyDescent="0.3">
      <c r="C183" s="98"/>
      <c r="J183" s="55"/>
      <c r="K183" s="17"/>
      <c r="L183" s="329"/>
      <c r="M183" s="276"/>
      <c r="N183" s="276"/>
      <c r="O183" s="276"/>
      <c r="P183" s="276"/>
      <c r="Q183" s="276"/>
      <c r="R183" s="276"/>
      <c r="S183" s="278"/>
      <c r="T183" s="330"/>
      <c r="U183" s="281"/>
      <c r="V183" s="281"/>
      <c r="W183" s="281"/>
      <c r="X183" s="281"/>
      <c r="Y183" s="281"/>
      <c r="Z183" s="331"/>
      <c r="AA183" s="281"/>
      <c r="AB183" s="281"/>
    </row>
    <row r="184" spans="3:239" ht="45" customHeight="1" thickBot="1" x14ac:dyDescent="0.25">
      <c r="C184" s="98"/>
      <c r="J184" s="55"/>
      <c r="K184" s="17"/>
      <c r="L184" s="329"/>
      <c r="M184" s="276"/>
      <c r="N184" s="276"/>
      <c r="O184" s="276"/>
      <c r="P184" s="276"/>
      <c r="Q184" s="276"/>
      <c r="R184" s="276"/>
      <c r="S184" s="278"/>
      <c r="T184" s="332"/>
      <c r="U184" s="281"/>
      <c r="V184" s="281"/>
      <c r="W184" s="281"/>
      <c r="X184" s="281"/>
      <c r="Y184" s="281"/>
      <c r="Z184" s="331"/>
      <c r="AA184" s="281"/>
      <c r="AB184" s="281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</row>
    <row r="185" spans="3:239" ht="45" customHeight="1" thickBot="1" x14ac:dyDescent="0.3">
      <c r="C185" s="98"/>
      <c r="J185" s="55"/>
      <c r="K185" s="17"/>
      <c r="L185" s="329"/>
      <c r="M185" s="276"/>
      <c r="N185" s="276"/>
      <c r="O185" s="276"/>
      <c r="P185" s="276"/>
      <c r="Q185" s="276"/>
      <c r="R185" s="276"/>
      <c r="S185" s="278"/>
      <c r="T185" s="330"/>
      <c r="U185" s="281"/>
      <c r="V185" s="281"/>
      <c r="W185" s="281"/>
      <c r="X185" s="281"/>
      <c r="Y185" s="281"/>
      <c r="Z185" s="331"/>
      <c r="AA185" s="281"/>
      <c r="AB185" s="281"/>
    </row>
    <row r="186" spans="3:239" ht="45" customHeight="1" thickBot="1" x14ac:dyDescent="0.25">
      <c r="C186" s="98"/>
      <c r="J186" s="55"/>
      <c r="K186" s="17"/>
      <c r="L186" s="329"/>
      <c r="M186" s="276"/>
      <c r="N186" s="276"/>
      <c r="O186" s="276"/>
      <c r="P186" s="276"/>
      <c r="Q186" s="276"/>
      <c r="R186" s="276"/>
      <c r="S186" s="278"/>
      <c r="T186" s="332"/>
      <c r="U186" s="281"/>
      <c r="V186" s="281"/>
      <c r="W186" s="281"/>
      <c r="X186" s="281"/>
      <c r="Y186" s="281"/>
      <c r="Z186" s="331"/>
      <c r="AA186" s="281"/>
      <c r="AB186" s="281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</row>
    <row r="187" spans="3:239" ht="45" customHeight="1" thickBot="1" x14ac:dyDescent="0.25">
      <c r="C187" s="98"/>
      <c r="J187" s="55"/>
      <c r="K187" s="17"/>
      <c r="L187" s="329"/>
      <c r="M187" s="276"/>
      <c r="N187" s="276"/>
      <c r="O187" s="276"/>
      <c r="P187" s="276"/>
      <c r="Q187" s="276"/>
      <c r="R187" s="276"/>
      <c r="S187" s="278"/>
      <c r="T187" s="332"/>
      <c r="U187" s="281"/>
      <c r="V187" s="281"/>
      <c r="W187" s="281"/>
      <c r="X187" s="281"/>
      <c r="Y187" s="281"/>
      <c r="Z187" s="331"/>
      <c r="AA187" s="281"/>
      <c r="AB187" s="281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</row>
    <row r="188" spans="3:239" ht="45" customHeight="1" thickBot="1" x14ac:dyDescent="0.25">
      <c r="C188" s="98"/>
      <c r="J188" s="55"/>
      <c r="K188" s="17"/>
      <c r="L188" s="329"/>
      <c r="M188" s="276"/>
      <c r="N188" s="276"/>
      <c r="O188" s="276"/>
      <c r="P188" s="276"/>
      <c r="Q188" s="276"/>
      <c r="R188" s="276"/>
      <c r="S188" s="278"/>
      <c r="T188" s="332"/>
      <c r="U188" s="281"/>
      <c r="V188" s="281"/>
      <c r="W188" s="281"/>
      <c r="X188" s="281"/>
      <c r="Y188" s="281"/>
      <c r="Z188" s="331"/>
      <c r="AA188" s="281"/>
      <c r="AB188" s="281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</row>
    <row r="189" spans="3:239" ht="45" customHeight="1" thickBot="1" x14ac:dyDescent="0.3">
      <c r="C189" s="97"/>
      <c r="J189" s="55"/>
      <c r="K189" s="17"/>
      <c r="L189" s="329"/>
      <c r="M189" s="276"/>
      <c r="N189" s="276"/>
      <c r="O189" s="276"/>
      <c r="P189" s="276"/>
      <c r="Q189" s="276"/>
      <c r="R189" s="276"/>
      <c r="S189" s="278"/>
      <c r="T189" s="330"/>
      <c r="U189" s="281"/>
      <c r="V189" s="281"/>
      <c r="W189" s="281"/>
      <c r="X189" s="281"/>
      <c r="Y189" s="281"/>
      <c r="Z189" s="331"/>
      <c r="AA189" s="281"/>
      <c r="AB189" s="281"/>
    </row>
    <row r="190" spans="3:239" ht="45" customHeight="1" thickBot="1" x14ac:dyDescent="0.25">
      <c r="C190" s="97"/>
      <c r="J190" s="55"/>
      <c r="K190" s="17"/>
      <c r="L190" s="329"/>
      <c r="M190" s="276"/>
      <c r="N190" s="276"/>
      <c r="O190" s="276"/>
      <c r="P190" s="276"/>
      <c r="Q190" s="276"/>
      <c r="R190" s="276"/>
      <c r="S190" s="278"/>
      <c r="T190" s="332"/>
      <c r="U190" s="281"/>
      <c r="V190" s="281"/>
      <c r="W190" s="281"/>
      <c r="X190" s="281"/>
      <c r="Y190" s="281"/>
      <c r="Z190" s="331"/>
      <c r="AA190" s="281"/>
      <c r="AB190" s="281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</row>
    <row r="191" spans="3:239" ht="45" customHeight="1" thickBot="1" x14ac:dyDescent="0.3">
      <c r="C191" s="97"/>
      <c r="J191" s="55"/>
      <c r="K191" s="17"/>
      <c r="L191" s="329"/>
      <c r="M191" s="276"/>
      <c r="N191" s="276"/>
      <c r="O191" s="276"/>
      <c r="P191" s="276"/>
      <c r="Q191" s="276"/>
      <c r="R191" s="276"/>
      <c r="S191" s="278"/>
      <c r="T191" s="330"/>
      <c r="U191" s="281"/>
      <c r="V191" s="281"/>
      <c r="W191" s="281"/>
      <c r="X191" s="281"/>
      <c r="Y191" s="281"/>
      <c r="Z191" s="331"/>
      <c r="AA191" s="281"/>
      <c r="AB191" s="281"/>
    </row>
    <row r="192" spans="3:239" ht="45" customHeight="1" thickBot="1" x14ac:dyDescent="0.3">
      <c r="C192" s="35"/>
      <c r="J192" s="55"/>
      <c r="K192" s="17"/>
      <c r="L192" s="329"/>
      <c r="M192" s="276"/>
      <c r="N192" s="276"/>
      <c r="O192" s="276"/>
      <c r="P192" s="276"/>
      <c r="Q192" s="276"/>
      <c r="R192" s="276"/>
      <c r="S192" s="278"/>
      <c r="T192" s="330"/>
      <c r="U192" s="281"/>
      <c r="V192" s="281"/>
      <c r="W192" s="281"/>
      <c r="X192" s="281"/>
      <c r="Y192" s="281"/>
      <c r="Z192" s="331"/>
      <c r="AA192" s="281"/>
      <c r="AB192" s="281"/>
    </row>
    <row r="193" spans="3:239" ht="45" customHeight="1" thickBot="1" x14ac:dyDescent="0.3">
      <c r="C193" s="35"/>
      <c r="J193" s="55"/>
      <c r="K193" s="17"/>
      <c r="L193" s="329"/>
      <c r="M193" s="276"/>
      <c r="N193" s="276"/>
      <c r="O193" s="276"/>
      <c r="P193" s="276"/>
      <c r="Q193" s="276"/>
      <c r="R193" s="276"/>
      <c r="S193" s="278"/>
      <c r="T193" s="330"/>
      <c r="U193" s="281"/>
      <c r="V193" s="281"/>
      <c r="W193" s="281"/>
      <c r="X193" s="281"/>
      <c r="Y193" s="281"/>
      <c r="Z193" s="331"/>
      <c r="AA193" s="281"/>
      <c r="AB193" s="281"/>
    </row>
    <row r="194" spans="3:239" ht="45" customHeight="1" thickBot="1" x14ac:dyDescent="0.3">
      <c r="C194" s="102"/>
      <c r="D194" s="88"/>
      <c r="J194" s="55"/>
      <c r="K194" s="17"/>
      <c r="L194" s="329"/>
      <c r="M194" s="276"/>
      <c r="N194" s="276"/>
      <c r="O194" s="276"/>
      <c r="P194" s="276"/>
      <c r="Q194" s="276"/>
      <c r="R194" s="276"/>
      <c r="S194" s="278"/>
      <c r="T194" s="330"/>
      <c r="U194" s="281"/>
      <c r="V194" s="281"/>
      <c r="W194" s="281"/>
      <c r="X194" s="281"/>
      <c r="Y194" s="281"/>
      <c r="Z194" s="331"/>
      <c r="AA194" s="281"/>
      <c r="AB194" s="281"/>
    </row>
    <row r="195" spans="3:239" ht="45" customHeight="1" thickBot="1" x14ac:dyDescent="0.25">
      <c r="C195" s="98"/>
      <c r="J195" s="55"/>
      <c r="K195" s="17"/>
      <c r="L195" s="329"/>
      <c r="M195" s="276"/>
      <c r="N195" s="276"/>
      <c r="O195" s="276"/>
      <c r="P195" s="276"/>
      <c r="Q195" s="276"/>
      <c r="R195" s="276"/>
      <c r="S195" s="278"/>
      <c r="T195" s="332"/>
      <c r="U195" s="281"/>
      <c r="V195" s="281"/>
      <c r="W195" s="281"/>
      <c r="X195" s="281"/>
      <c r="Y195" s="281"/>
      <c r="Z195" s="331"/>
      <c r="AA195" s="281"/>
      <c r="AB195" s="281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</row>
    <row r="196" spans="3:239" ht="45" customHeight="1" thickBot="1" x14ac:dyDescent="0.3">
      <c r="D196" s="88"/>
      <c r="J196" s="55"/>
      <c r="K196" s="17"/>
      <c r="L196" s="329"/>
      <c r="M196" s="276"/>
      <c r="N196" s="276"/>
      <c r="O196" s="276"/>
      <c r="P196" s="276"/>
      <c r="Q196" s="276"/>
      <c r="R196" s="276"/>
      <c r="S196" s="278"/>
      <c r="T196" s="330"/>
      <c r="U196" s="281"/>
      <c r="V196" s="281"/>
      <c r="W196" s="281"/>
      <c r="X196" s="281"/>
      <c r="Y196" s="281"/>
      <c r="Z196" s="331"/>
      <c r="AA196" s="281"/>
      <c r="AB196" s="281"/>
    </row>
    <row r="197" spans="3:239" ht="45" customHeight="1" thickBot="1" x14ac:dyDescent="0.25">
      <c r="C197" s="35"/>
      <c r="E197" s="96"/>
      <c r="F197" s="96"/>
      <c r="G197" s="96"/>
      <c r="H197" s="96"/>
      <c r="J197" s="55"/>
      <c r="K197" s="17"/>
      <c r="L197" s="329"/>
      <c r="M197" s="276"/>
      <c r="N197" s="276"/>
      <c r="O197" s="276"/>
      <c r="P197" s="276"/>
      <c r="Q197" s="276"/>
      <c r="R197" s="276"/>
      <c r="S197" s="278"/>
      <c r="T197" s="332"/>
      <c r="U197" s="281"/>
      <c r="V197" s="281"/>
      <c r="W197" s="281"/>
      <c r="X197" s="281"/>
      <c r="Y197" s="281"/>
      <c r="Z197" s="331"/>
      <c r="AA197" s="281"/>
      <c r="AB197" s="281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</row>
    <row r="198" spans="3:239" ht="45" customHeight="1" thickBot="1" x14ac:dyDescent="0.3">
      <c r="D198" s="88"/>
      <c r="J198" s="55"/>
      <c r="K198" s="17"/>
      <c r="L198" s="329"/>
      <c r="M198" s="276"/>
      <c r="N198" s="276"/>
      <c r="O198" s="276"/>
      <c r="P198" s="276"/>
      <c r="Q198" s="276"/>
      <c r="R198" s="276"/>
      <c r="S198" s="278"/>
      <c r="T198" s="330"/>
      <c r="U198" s="281"/>
      <c r="V198" s="281"/>
      <c r="W198" s="281"/>
      <c r="X198" s="281"/>
      <c r="Y198" s="281"/>
      <c r="Z198" s="331"/>
      <c r="AA198" s="281"/>
      <c r="AB198" s="281"/>
    </row>
    <row r="199" spans="3:239" ht="45" customHeight="1" thickBot="1" x14ac:dyDescent="0.3">
      <c r="D199" s="88"/>
      <c r="J199" s="55"/>
      <c r="K199" s="17"/>
      <c r="L199" s="329"/>
      <c r="M199" s="276"/>
      <c r="N199" s="276"/>
      <c r="O199" s="276"/>
      <c r="P199" s="276"/>
      <c r="Q199" s="276"/>
      <c r="R199" s="276"/>
      <c r="S199" s="278"/>
      <c r="T199" s="330"/>
      <c r="U199" s="281"/>
      <c r="V199" s="281"/>
      <c r="W199" s="281"/>
      <c r="X199" s="281"/>
      <c r="Y199" s="281"/>
      <c r="Z199" s="331"/>
      <c r="AA199" s="281"/>
      <c r="AB199" s="281"/>
    </row>
    <row r="200" spans="3:239" ht="45" customHeight="1" thickBot="1" x14ac:dyDescent="0.3">
      <c r="D200" s="88"/>
      <c r="J200" s="55"/>
      <c r="K200" s="17"/>
      <c r="L200" s="329"/>
      <c r="M200" s="276"/>
      <c r="N200" s="276"/>
      <c r="O200" s="276"/>
      <c r="P200" s="276"/>
      <c r="Q200" s="276"/>
      <c r="R200" s="276"/>
      <c r="S200" s="278"/>
      <c r="T200" s="330"/>
      <c r="U200" s="281"/>
      <c r="V200" s="281"/>
      <c r="W200" s="281"/>
      <c r="X200" s="281"/>
      <c r="Y200" s="281"/>
      <c r="Z200" s="331"/>
      <c r="AA200" s="281"/>
      <c r="AB200" s="281"/>
    </row>
    <row r="201" spans="3:239" ht="45" customHeight="1" thickBot="1" x14ac:dyDescent="0.25">
      <c r="D201" s="88"/>
      <c r="J201" s="55"/>
      <c r="K201" s="17"/>
      <c r="L201" s="329"/>
      <c r="M201" s="276"/>
      <c r="N201" s="276"/>
      <c r="O201" s="276"/>
      <c r="P201" s="276"/>
      <c r="Q201" s="276"/>
      <c r="R201" s="276"/>
      <c r="S201" s="278"/>
      <c r="T201" s="332"/>
      <c r="U201" s="281"/>
      <c r="V201" s="281"/>
      <c r="W201" s="281"/>
      <c r="X201" s="281"/>
      <c r="Y201" s="281"/>
      <c r="Z201" s="331"/>
      <c r="AA201" s="281"/>
      <c r="AB201" s="281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</row>
    <row r="202" spans="3:239" ht="45" customHeight="1" thickBot="1" x14ac:dyDescent="0.3">
      <c r="D202" s="88"/>
      <c r="J202" s="55"/>
      <c r="K202" s="17"/>
      <c r="L202" s="329"/>
      <c r="M202" s="276"/>
      <c r="N202" s="276"/>
      <c r="O202" s="276"/>
      <c r="P202" s="276"/>
      <c r="Q202" s="276"/>
      <c r="R202" s="276"/>
      <c r="S202" s="278"/>
      <c r="T202" s="330"/>
      <c r="U202" s="281"/>
      <c r="V202" s="281"/>
      <c r="W202" s="281"/>
      <c r="X202" s="281"/>
      <c r="Y202" s="281"/>
      <c r="Z202" s="331"/>
      <c r="AA202" s="281"/>
      <c r="AB202" s="281"/>
    </row>
    <row r="203" spans="3:239" ht="45" customHeight="1" thickBot="1" x14ac:dyDescent="0.25">
      <c r="D203" s="88"/>
      <c r="J203" s="55"/>
      <c r="K203" s="17"/>
      <c r="L203" s="329"/>
      <c r="M203" s="276"/>
      <c r="N203" s="276"/>
      <c r="O203" s="276"/>
      <c r="P203" s="276"/>
      <c r="Q203" s="276"/>
      <c r="R203" s="276"/>
      <c r="S203" s="278"/>
      <c r="T203" s="332"/>
      <c r="U203" s="281"/>
      <c r="V203" s="281"/>
      <c r="W203" s="281"/>
      <c r="X203" s="281"/>
      <c r="Y203" s="281"/>
      <c r="Z203" s="331"/>
      <c r="AA203" s="281"/>
      <c r="AB203" s="281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</row>
    <row r="204" spans="3:239" ht="45" customHeight="1" thickBot="1" x14ac:dyDescent="0.3">
      <c r="D204" s="88"/>
      <c r="J204" s="55"/>
      <c r="K204" s="17"/>
      <c r="L204" s="329"/>
      <c r="M204" s="276"/>
      <c r="N204" s="276"/>
      <c r="O204" s="276"/>
      <c r="P204" s="276"/>
      <c r="Q204" s="276"/>
      <c r="R204" s="276"/>
      <c r="S204" s="278"/>
      <c r="T204" s="330"/>
      <c r="U204" s="281"/>
      <c r="V204" s="281"/>
      <c r="W204" s="281"/>
      <c r="X204" s="281"/>
      <c r="Y204" s="281"/>
      <c r="Z204" s="331"/>
      <c r="AA204" s="281"/>
      <c r="AB204" s="281"/>
    </row>
    <row r="205" spans="3:239" ht="45" customHeight="1" thickBot="1" x14ac:dyDescent="0.25">
      <c r="C205" s="98"/>
      <c r="J205" s="55"/>
      <c r="K205" s="17"/>
      <c r="L205" s="329"/>
      <c r="M205" s="276"/>
      <c r="N205" s="276"/>
      <c r="O205" s="276"/>
      <c r="P205" s="276"/>
      <c r="Q205" s="276"/>
      <c r="R205" s="276"/>
      <c r="S205" s="278"/>
      <c r="T205" s="332"/>
      <c r="U205" s="281"/>
      <c r="V205" s="281"/>
      <c r="W205" s="281"/>
      <c r="X205" s="281"/>
      <c r="Y205" s="281"/>
      <c r="Z205" s="331"/>
      <c r="AA205" s="281"/>
      <c r="AB205" s="281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</row>
    <row r="206" spans="3:239" ht="45" customHeight="1" thickBot="1" x14ac:dyDescent="0.3">
      <c r="C206" s="98"/>
      <c r="J206" s="55"/>
      <c r="K206" s="17"/>
      <c r="L206" s="329"/>
      <c r="M206" s="276"/>
      <c r="N206" s="276"/>
      <c r="O206" s="276"/>
      <c r="P206" s="276"/>
      <c r="Q206" s="276"/>
      <c r="R206" s="276"/>
      <c r="S206" s="278"/>
      <c r="T206" s="330"/>
      <c r="U206" s="281"/>
      <c r="V206" s="281"/>
      <c r="W206" s="281"/>
      <c r="X206" s="281"/>
      <c r="Y206" s="281"/>
      <c r="Z206" s="331"/>
      <c r="AA206" s="281"/>
      <c r="AB206" s="281"/>
    </row>
    <row r="207" spans="3:239" ht="45" customHeight="1" thickBot="1" x14ac:dyDescent="0.3">
      <c r="D207" s="88"/>
      <c r="J207" s="55"/>
      <c r="K207" s="17"/>
      <c r="L207" s="329"/>
      <c r="M207" s="276"/>
      <c r="N207" s="276"/>
      <c r="O207" s="276"/>
      <c r="P207" s="276"/>
      <c r="Q207" s="276"/>
      <c r="R207" s="276"/>
      <c r="S207" s="278"/>
      <c r="T207" s="330"/>
      <c r="U207" s="281"/>
      <c r="V207" s="281"/>
      <c r="W207" s="281"/>
      <c r="X207" s="281"/>
      <c r="Y207" s="281"/>
      <c r="Z207" s="331"/>
      <c r="AA207" s="281"/>
      <c r="AB207" s="281"/>
    </row>
    <row r="208" spans="3:239" ht="45" customHeight="1" thickBot="1" x14ac:dyDescent="0.3">
      <c r="D208" s="88"/>
      <c r="J208" s="55"/>
      <c r="K208" s="17"/>
      <c r="L208" s="329"/>
      <c r="M208" s="276"/>
      <c r="N208" s="276"/>
      <c r="O208" s="276"/>
      <c r="P208" s="276"/>
      <c r="Q208" s="276"/>
      <c r="R208" s="276"/>
      <c r="S208" s="278"/>
      <c r="T208" s="330"/>
      <c r="U208" s="281"/>
      <c r="V208" s="281"/>
      <c r="W208" s="281"/>
      <c r="X208" s="281"/>
      <c r="Y208" s="281"/>
      <c r="Z208" s="331"/>
      <c r="AA208" s="281"/>
      <c r="AB208" s="281"/>
    </row>
    <row r="209" spans="3:239" ht="45" customHeight="1" thickBot="1" x14ac:dyDescent="0.3">
      <c r="D209" s="88"/>
      <c r="J209" s="55"/>
      <c r="K209" s="17"/>
      <c r="L209" s="329"/>
      <c r="M209" s="276"/>
      <c r="N209" s="276"/>
      <c r="O209" s="276"/>
      <c r="P209" s="276"/>
      <c r="Q209" s="276"/>
      <c r="R209" s="276"/>
      <c r="S209" s="278"/>
      <c r="T209" s="330"/>
      <c r="U209" s="281"/>
      <c r="V209" s="281"/>
      <c r="W209" s="281"/>
      <c r="X209" s="281"/>
      <c r="Y209" s="281"/>
      <c r="Z209" s="331"/>
      <c r="AA209" s="281"/>
      <c r="AB209" s="281"/>
    </row>
    <row r="210" spans="3:239" ht="45" customHeight="1" thickBot="1" x14ac:dyDescent="0.3">
      <c r="D210" s="88"/>
      <c r="J210" s="55"/>
      <c r="K210" s="17"/>
      <c r="L210" s="329"/>
      <c r="M210" s="276"/>
      <c r="N210" s="276"/>
      <c r="O210" s="276"/>
      <c r="P210" s="276"/>
      <c r="Q210" s="276"/>
      <c r="R210" s="276"/>
      <c r="S210" s="278"/>
      <c r="T210" s="330"/>
      <c r="U210" s="281"/>
      <c r="V210" s="281"/>
      <c r="W210" s="281"/>
      <c r="X210" s="281"/>
      <c r="Y210" s="281"/>
      <c r="Z210" s="331"/>
      <c r="AA210" s="281"/>
      <c r="AB210" s="281"/>
    </row>
    <row r="211" spans="3:239" ht="45" customHeight="1" thickBot="1" x14ac:dyDescent="0.3">
      <c r="D211" s="88"/>
      <c r="J211" s="55"/>
      <c r="K211" s="17"/>
      <c r="L211" s="329"/>
      <c r="M211" s="276"/>
      <c r="N211" s="276"/>
      <c r="O211" s="276"/>
      <c r="P211" s="276"/>
      <c r="Q211" s="276"/>
      <c r="R211" s="276"/>
      <c r="S211" s="278"/>
      <c r="T211" s="330"/>
      <c r="U211" s="281"/>
      <c r="V211" s="281"/>
      <c r="W211" s="281"/>
      <c r="X211" s="281"/>
      <c r="Y211" s="281"/>
      <c r="Z211" s="331"/>
      <c r="AA211" s="281"/>
      <c r="AB211" s="281"/>
    </row>
    <row r="212" spans="3:239" ht="45" customHeight="1" thickBot="1" x14ac:dyDescent="0.3">
      <c r="D212" s="88"/>
      <c r="J212" s="55"/>
      <c r="K212" s="17"/>
      <c r="L212" s="329"/>
      <c r="M212" s="276"/>
      <c r="N212" s="276"/>
      <c r="O212" s="276"/>
      <c r="P212" s="276"/>
      <c r="Q212" s="276"/>
      <c r="R212" s="276"/>
      <c r="S212" s="278"/>
      <c r="T212" s="330"/>
      <c r="U212" s="281"/>
      <c r="V212" s="281"/>
      <c r="W212" s="281"/>
      <c r="X212" s="281"/>
      <c r="Y212" s="281"/>
      <c r="Z212" s="331"/>
      <c r="AA212" s="281"/>
      <c r="AB212" s="281"/>
    </row>
    <row r="213" spans="3:239" ht="45" customHeight="1" thickBot="1" x14ac:dyDescent="0.25">
      <c r="D213" s="88"/>
      <c r="J213" s="55"/>
      <c r="K213" s="17"/>
      <c r="L213" s="329"/>
      <c r="M213" s="276"/>
      <c r="N213" s="276"/>
      <c r="O213" s="276"/>
      <c r="P213" s="276"/>
      <c r="Q213" s="276"/>
      <c r="R213" s="276"/>
      <c r="S213" s="278"/>
      <c r="T213" s="332"/>
      <c r="U213" s="281"/>
      <c r="V213" s="281"/>
      <c r="W213" s="281"/>
      <c r="X213" s="281"/>
      <c r="Y213" s="281"/>
      <c r="Z213" s="331"/>
      <c r="AA213" s="281"/>
      <c r="AB213" s="281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</row>
    <row r="214" spans="3:239" ht="45" customHeight="1" thickBot="1" x14ac:dyDescent="0.3">
      <c r="D214" s="88"/>
      <c r="J214" s="55"/>
      <c r="K214" s="17"/>
      <c r="L214" s="329"/>
      <c r="M214" s="276"/>
      <c r="N214" s="276"/>
      <c r="O214" s="276"/>
      <c r="P214" s="276"/>
      <c r="Q214" s="276"/>
      <c r="R214" s="276"/>
      <c r="S214" s="278"/>
      <c r="T214" s="330"/>
      <c r="U214" s="281"/>
      <c r="V214" s="281"/>
      <c r="W214" s="281"/>
      <c r="X214" s="281"/>
      <c r="Y214" s="281"/>
      <c r="Z214" s="331"/>
      <c r="AA214" s="281"/>
      <c r="AB214" s="281"/>
    </row>
    <row r="215" spans="3:239" ht="45" customHeight="1" thickBot="1" x14ac:dyDescent="0.3">
      <c r="C215" s="98"/>
      <c r="J215" s="55"/>
      <c r="K215" s="17"/>
      <c r="L215" s="329"/>
      <c r="M215" s="276"/>
      <c r="N215" s="276"/>
      <c r="O215" s="276"/>
      <c r="P215" s="276"/>
      <c r="Q215" s="276"/>
      <c r="R215" s="276"/>
      <c r="S215" s="278"/>
      <c r="T215" s="330"/>
      <c r="U215" s="281"/>
      <c r="V215" s="281"/>
      <c r="W215" s="281"/>
      <c r="X215" s="281"/>
      <c r="Y215" s="281"/>
      <c r="Z215" s="331"/>
      <c r="AA215" s="281"/>
      <c r="AB215" s="281"/>
    </row>
    <row r="216" spans="3:239" ht="45" customHeight="1" thickBot="1" x14ac:dyDescent="0.3">
      <c r="C216" s="93"/>
      <c r="J216" s="55"/>
      <c r="K216" s="17"/>
      <c r="L216" s="329"/>
      <c r="M216" s="276"/>
      <c r="N216" s="276"/>
      <c r="O216" s="276"/>
      <c r="P216" s="276"/>
      <c r="Q216" s="276"/>
      <c r="R216" s="276"/>
      <c r="S216" s="278"/>
      <c r="T216" s="330"/>
      <c r="U216" s="281"/>
      <c r="V216" s="281"/>
      <c r="W216" s="281"/>
      <c r="X216" s="281"/>
      <c r="Y216" s="281"/>
      <c r="Z216" s="331"/>
      <c r="AA216" s="281"/>
      <c r="AB216" s="281"/>
    </row>
    <row r="217" spans="3:239" ht="45" customHeight="1" thickBot="1" x14ac:dyDescent="0.3">
      <c r="J217" s="55"/>
      <c r="K217" s="17"/>
      <c r="L217" s="329"/>
      <c r="M217" s="276"/>
      <c r="N217" s="276"/>
      <c r="O217" s="276"/>
      <c r="P217" s="276"/>
      <c r="Q217" s="276"/>
      <c r="R217" s="276"/>
      <c r="S217" s="278"/>
      <c r="T217" s="330"/>
      <c r="U217" s="281"/>
      <c r="V217" s="281"/>
      <c r="W217" s="281"/>
      <c r="X217" s="281"/>
      <c r="Y217" s="281"/>
      <c r="Z217" s="331"/>
      <c r="AA217" s="281"/>
      <c r="AB217" s="281"/>
    </row>
    <row r="218" spans="3:239" ht="45" customHeight="1" thickBot="1" x14ac:dyDescent="0.3">
      <c r="J218" s="55"/>
      <c r="K218" s="17"/>
      <c r="L218" s="329"/>
      <c r="M218" s="276"/>
      <c r="N218" s="276"/>
      <c r="O218" s="276"/>
      <c r="P218" s="276"/>
      <c r="Q218" s="276"/>
      <c r="R218" s="276"/>
      <c r="S218" s="278"/>
      <c r="T218" s="330"/>
      <c r="U218" s="281"/>
      <c r="V218" s="281"/>
      <c r="W218" s="281"/>
      <c r="X218" s="281"/>
      <c r="Y218" s="281"/>
      <c r="Z218" s="331"/>
      <c r="AA218" s="281"/>
      <c r="AB218" s="281"/>
    </row>
    <row r="219" spans="3:239" ht="45" customHeight="1" thickBot="1" x14ac:dyDescent="0.3">
      <c r="J219" s="55"/>
      <c r="K219" s="17"/>
      <c r="L219" s="329"/>
      <c r="M219" s="276"/>
      <c r="N219" s="276"/>
      <c r="O219" s="276"/>
      <c r="P219" s="276"/>
      <c r="Q219" s="276"/>
      <c r="R219" s="276"/>
      <c r="S219" s="278"/>
      <c r="T219" s="330"/>
      <c r="U219" s="281"/>
      <c r="V219" s="281"/>
      <c r="W219" s="281"/>
      <c r="X219" s="281"/>
      <c r="Y219" s="281"/>
      <c r="Z219" s="331"/>
      <c r="AA219" s="281"/>
      <c r="AB219" s="281"/>
    </row>
    <row r="220" spans="3:239" ht="45" customHeight="1" thickBot="1" x14ac:dyDescent="0.3">
      <c r="C220" s="35"/>
      <c r="D220" s="88"/>
      <c r="J220" s="55"/>
      <c r="K220" s="17"/>
      <c r="L220" s="329"/>
      <c r="M220" s="276"/>
      <c r="N220" s="276"/>
      <c r="O220" s="276"/>
      <c r="P220" s="276"/>
      <c r="Q220" s="276"/>
      <c r="R220" s="276"/>
      <c r="S220" s="278"/>
      <c r="T220" s="330"/>
      <c r="U220" s="281"/>
      <c r="V220" s="281"/>
      <c r="W220" s="281"/>
      <c r="X220" s="281"/>
      <c r="Y220" s="281"/>
      <c r="Z220" s="331"/>
      <c r="AA220" s="281"/>
      <c r="AB220" s="281"/>
    </row>
    <row r="221" spans="3:239" ht="45" customHeight="1" thickBot="1" x14ac:dyDescent="0.25">
      <c r="C221" s="98"/>
      <c r="J221" s="55"/>
      <c r="K221" s="17"/>
      <c r="L221" s="329"/>
      <c r="M221" s="276"/>
      <c r="N221" s="276"/>
      <c r="O221" s="276"/>
      <c r="P221" s="276"/>
      <c r="Q221" s="276"/>
      <c r="R221" s="276"/>
      <c r="S221" s="278"/>
      <c r="T221" s="332"/>
      <c r="U221" s="281"/>
      <c r="V221" s="281"/>
      <c r="W221" s="281"/>
      <c r="X221" s="281"/>
      <c r="Y221" s="281"/>
      <c r="Z221" s="331"/>
      <c r="AA221" s="281"/>
      <c r="AB221" s="281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</row>
    <row r="222" spans="3:239" ht="45" customHeight="1" thickBot="1" x14ac:dyDescent="0.3">
      <c r="C222" s="98"/>
      <c r="J222" s="55"/>
      <c r="K222" s="17"/>
      <c r="L222" s="329"/>
      <c r="M222" s="276"/>
      <c r="N222" s="276"/>
      <c r="O222" s="276"/>
      <c r="P222" s="276"/>
      <c r="Q222" s="276"/>
      <c r="R222" s="276"/>
      <c r="S222" s="278"/>
      <c r="T222" s="330"/>
      <c r="U222" s="281"/>
      <c r="V222" s="281"/>
      <c r="W222" s="281"/>
      <c r="X222" s="281"/>
      <c r="Y222" s="281"/>
      <c r="Z222" s="331"/>
      <c r="AA222" s="281"/>
      <c r="AB222" s="281"/>
    </row>
    <row r="223" spans="3:239" ht="45" customHeight="1" thickBot="1" x14ac:dyDescent="0.3">
      <c r="D223" s="88"/>
      <c r="J223" s="55"/>
      <c r="K223" s="17"/>
      <c r="L223" s="329"/>
      <c r="M223" s="276"/>
      <c r="N223" s="276"/>
      <c r="O223" s="276"/>
      <c r="P223" s="276"/>
      <c r="Q223" s="276"/>
      <c r="R223" s="276"/>
      <c r="S223" s="278"/>
      <c r="T223" s="330"/>
      <c r="U223" s="281"/>
      <c r="V223" s="281"/>
      <c r="W223" s="281"/>
      <c r="X223" s="281"/>
      <c r="Y223" s="281"/>
      <c r="Z223" s="331"/>
      <c r="AA223" s="281"/>
      <c r="AB223" s="281"/>
    </row>
    <row r="224" spans="3:239" ht="45" customHeight="1" thickBot="1" x14ac:dyDescent="0.3">
      <c r="D224" s="88"/>
      <c r="J224" s="55"/>
      <c r="K224" s="17"/>
      <c r="L224" s="329"/>
      <c r="M224" s="276"/>
      <c r="N224" s="276"/>
      <c r="O224" s="276"/>
      <c r="P224" s="276"/>
      <c r="Q224" s="276"/>
      <c r="R224" s="276"/>
      <c r="S224" s="278"/>
      <c r="T224" s="330"/>
      <c r="U224" s="281"/>
      <c r="V224" s="281"/>
      <c r="W224" s="281"/>
      <c r="X224" s="281"/>
      <c r="Y224" s="281"/>
      <c r="Z224" s="331"/>
      <c r="AA224" s="281"/>
      <c r="AB224" s="281"/>
    </row>
    <row r="225" spans="1:239" ht="45" customHeight="1" thickBot="1" x14ac:dyDescent="0.25">
      <c r="A225" s="54"/>
      <c r="D225" s="88"/>
      <c r="J225" s="55"/>
      <c r="K225" s="17"/>
      <c r="L225" s="329"/>
      <c r="M225" s="276"/>
      <c r="N225" s="276"/>
      <c r="O225" s="276"/>
      <c r="P225" s="276"/>
      <c r="Q225" s="276"/>
      <c r="R225" s="276"/>
      <c r="S225" s="278"/>
      <c r="T225" s="332"/>
      <c r="U225" s="281"/>
      <c r="V225" s="281"/>
      <c r="W225" s="281"/>
      <c r="X225" s="281"/>
      <c r="Y225" s="281"/>
      <c r="Z225" s="331"/>
      <c r="AA225" s="281"/>
      <c r="AB225" s="281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</row>
    <row r="226" spans="1:239" ht="45" customHeight="1" thickBot="1" x14ac:dyDescent="0.25">
      <c r="A226" s="54"/>
      <c r="D226" s="88"/>
      <c r="J226" s="55"/>
      <c r="K226" s="17"/>
      <c r="L226" s="329"/>
      <c r="M226" s="276"/>
      <c r="N226" s="276"/>
      <c r="O226" s="276"/>
      <c r="P226" s="276"/>
      <c r="Q226" s="276"/>
      <c r="R226" s="276"/>
      <c r="S226" s="278"/>
      <c r="T226" s="332"/>
      <c r="U226" s="281"/>
      <c r="V226" s="281"/>
      <c r="W226" s="281"/>
      <c r="X226" s="281"/>
      <c r="Y226" s="281"/>
      <c r="Z226" s="331"/>
      <c r="AA226" s="281"/>
      <c r="AB226" s="281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</row>
    <row r="227" spans="1:239" ht="45" customHeight="1" thickBot="1" x14ac:dyDescent="0.3">
      <c r="A227" s="54"/>
      <c r="C227" s="98"/>
      <c r="J227" s="55"/>
      <c r="K227" s="17"/>
      <c r="L227" s="329"/>
      <c r="M227" s="276"/>
      <c r="N227" s="276"/>
      <c r="O227" s="276"/>
      <c r="P227" s="276"/>
      <c r="Q227" s="276"/>
      <c r="R227" s="276"/>
      <c r="S227" s="278"/>
      <c r="T227" s="330"/>
      <c r="U227" s="281"/>
      <c r="V227" s="281"/>
      <c r="W227" s="281"/>
      <c r="X227" s="281"/>
      <c r="Y227" s="281"/>
      <c r="Z227" s="331"/>
      <c r="AA227" s="281"/>
      <c r="AB227" s="281"/>
    </row>
    <row r="228" spans="1:239" ht="45" customHeight="1" thickBot="1" x14ac:dyDescent="0.25">
      <c r="C228" s="98"/>
      <c r="J228" s="55"/>
      <c r="K228" s="17"/>
      <c r="L228" s="329"/>
      <c r="M228" s="276"/>
      <c r="N228" s="276"/>
      <c r="O228" s="276"/>
      <c r="P228" s="276"/>
      <c r="Q228" s="276"/>
      <c r="R228" s="276"/>
      <c r="S228" s="278"/>
      <c r="T228" s="332"/>
      <c r="U228" s="281"/>
      <c r="V228" s="281"/>
      <c r="W228" s="281"/>
      <c r="X228" s="281"/>
      <c r="Y228" s="281"/>
      <c r="Z228" s="331"/>
      <c r="AA228" s="281"/>
      <c r="AB228" s="281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</row>
    <row r="229" spans="1:239" ht="45" customHeight="1" thickBot="1" x14ac:dyDescent="0.3">
      <c r="J229" s="55"/>
      <c r="K229" s="17"/>
      <c r="L229" s="329"/>
      <c r="M229" s="276"/>
      <c r="N229" s="276"/>
      <c r="O229" s="276"/>
      <c r="P229" s="276"/>
      <c r="Q229" s="276"/>
      <c r="R229" s="276"/>
      <c r="S229" s="278"/>
      <c r="T229" s="330"/>
      <c r="U229" s="281"/>
      <c r="V229" s="281"/>
      <c r="W229" s="281"/>
      <c r="X229" s="281"/>
      <c r="Y229" s="281"/>
      <c r="Z229" s="331"/>
      <c r="AA229" s="281"/>
      <c r="AB229" s="281"/>
    </row>
    <row r="230" spans="1:239" ht="45" customHeight="1" thickBot="1" x14ac:dyDescent="0.3">
      <c r="C230" s="4"/>
      <c r="J230" s="55"/>
      <c r="K230" s="17"/>
      <c r="L230" s="329"/>
      <c r="M230" s="276"/>
      <c r="N230" s="276"/>
      <c r="O230" s="276"/>
      <c r="P230" s="276"/>
      <c r="Q230" s="276"/>
      <c r="R230" s="276"/>
      <c r="S230" s="278"/>
      <c r="T230" s="330"/>
      <c r="U230" s="281"/>
      <c r="V230" s="281"/>
      <c r="W230" s="281"/>
      <c r="X230" s="281"/>
      <c r="Y230" s="281"/>
      <c r="Z230" s="331"/>
      <c r="AA230" s="281"/>
      <c r="AB230" s="281"/>
    </row>
    <row r="231" spans="1:239" ht="45" customHeight="1" thickBot="1" x14ac:dyDescent="0.3">
      <c r="C231" s="98"/>
      <c r="J231" s="55"/>
      <c r="K231" s="17"/>
      <c r="L231" s="329"/>
      <c r="M231" s="276"/>
      <c r="N231" s="276"/>
      <c r="O231" s="276"/>
      <c r="P231" s="276"/>
      <c r="Q231" s="276"/>
      <c r="R231" s="276"/>
      <c r="S231" s="278"/>
      <c r="T231" s="330"/>
      <c r="U231" s="281"/>
      <c r="V231" s="281"/>
      <c r="W231" s="281"/>
      <c r="X231" s="281"/>
      <c r="Y231" s="281"/>
      <c r="Z231" s="331"/>
      <c r="AA231" s="281"/>
      <c r="AB231" s="281"/>
    </row>
    <row r="232" spans="1:239" ht="45" customHeight="1" thickBot="1" x14ac:dyDescent="0.3">
      <c r="D232" s="88"/>
      <c r="J232" s="55"/>
      <c r="K232" s="17"/>
      <c r="L232" s="329"/>
      <c r="M232" s="276"/>
      <c r="N232" s="276"/>
      <c r="O232" s="276"/>
      <c r="P232" s="276"/>
      <c r="Q232" s="276"/>
      <c r="R232" s="276"/>
      <c r="S232" s="278"/>
      <c r="T232" s="330"/>
      <c r="U232" s="281"/>
      <c r="V232" s="281"/>
      <c r="W232" s="281"/>
      <c r="X232" s="281"/>
      <c r="Y232" s="281"/>
      <c r="Z232" s="331"/>
      <c r="AA232" s="281"/>
      <c r="AB232" s="281"/>
    </row>
    <row r="233" spans="1:239" s="35" customFormat="1" ht="45" customHeight="1" thickBot="1" x14ac:dyDescent="0.3">
      <c r="A233" s="108"/>
      <c r="B233" s="88"/>
      <c r="C233" s="40"/>
      <c r="D233" s="88"/>
      <c r="I233" s="55"/>
      <c r="J233" s="55"/>
      <c r="K233" s="17"/>
      <c r="L233" s="329"/>
      <c r="M233" s="276"/>
      <c r="N233" s="276"/>
      <c r="O233" s="276"/>
      <c r="P233" s="276"/>
      <c r="Q233" s="276"/>
      <c r="R233" s="276"/>
      <c r="S233" s="278"/>
      <c r="T233" s="330"/>
      <c r="U233" s="281"/>
      <c r="V233" s="281"/>
      <c r="W233" s="281"/>
      <c r="X233" s="281"/>
      <c r="Y233" s="281"/>
      <c r="Z233" s="331"/>
      <c r="AA233" s="281"/>
      <c r="AB233" s="281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</row>
    <row r="234" spans="1:239" ht="45" customHeight="1" thickBot="1" x14ac:dyDescent="0.3">
      <c r="C234" s="4"/>
      <c r="J234" s="55"/>
      <c r="K234" s="17"/>
      <c r="L234" s="329"/>
      <c r="M234" s="276"/>
      <c r="N234" s="276"/>
      <c r="O234" s="276"/>
      <c r="P234" s="276"/>
      <c r="Q234" s="276"/>
      <c r="R234" s="276"/>
      <c r="S234" s="278"/>
      <c r="T234" s="330"/>
      <c r="U234" s="281"/>
      <c r="V234" s="281"/>
      <c r="W234" s="281"/>
      <c r="X234" s="281"/>
      <c r="Y234" s="281"/>
      <c r="Z234" s="331"/>
      <c r="AA234" s="281"/>
      <c r="AB234" s="281"/>
    </row>
    <row r="235" spans="1:239" ht="45" customHeight="1" thickBot="1" x14ac:dyDescent="0.3">
      <c r="C235" s="4"/>
      <c r="J235" s="55"/>
      <c r="K235" s="17"/>
      <c r="L235" s="329"/>
      <c r="M235" s="276"/>
      <c r="N235" s="276"/>
      <c r="O235" s="276"/>
      <c r="P235" s="276"/>
      <c r="Q235" s="276"/>
      <c r="R235" s="276"/>
      <c r="S235" s="278"/>
      <c r="T235" s="330"/>
      <c r="U235" s="281"/>
      <c r="V235" s="281"/>
      <c r="W235" s="281"/>
      <c r="X235" s="281"/>
      <c r="Y235" s="281"/>
      <c r="Z235" s="331"/>
      <c r="AA235" s="281"/>
      <c r="AB235" s="281"/>
    </row>
    <row r="236" spans="1:239" ht="45" customHeight="1" thickBot="1" x14ac:dyDescent="0.3">
      <c r="D236" s="88"/>
      <c r="J236" s="55"/>
      <c r="K236" s="17"/>
      <c r="L236" s="329"/>
      <c r="M236" s="276"/>
      <c r="N236" s="276"/>
      <c r="O236" s="276"/>
      <c r="P236" s="276"/>
      <c r="Q236" s="276"/>
      <c r="R236" s="276"/>
      <c r="S236" s="278"/>
      <c r="T236" s="330"/>
      <c r="U236" s="281"/>
      <c r="V236" s="281"/>
      <c r="W236" s="281"/>
      <c r="X236" s="281"/>
      <c r="Y236" s="281"/>
      <c r="Z236" s="331"/>
      <c r="AA236" s="281"/>
      <c r="AB236" s="281"/>
    </row>
    <row r="237" spans="1:239" ht="45" customHeight="1" thickBot="1" x14ac:dyDescent="0.3">
      <c r="A237" s="54"/>
      <c r="D237" s="88"/>
      <c r="J237" s="55"/>
      <c r="K237" s="17"/>
      <c r="L237" s="329"/>
      <c r="M237" s="276"/>
      <c r="N237" s="276"/>
      <c r="O237" s="276"/>
      <c r="P237" s="276"/>
      <c r="Q237" s="276"/>
      <c r="R237" s="276"/>
      <c r="S237" s="278"/>
      <c r="T237" s="330"/>
      <c r="U237" s="281"/>
      <c r="V237" s="281"/>
      <c r="W237" s="281"/>
      <c r="X237" s="281"/>
      <c r="Y237" s="281"/>
      <c r="Z237" s="331"/>
      <c r="AA237" s="281"/>
      <c r="AB237" s="281"/>
    </row>
    <row r="238" spans="1:239" ht="45" customHeight="1" thickBot="1" x14ac:dyDescent="0.3">
      <c r="A238" s="54"/>
      <c r="C238" s="4"/>
      <c r="J238" s="55"/>
      <c r="K238" s="17"/>
      <c r="L238" s="329"/>
      <c r="M238" s="276"/>
      <c r="N238" s="276"/>
      <c r="O238" s="276"/>
      <c r="P238" s="276"/>
      <c r="Q238" s="276"/>
      <c r="R238" s="276"/>
      <c r="S238" s="278"/>
      <c r="T238" s="330"/>
      <c r="U238" s="281"/>
      <c r="V238" s="281"/>
      <c r="W238" s="281"/>
      <c r="X238" s="281"/>
      <c r="Y238" s="281"/>
      <c r="Z238" s="331"/>
      <c r="AA238" s="281"/>
      <c r="AB238" s="281"/>
    </row>
    <row r="239" spans="1:239" ht="45" customHeight="1" thickBot="1" x14ac:dyDescent="0.3">
      <c r="D239" s="88"/>
      <c r="J239" s="55"/>
      <c r="K239" s="17"/>
      <c r="L239" s="329"/>
      <c r="M239" s="276"/>
      <c r="N239" s="276"/>
      <c r="O239" s="276"/>
      <c r="P239" s="276"/>
      <c r="Q239" s="276"/>
      <c r="R239" s="276"/>
      <c r="S239" s="278"/>
      <c r="T239" s="330"/>
      <c r="U239" s="281"/>
      <c r="V239" s="281"/>
      <c r="W239" s="281"/>
      <c r="X239" s="281"/>
      <c r="Y239" s="281"/>
      <c r="Z239" s="331"/>
      <c r="AA239" s="281"/>
      <c r="AB239" s="281"/>
    </row>
    <row r="240" spans="1:239" ht="45" customHeight="1" thickBot="1" x14ac:dyDescent="0.3">
      <c r="A240" s="54"/>
      <c r="C240" s="35"/>
      <c r="D240" s="88"/>
      <c r="J240" s="55"/>
      <c r="K240" s="17"/>
      <c r="L240" s="329"/>
      <c r="M240" s="276"/>
      <c r="N240" s="276"/>
      <c r="O240" s="276"/>
      <c r="P240" s="276"/>
      <c r="Q240" s="276"/>
      <c r="R240" s="276"/>
      <c r="S240" s="278"/>
      <c r="T240" s="330"/>
      <c r="U240" s="281"/>
      <c r="V240" s="281"/>
      <c r="W240" s="281"/>
      <c r="X240" s="281"/>
      <c r="Y240" s="281"/>
      <c r="Z240" s="331"/>
      <c r="AA240" s="281"/>
      <c r="AB240" s="281"/>
    </row>
    <row r="241" spans="3:239" ht="45" customHeight="1" thickBot="1" x14ac:dyDescent="0.3">
      <c r="C241" s="35"/>
      <c r="D241" s="88"/>
      <c r="J241" s="55"/>
      <c r="K241" s="17"/>
      <c r="L241" s="329"/>
      <c r="M241" s="276"/>
      <c r="N241" s="276"/>
      <c r="O241" s="276"/>
      <c r="P241" s="276"/>
      <c r="Q241" s="276"/>
      <c r="R241" s="276"/>
      <c r="S241" s="278"/>
      <c r="T241" s="330"/>
      <c r="U241" s="281"/>
      <c r="V241" s="281"/>
      <c r="W241" s="281"/>
      <c r="X241" s="281"/>
      <c r="Y241" s="281"/>
      <c r="Z241" s="331"/>
      <c r="AA241" s="281"/>
      <c r="AB241" s="281"/>
    </row>
    <row r="242" spans="3:239" ht="45" customHeight="1" thickBot="1" x14ac:dyDescent="0.3">
      <c r="C242" s="35"/>
      <c r="D242" s="88"/>
      <c r="J242" s="55"/>
      <c r="K242" s="17"/>
      <c r="L242" s="329"/>
      <c r="M242" s="276"/>
      <c r="N242" s="276"/>
      <c r="O242" s="276"/>
      <c r="P242" s="276"/>
      <c r="Q242" s="276"/>
      <c r="R242" s="276"/>
      <c r="S242" s="278"/>
      <c r="T242" s="330"/>
      <c r="U242" s="281"/>
      <c r="V242" s="281"/>
      <c r="W242" s="281"/>
      <c r="X242" s="281"/>
      <c r="Y242" s="281"/>
      <c r="Z242" s="331"/>
      <c r="AA242" s="281"/>
      <c r="AB242" s="281"/>
    </row>
    <row r="243" spans="3:239" ht="45" customHeight="1" thickBot="1" x14ac:dyDescent="0.25">
      <c r="D243" s="88"/>
      <c r="J243" s="55"/>
      <c r="K243" s="17"/>
      <c r="L243" s="329"/>
      <c r="M243" s="276"/>
      <c r="N243" s="276"/>
      <c r="O243" s="276"/>
      <c r="P243" s="276"/>
      <c r="Q243" s="276"/>
      <c r="R243" s="276"/>
      <c r="S243" s="278"/>
      <c r="T243" s="332"/>
      <c r="U243" s="281"/>
      <c r="V243" s="281"/>
      <c r="W243" s="281"/>
      <c r="X243" s="281"/>
      <c r="Y243" s="281"/>
      <c r="Z243" s="331"/>
      <c r="AA243" s="281"/>
      <c r="AB243" s="281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</row>
    <row r="244" spans="3:239" ht="45" customHeight="1" thickBot="1" x14ac:dyDescent="0.3">
      <c r="D244" s="88"/>
      <c r="J244" s="55"/>
      <c r="K244" s="17"/>
      <c r="L244" s="329"/>
      <c r="M244" s="276"/>
      <c r="N244" s="276"/>
      <c r="O244" s="276"/>
      <c r="P244" s="276"/>
      <c r="Q244" s="276"/>
      <c r="R244" s="276"/>
      <c r="S244" s="278"/>
      <c r="T244" s="330"/>
      <c r="U244" s="281"/>
      <c r="V244" s="281"/>
      <c r="W244" s="281"/>
      <c r="X244" s="281"/>
      <c r="Y244" s="281"/>
      <c r="Z244" s="331"/>
      <c r="AA244" s="281"/>
      <c r="AB244" s="281"/>
    </row>
    <row r="245" spans="3:239" ht="45" customHeight="1" thickBot="1" x14ac:dyDescent="0.3">
      <c r="D245" s="88"/>
      <c r="J245" s="55"/>
      <c r="K245" s="17"/>
      <c r="L245" s="329"/>
      <c r="M245" s="276"/>
      <c r="N245" s="276"/>
      <c r="O245" s="276"/>
      <c r="P245" s="276"/>
      <c r="Q245" s="276"/>
      <c r="R245" s="276"/>
      <c r="S245" s="278"/>
      <c r="T245" s="330"/>
      <c r="U245" s="281"/>
      <c r="V245" s="281"/>
      <c r="W245" s="281"/>
      <c r="X245" s="281"/>
      <c r="Y245" s="281"/>
      <c r="Z245" s="331"/>
      <c r="AA245" s="281"/>
      <c r="AB245" s="281"/>
    </row>
    <row r="246" spans="3:239" ht="45" customHeight="1" thickBot="1" x14ac:dyDescent="0.3">
      <c r="D246" s="88"/>
      <c r="J246" s="55"/>
      <c r="K246" s="17"/>
      <c r="L246" s="329"/>
      <c r="M246" s="276"/>
      <c r="N246" s="276"/>
      <c r="O246" s="276"/>
      <c r="P246" s="276"/>
      <c r="Q246" s="276"/>
      <c r="R246" s="276"/>
      <c r="S246" s="278"/>
      <c r="T246" s="330"/>
      <c r="U246" s="281"/>
      <c r="V246" s="281"/>
      <c r="W246" s="281"/>
      <c r="X246" s="281"/>
      <c r="Y246" s="281"/>
      <c r="Z246" s="331"/>
      <c r="AA246" s="281"/>
      <c r="AB246" s="281"/>
    </row>
    <row r="247" spans="3:239" ht="45" customHeight="1" thickBot="1" x14ac:dyDescent="0.3">
      <c r="J247" s="55"/>
      <c r="K247" s="17"/>
      <c r="L247" s="329"/>
      <c r="M247" s="276"/>
      <c r="N247" s="276"/>
      <c r="O247" s="276"/>
      <c r="P247" s="276"/>
      <c r="Q247" s="276"/>
      <c r="R247" s="276"/>
      <c r="S247" s="278"/>
      <c r="T247" s="330"/>
      <c r="U247" s="281"/>
      <c r="V247" s="281"/>
      <c r="W247" s="281"/>
      <c r="X247" s="281"/>
      <c r="Y247" s="281"/>
      <c r="Z247" s="331"/>
      <c r="AA247" s="281"/>
      <c r="AB247" s="281"/>
    </row>
    <row r="248" spans="3:239" ht="45" customHeight="1" thickBot="1" x14ac:dyDescent="0.3">
      <c r="D248" s="88"/>
      <c r="J248" s="55"/>
      <c r="K248" s="17"/>
      <c r="L248" s="329"/>
      <c r="M248" s="276"/>
      <c r="N248" s="276"/>
      <c r="O248" s="276"/>
      <c r="P248" s="276"/>
      <c r="Q248" s="276"/>
      <c r="R248" s="276"/>
      <c r="S248" s="278"/>
      <c r="T248" s="330"/>
      <c r="U248" s="281"/>
      <c r="V248" s="281"/>
      <c r="W248" s="281"/>
      <c r="X248" s="281"/>
      <c r="Y248" s="281"/>
      <c r="Z248" s="331"/>
      <c r="AA248" s="281"/>
      <c r="AB248" s="281"/>
    </row>
    <row r="249" spans="3:239" ht="45" customHeight="1" thickBot="1" x14ac:dyDescent="0.25">
      <c r="D249" s="88"/>
      <c r="J249" s="55"/>
      <c r="K249" s="17"/>
      <c r="L249" s="329"/>
      <c r="M249" s="276"/>
      <c r="N249" s="276"/>
      <c r="O249" s="276"/>
      <c r="P249" s="276"/>
      <c r="Q249" s="276"/>
      <c r="R249" s="276"/>
      <c r="S249" s="278"/>
      <c r="T249" s="332"/>
      <c r="U249" s="281"/>
      <c r="V249" s="281"/>
      <c r="W249" s="281"/>
      <c r="X249" s="281"/>
      <c r="Y249" s="281"/>
      <c r="Z249" s="331"/>
      <c r="AA249" s="281"/>
      <c r="AB249" s="281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</row>
    <row r="250" spans="3:239" ht="45" customHeight="1" thickBot="1" x14ac:dyDescent="0.3">
      <c r="D250" s="88"/>
      <c r="J250" s="55"/>
      <c r="K250" s="17"/>
      <c r="L250" s="329"/>
      <c r="M250" s="276"/>
      <c r="N250" s="276"/>
      <c r="O250" s="276"/>
      <c r="P250" s="276"/>
      <c r="Q250" s="276"/>
      <c r="R250" s="276"/>
      <c r="S250" s="278"/>
      <c r="T250" s="330"/>
      <c r="U250" s="281"/>
      <c r="V250" s="281"/>
      <c r="W250" s="281"/>
      <c r="X250" s="281"/>
      <c r="Y250" s="281"/>
      <c r="Z250" s="331"/>
      <c r="AA250" s="281"/>
      <c r="AB250" s="281"/>
    </row>
    <row r="251" spans="3:239" ht="45" customHeight="1" thickBot="1" x14ac:dyDescent="0.25">
      <c r="D251" s="88"/>
      <c r="J251" s="55"/>
      <c r="K251" s="17"/>
      <c r="L251" s="329"/>
      <c r="M251" s="276"/>
      <c r="N251" s="276"/>
      <c r="O251" s="276"/>
      <c r="P251" s="276"/>
      <c r="Q251" s="276"/>
      <c r="R251" s="276"/>
      <c r="S251" s="278"/>
      <c r="T251" s="332"/>
      <c r="U251" s="281"/>
      <c r="V251" s="281"/>
      <c r="W251" s="281"/>
      <c r="X251" s="281"/>
      <c r="Y251" s="281"/>
      <c r="Z251" s="331"/>
      <c r="AA251" s="281"/>
      <c r="AB251" s="281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</row>
    <row r="252" spans="3:239" ht="45" customHeight="1" thickBot="1" x14ac:dyDescent="0.25">
      <c r="D252" s="88"/>
      <c r="J252" s="55"/>
      <c r="K252" s="17"/>
      <c r="L252" s="329"/>
      <c r="M252" s="276"/>
      <c r="N252" s="276"/>
      <c r="O252" s="276"/>
      <c r="P252" s="276"/>
      <c r="Q252" s="276"/>
      <c r="R252" s="276"/>
      <c r="S252" s="278"/>
      <c r="T252" s="332"/>
      <c r="U252" s="281"/>
      <c r="V252" s="281"/>
      <c r="W252" s="281"/>
      <c r="X252" s="281"/>
      <c r="Y252" s="281"/>
      <c r="Z252" s="331"/>
      <c r="AA252" s="281"/>
      <c r="AB252" s="281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</row>
    <row r="253" spans="3:239" ht="45" customHeight="1" thickBot="1" x14ac:dyDescent="0.3">
      <c r="C253" s="98"/>
      <c r="J253" s="55"/>
      <c r="K253" s="17"/>
      <c r="L253" s="329"/>
      <c r="M253" s="276"/>
      <c r="N253" s="276"/>
      <c r="O253" s="276"/>
      <c r="P253" s="276"/>
      <c r="Q253" s="276"/>
      <c r="R253" s="276"/>
      <c r="S253" s="278"/>
      <c r="T253" s="330"/>
      <c r="U253" s="281"/>
      <c r="V253" s="281"/>
      <c r="W253" s="281"/>
      <c r="X253" s="281"/>
      <c r="Y253" s="281"/>
      <c r="Z253" s="331"/>
      <c r="AA253" s="281"/>
      <c r="AB253" s="281"/>
    </row>
    <row r="254" spans="3:239" ht="45" customHeight="1" thickBot="1" x14ac:dyDescent="0.3">
      <c r="C254" s="98"/>
      <c r="J254" s="55"/>
      <c r="K254" s="17"/>
      <c r="L254" s="329"/>
      <c r="M254" s="276"/>
      <c r="N254" s="276"/>
      <c r="O254" s="276"/>
      <c r="P254" s="276"/>
      <c r="Q254" s="276"/>
      <c r="R254" s="276"/>
      <c r="S254" s="278"/>
      <c r="T254" s="330"/>
      <c r="U254" s="281"/>
      <c r="V254" s="281"/>
      <c r="W254" s="281"/>
      <c r="X254" s="281"/>
      <c r="Y254" s="281"/>
      <c r="Z254" s="331"/>
      <c r="AA254" s="281"/>
      <c r="AB254" s="281"/>
    </row>
    <row r="255" spans="3:239" ht="45" customHeight="1" thickBot="1" x14ac:dyDescent="0.25">
      <c r="C255" s="98"/>
      <c r="J255" s="55"/>
      <c r="K255" s="17"/>
      <c r="L255" s="329"/>
      <c r="M255" s="276"/>
      <c r="N255" s="276"/>
      <c r="O255" s="276"/>
      <c r="P255" s="276"/>
      <c r="Q255" s="276"/>
      <c r="R255" s="276"/>
      <c r="S255" s="278"/>
      <c r="T255" s="332"/>
      <c r="U255" s="281"/>
      <c r="V255" s="281"/>
      <c r="W255" s="281"/>
      <c r="X255" s="281"/>
      <c r="Y255" s="281"/>
      <c r="Z255" s="331"/>
      <c r="AA255" s="281"/>
      <c r="AB255" s="281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</row>
    <row r="256" spans="3:239" ht="45" customHeight="1" thickBot="1" x14ac:dyDescent="0.3">
      <c r="C256" s="98"/>
      <c r="J256" s="55"/>
      <c r="K256" s="17"/>
      <c r="L256" s="329"/>
      <c r="M256" s="276"/>
      <c r="N256" s="276"/>
      <c r="O256" s="276"/>
      <c r="P256" s="276"/>
      <c r="Q256" s="276"/>
      <c r="R256" s="276"/>
      <c r="S256" s="278"/>
      <c r="T256" s="330"/>
      <c r="U256" s="281"/>
      <c r="V256" s="281"/>
      <c r="W256" s="281"/>
      <c r="X256" s="281"/>
      <c r="Y256" s="281"/>
      <c r="Z256" s="331"/>
      <c r="AA256" s="281"/>
      <c r="AB256" s="281"/>
    </row>
    <row r="257" spans="3:239" ht="45" customHeight="1" thickBot="1" x14ac:dyDescent="0.3">
      <c r="J257" s="55"/>
      <c r="K257" s="17"/>
      <c r="L257" s="329"/>
      <c r="M257" s="276"/>
      <c r="N257" s="276"/>
      <c r="O257" s="276"/>
      <c r="P257" s="276"/>
      <c r="Q257" s="276"/>
      <c r="R257" s="276"/>
      <c r="S257" s="278"/>
      <c r="T257" s="330"/>
      <c r="U257" s="281"/>
      <c r="V257" s="281"/>
      <c r="W257" s="281"/>
      <c r="X257" s="281"/>
      <c r="Y257" s="281"/>
      <c r="Z257" s="331"/>
      <c r="AA257" s="281"/>
      <c r="AB257" s="281"/>
    </row>
    <row r="258" spans="3:239" ht="45" customHeight="1" thickBot="1" x14ac:dyDescent="0.3">
      <c r="D258" s="88"/>
      <c r="J258" s="55"/>
      <c r="K258" s="17"/>
      <c r="L258" s="329"/>
      <c r="M258" s="276"/>
      <c r="N258" s="276"/>
      <c r="O258" s="276"/>
      <c r="P258" s="276"/>
      <c r="Q258" s="276"/>
      <c r="R258" s="276"/>
      <c r="S258" s="278"/>
      <c r="T258" s="330"/>
      <c r="U258" s="281"/>
      <c r="V258" s="281"/>
      <c r="W258" s="281"/>
      <c r="X258" s="281"/>
      <c r="Y258" s="281"/>
      <c r="Z258" s="331"/>
      <c r="AA258" s="281"/>
      <c r="AB258" s="281"/>
    </row>
    <row r="259" spans="3:239" ht="45" customHeight="1" thickBot="1" x14ac:dyDescent="0.3">
      <c r="C259" s="4"/>
      <c r="J259" s="55"/>
      <c r="K259" s="17"/>
      <c r="L259" s="329"/>
      <c r="M259" s="276"/>
      <c r="N259" s="276"/>
      <c r="O259" s="276"/>
      <c r="P259" s="276"/>
      <c r="Q259" s="276"/>
      <c r="R259" s="276"/>
      <c r="S259" s="278"/>
      <c r="T259" s="330"/>
      <c r="U259" s="281"/>
      <c r="V259" s="281"/>
      <c r="W259" s="281"/>
      <c r="X259" s="281"/>
      <c r="Y259" s="281"/>
      <c r="Z259" s="331"/>
      <c r="AA259" s="281"/>
      <c r="AB259" s="281"/>
    </row>
    <row r="260" spans="3:239" ht="45" customHeight="1" thickBot="1" x14ac:dyDescent="0.3">
      <c r="D260" s="88"/>
      <c r="J260" s="55"/>
      <c r="K260" s="17"/>
      <c r="L260" s="329"/>
      <c r="M260" s="276"/>
      <c r="N260" s="276"/>
      <c r="O260" s="276"/>
      <c r="P260" s="276"/>
      <c r="Q260" s="276"/>
      <c r="R260" s="276"/>
      <c r="S260" s="278"/>
      <c r="T260" s="330"/>
      <c r="U260" s="281"/>
      <c r="V260" s="281"/>
      <c r="W260" s="281"/>
      <c r="X260" s="281"/>
      <c r="Y260" s="281"/>
      <c r="Z260" s="331"/>
      <c r="AA260" s="281"/>
      <c r="AB260" s="281"/>
    </row>
    <row r="261" spans="3:239" ht="45" customHeight="1" thickBot="1" x14ac:dyDescent="0.3">
      <c r="D261" s="88"/>
      <c r="J261" s="55"/>
      <c r="K261" s="17"/>
      <c r="L261" s="329"/>
      <c r="M261" s="276"/>
      <c r="N261" s="276"/>
      <c r="O261" s="276"/>
      <c r="P261" s="276"/>
      <c r="Q261" s="276"/>
      <c r="R261" s="276"/>
      <c r="S261" s="278"/>
      <c r="T261" s="330"/>
      <c r="U261" s="281"/>
      <c r="V261" s="281"/>
      <c r="W261" s="281"/>
      <c r="X261" s="281"/>
      <c r="Y261" s="281"/>
      <c r="Z261" s="331"/>
      <c r="AA261" s="281"/>
      <c r="AB261" s="281"/>
    </row>
    <row r="262" spans="3:239" ht="45" customHeight="1" thickBot="1" x14ac:dyDescent="0.3">
      <c r="D262" s="88"/>
      <c r="J262" s="55"/>
      <c r="K262" s="17"/>
      <c r="L262" s="329"/>
      <c r="M262" s="276"/>
      <c r="N262" s="276"/>
      <c r="O262" s="276"/>
      <c r="P262" s="276"/>
      <c r="Q262" s="276"/>
      <c r="R262" s="276"/>
      <c r="S262" s="278"/>
      <c r="T262" s="330"/>
      <c r="U262" s="281"/>
      <c r="V262" s="281"/>
      <c r="W262" s="281"/>
      <c r="X262" s="281"/>
      <c r="Y262" s="281"/>
      <c r="Z262" s="331"/>
      <c r="AA262" s="281"/>
      <c r="AB262" s="281"/>
    </row>
    <row r="263" spans="3:239" ht="45" customHeight="1" thickBot="1" x14ac:dyDescent="0.3">
      <c r="D263" s="88"/>
      <c r="J263" s="55"/>
      <c r="K263" s="17"/>
      <c r="L263" s="329"/>
      <c r="M263" s="276"/>
      <c r="N263" s="276"/>
      <c r="O263" s="276"/>
      <c r="P263" s="276"/>
      <c r="Q263" s="276"/>
      <c r="R263" s="276"/>
      <c r="S263" s="278"/>
      <c r="T263" s="330"/>
      <c r="U263" s="281"/>
      <c r="V263" s="281"/>
      <c r="W263" s="281"/>
      <c r="X263" s="281"/>
      <c r="Y263" s="281"/>
      <c r="Z263" s="331"/>
      <c r="AA263" s="281"/>
      <c r="AB263" s="281"/>
    </row>
    <row r="264" spans="3:239" ht="45" customHeight="1" thickBot="1" x14ac:dyDescent="0.3">
      <c r="D264" s="88"/>
      <c r="J264" s="55"/>
      <c r="K264" s="17"/>
      <c r="L264" s="329"/>
      <c r="M264" s="276"/>
      <c r="N264" s="276"/>
      <c r="O264" s="276"/>
      <c r="P264" s="276"/>
      <c r="Q264" s="276"/>
      <c r="R264" s="276"/>
      <c r="S264" s="278"/>
      <c r="T264" s="330"/>
      <c r="U264" s="281"/>
      <c r="V264" s="281"/>
      <c r="W264" s="281"/>
      <c r="X264" s="281"/>
      <c r="Y264" s="281"/>
      <c r="Z264" s="331"/>
      <c r="AA264" s="281"/>
      <c r="AB264" s="281"/>
    </row>
    <row r="265" spans="3:239" ht="45" customHeight="1" thickBot="1" x14ac:dyDescent="0.3">
      <c r="D265" s="88"/>
      <c r="J265" s="55"/>
      <c r="K265" s="17"/>
      <c r="L265" s="329"/>
      <c r="M265" s="276"/>
      <c r="N265" s="276"/>
      <c r="O265" s="276"/>
      <c r="P265" s="276"/>
      <c r="Q265" s="276"/>
      <c r="R265" s="276"/>
      <c r="S265" s="278"/>
      <c r="T265" s="330"/>
      <c r="U265" s="281"/>
      <c r="V265" s="281"/>
      <c r="W265" s="281"/>
      <c r="X265" s="281"/>
      <c r="Y265" s="281"/>
      <c r="Z265" s="331"/>
      <c r="AA265" s="281"/>
      <c r="AB265" s="281"/>
    </row>
    <row r="266" spans="3:239" ht="45" customHeight="1" thickBot="1" x14ac:dyDescent="0.3">
      <c r="D266" s="88"/>
      <c r="J266" s="55"/>
      <c r="K266" s="17"/>
      <c r="L266" s="329"/>
      <c r="M266" s="276"/>
      <c r="N266" s="276"/>
      <c r="O266" s="276"/>
      <c r="P266" s="276"/>
      <c r="Q266" s="276"/>
      <c r="R266" s="276"/>
      <c r="S266" s="278"/>
      <c r="T266" s="330"/>
      <c r="U266" s="281"/>
      <c r="V266" s="281"/>
      <c r="W266" s="281"/>
      <c r="X266" s="281"/>
      <c r="Y266" s="281"/>
      <c r="Z266" s="331"/>
      <c r="AA266" s="281"/>
      <c r="AB266" s="281"/>
    </row>
    <row r="267" spans="3:239" ht="45" customHeight="1" thickBot="1" x14ac:dyDescent="0.3">
      <c r="D267" s="88"/>
      <c r="J267" s="55"/>
      <c r="K267" s="17"/>
      <c r="L267" s="329"/>
      <c r="M267" s="276"/>
      <c r="N267" s="276"/>
      <c r="O267" s="276"/>
      <c r="P267" s="276"/>
      <c r="Q267" s="276"/>
      <c r="R267" s="276"/>
      <c r="S267" s="278"/>
      <c r="T267" s="330"/>
      <c r="U267" s="281"/>
      <c r="V267" s="281"/>
      <c r="W267" s="281"/>
      <c r="X267" s="281"/>
      <c r="Y267" s="281"/>
      <c r="Z267" s="331"/>
      <c r="AA267" s="281"/>
      <c r="AB267" s="281"/>
    </row>
    <row r="268" spans="3:239" ht="45" customHeight="1" thickBot="1" x14ac:dyDescent="0.3">
      <c r="J268" s="55"/>
      <c r="K268" s="17"/>
      <c r="L268" s="329"/>
      <c r="M268" s="276"/>
      <c r="N268" s="276"/>
      <c r="O268" s="276"/>
      <c r="P268" s="276"/>
      <c r="Q268" s="276"/>
      <c r="R268" s="276"/>
      <c r="S268" s="278"/>
      <c r="T268" s="330"/>
      <c r="U268" s="281"/>
      <c r="V268" s="281"/>
      <c r="W268" s="281"/>
      <c r="X268" s="281"/>
      <c r="Y268" s="281"/>
      <c r="Z268" s="331"/>
      <c r="AA268" s="281"/>
      <c r="AB268" s="281"/>
    </row>
    <row r="269" spans="3:239" ht="45" customHeight="1" thickBot="1" x14ac:dyDescent="0.3">
      <c r="C269" s="98"/>
      <c r="J269" s="55"/>
      <c r="K269" s="17"/>
      <c r="L269" s="329"/>
      <c r="M269" s="276"/>
      <c r="N269" s="276"/>
      <c r="O269" s="276"/>
      <c r="P269" s="276"/>
      <c r="Q269" s="276"/>
      <c r="R269" s="276"/>
      <c r="S269" s="278"/>
      <c r="T269" s="330"/>
      <c r="U269" s="281"/>
      <c r="V269" s="281"/>
      <c r="W269" s="281"/>
      <c r="X269" s="281"/>
      <c r="Y269" s="281"/>
      <c r="Z269" s="331"/>
      <c r="AA269" s="281"/>
      <c r="AB269" s="281"/>
    </row>
    <row r="270" spans="3:239" ht="45" customHeight="1" thickBot="1" x14ac:dyDescent="0.3">
      <c r="C270" s="98"/>
      <c r="J270" s="55"/>
      <c r="K270" s="17"/>
      <c r="L270" s="329"/>
      <c r="M270" s="276"/>
      <c r="N270" s="276"/>
      <c r="O270" s="276"/>
      <c r="P270" s="276"/>
      <c r="Q270" s="276"/>
      <c r="R270" s="276"/>
      <c r="S270" s="278"/>
      <c r="T270" s="330"/>
      <c r="U270" s="281"/>
      <c r="V270" s="281"/>
      <c r="W270" s="281"/>
      <c r="X270" s="281"/>
      <c r="Y270" s="281"/>
      <c r="Z270" s="331"/>
      <c r="AA270" s="281"/>
      <c r="AB270" s="281"/>
    </row>
    <row r="271" spans="3:239" ht="45" customHeight="1" thickBot="1" x14ac:dyDescent="0.25">
      <c r="C271" s="98"/>
      <c r="J271" s="55"/>
      <c r="K271" s="17"/>
      <c r="L271" s="329"/>
      <c r="M271" s="276"/>
      <c r="N271" s="276"/>
      <c r="O271" s="276"/>
      <c r="P271" s="276"/>
      <c r="Q271" s="276"/>
      <c r="R271" s="276"/>
      <c r="S271" s="278"/>
      <c r="T271" s="332"/>
      <c r="U271" s="281"/>
      <c r="V271" s="281"/>
      <c r="W271" s="281"/>
      <c r="X271" s="281"/>
      <c r="Y271" s="281"/>
      <c r="Z271" s="331"/>
      <c r="AA271" s="281"/>
      <c r="AB271" s="281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</row>
    <row r="272" spans="3:239" ht="45" customHeight="1" thickBot="1" x14ac:dyDescent="0.25">
      <c r="C272" s="98"/>
      <c r="J272" s="55"/>
      <c r="K272" s="17"/>
      <c r="L272" s="329"/>
      <c r="M272" s="276"/>
      <c r="N272" s="276"/>
      <c r="O272" s="276"/>
      <c r="P272" s="276"/>
      <c r="Q272" s="276"/>
      <c r="R272" s="276"/>
      <c r="S272" s="278"/>
      <c r="T272" s="332"/>
      <c r="U272" s="281"/>
      <c r="V272" s="281"/>
      <c r="W272" s="281"/>
      <c r="X272" s="281"/>
      <c r="Y272" s="281"/>
      <c r="Z272" s="331"/>
      <c r="AA272" s="281"/>
      <c r="AB272" s="281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</row>
    <row r="273" spans="1:239" s="35" customFormat="1" ht="45" customHeight="1" thickBot="1" x14ac:dyDescent="0.3">
      <c r="A273" s="108"/>
      <c r="B273" s="88"/>
      <c r="C273" s="40"/>
      <c r="D273" s="89"/>
      <c r="I273" s="55"/>
      <c r="J273" s="55"/>
      <c r="K273" s="17"/>
      <c r="L273" s="329"/>
      <c r="M273" s="276"/>
      <c r="N273" s="276"/>
      <c r="O273" s="276"/>
      <c r="P273" s="276"/>
      <c r="Q273" s="276"/>
      <c r="R273" s="276"/>
      <c r="S273" s="278"/>
      <c r="T273" s="330"/>
      <c r="U273" s="281"/>
      <c r="V273" s="281"/>
      <c r="W273" s="281"/>
      <c r="X273" s="281"/>
      <c r="Y273" s="281"/>
      <c r="Z273" s="331"/>
      <c r="AA273" s="281"/>
      <c r="AB273" s="281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</row>
    <row r="274" spans="1:239" s="35" customFormat="1" ht="45" customHeight="1" thickBot="1" x14ac:dyDescent="0.25">
      <c r="A274" s="108"/>
      <c r="B274" s="88"/>
      <c r="C274" s="98"/>
      <c r="D274" s="89"/>
      <c r="I274" s="55"/>
      <c r="J274" s="55"/>
      <c r="K274" s="17"/>
      <c r="L274" s="329"/>
      <c r="M274" s="276"/>
      <c r="N274" s="276"/>
      <c r="O274" s="276"/>
      <c r="P274" s="276"/>
      <c r="Q274" s="276"/>
      <c r="R274" s="276"/>
      <c r="S274" s="278"/>
      <c r="T274" s="332"/>
      <c r="U274" s="281"/>
      <c r="V274" s="281"/>
      <c r="W274" s="281"/>
      <c r="X274" s="281"/>
      <c r="Y274" s="281"/>
      <c r="Z274" s="331"/>
      <c r="AA274" s="281"/>
      <c r="AB274" s="281"/>
    </row>
    <row r="275" spans="1:239" ht="45" customHeight="1" thickBot="1" x14ac:dyDescent="0.3">
      <c r="C275" s="98"/>
      <c r="J275" s="55"/>
      <c r="K275" s="17"/>
      <c r="L275" s="329"/>
      <c r="M275" s="276"/>
      <c r="N275" s="276"/>
      <c r="O275" s="276"/>
      <c r="P275" s="276"/>
      <c r="Q275" s="276"/>
      <c r="R275" s="276"/>
      <c r="S275" s="278"/>
      <c r="T275" s="330"/>
      <c r="U275" s="281"/>
      <c r="V275" s="281"/>
      <c r="W275" s="281"/>
      <c r="X275" s="281"/>
      <c r="Y275" s="281"/>
      <c r="Z275" s="331"/>
      <c r="AA275" s="281"/>
      <c r="AB275" s="281"/>
    </row>
    <row r="276" spans="1:239" ht="45" customHeight="1" thickBot="1" x14ac:dyDescent="0.3">
      <c r="C276" s="98"/>
      <c r="J276" s="55"/>
      <c r="K276" s="17"/>
      <c r="L276" s="329"/>
      <c r="M276" s="276"/>
      <c r="N276" s="276"/>
      <c r="O276" s="276"/>
      <c r="P276" s="276"/>
      <c r="Q276" s="276"/>
      <c r="R276" s="276"/>
      <c r="S276" s="278"/>
      <c r="T276" s="330"/>
      <c r="U276" s="281"/>
      <c r="V276" s="281"/>
      <c r="W276" s="281"/>
      <c r="X276" s="281"/>
      <c r="Y276" s="281"/>
      <c r="Z276" s="331"/>
      <c r="AA276" s="281"/>
      <c r="AB276" s="281"/>
    </row>
    <row r="277" spans="1:239" ht="45" customHeight="1" thickBot="1" x14ac:dyDescent="0.25">
      <c r="J277" s="55"/>
      <c r="K277" s="17"/>
      <c r="L277" s="329"/>
      <c r="M277" s="276"/>
      <c r="N277" s="276"/>
      <c r="O277" s="276"/>
      <c r="P277" s="276"/>
      <c r="Q277" s="276"/>
      <c r="R277" s="276"/>
      <c r="S277" s="278"/>
      <c r="T277" s="332"/>
      <c r="U277" s="281"/>
      <c r="V277" s="281"/>
      <c r="W277" s="281"/>
      <c r="X277" s="281"/>
      <c r="Y277" s="281"/>
      <c r="Z277" s="331"/>
      <c r="AA277" s="281"/>
      <c r="AB277" s="281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</row>
    <row r="278" spans="1:239" ht="45" customHeight="1" thickBot="1" x14ac:dyDescent="0.3">
      <c r="C278" s="35"/>
      <c r="J278" s="55"/>
      <c r="K278" s="17"/>
      <c r="L278" s="329"/>
      <c r="M278" s="276"/>
      <c r="N278" s="276"/>
      <c r="O278" s="276"/>
      <c r="P278" s="276"/>
      <c r="Q278" s="276"/>
      <c r="R278" s="276"/>
      <c r="S278" s="278"/>
      <c r="T278" s="330"/>
      <c r="U278" s="281"/>
      <c r="V278" s="281"/>
      <c r="W278" s="281"/>
      <c r="X278" s="281"/>
      <c r="Y278" s="281"/>
      <c r="Z278" s="331"/>
      <c r="AA278" s="281"/>
      <c r="AB278" s="281"/>
    </row>
    <row r="279" spans="1:239" ht="45" customHeight="1" thickBot="1" x14ac:dyDescent="0.25">
      <c r="E279" s="96"/>
      <c r="F279" s="96"/>
      <c r="G279" s="96"/>
      <c r="H279" s="96"/>
      <c r="J279" s="55"/>
      <c r="K279" s="17"/>
      <c r="L279" s="329"/>
      <c r="M279" s="276"/>
      <c r="N279" s="276"/>
      <c r="O279" s="276"/>
      <c r="P279" s="276"/>
      <c r="Q279" s="276"/>
      <c r="R279" s="276"/>
      <c r="S279" s="278"/>
      <c r="T279" s="334"/>
      <c r="U279" s="286"/>
      <c r="V279" s="286"/>
      <c r="W279" s="286"/>
      <c r="X279" s="286"/>
      <c r="Y279" s="286"/>
      <c r="Z279" s="335"/>
      <c r="AA279" s="286"/>
      <c r="AB279" s="286"/>
    </row>
    <row r="280" spans="1:239" s="35" customFormat="1" ht="45" customHeight="1" thickBot="1" x14ac:dyDescent="0.3">
      <c r="A280" s="108"/>
      <c r="B280" s="88"/>
      <c r="C280" s="98"/>
      <c r="D280" s="89"/>
      <c r="I280" s="55"/>
      <c r="J280" s="55"/>
      <c r="K280" s="17"/>
      <c r="L280" s="329"/>
      <c r="M280" s="276"/>
      <c r="N280" s="276"/>
      <c r="O280" s="276"/>
      <c r="P280" s="276"/>
      <c r="Q280" s="276"/>
      <c r="R280" s="276"/>
      <c r="S280" s="278"/>
      <c r="T280" s="330"/>
      <c r="U280" s="281"/>
      <c r="V280" s="281"/>
      <c r="W280" s="281"/>
      <c r="X280" s="281"/>
      <c r="Y280" s="281"/>
      <c r="Z280" s="331"/>
      <c r="AA280" s="281"/>
      <c r="AB280" s="281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</row>
    <row r="281" spans="1:239" s="35" customFormat="1" ht="45" customHeight="1" thickBot="1" x14ac:dyDescent="0.3">
      <c r="A281" s="108"/>
      <c r="B281" s="88"/>
      <c r="C281" s="98"/>
      <c r="D281" s="89"/>
      <c r="I281" s="55"/>
      <c r="J281" s="55"/>
      <c r="K281" s="17"/>
      <c r="L281" s="329"/>
      <c r="M281" s="276"/>
      <c r="N281" s="276"/>
      <c r="O281" s="276"/>
      <c r="P281" s="276"/>
      <c r="Q281" s="276"/>
      <c r="R281" s="276"/>
      <c r="S281" s="278"/>
      <c r="T281" s="330"/>
      <c r="U281" s="281"/>
      <c r="V281" s="281"/>
      <c r="W281" s="281"/>
      <c r="X281" s="281"/>
      <c r="Y281" s="281"/>
      <c r="Z281" s="331"/>
      <c r="AA281" s="281"/>
      <c r="AB281" s="281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</row>
    <row r="282" spans="1:239" s="35" customFormat="1" ht="45" customHeight="1" thickBot="1" x14ac:dyDescent="0.3">
      <c r="A282" s="108"/>
      <c r="B282" s="88"/>
      <c r="C282" s="93"/>
      <c r="D282" s="89"/>
      <c r="I282" s="55"/>
      <c r="J282" s="55"/>
      <c r="K282" s="17"/>
      <c r="L282" s="329"/>
      <c r="M282" s="276"/>
      <c r="N282" s="276"/>
      <c r="O282" s="276"/>
      <c r="P282" s="276"/>
      <c r="Q282" s="276"/>
      <c r="R282" s="276"/>
      <c r="S282" s="278"/>
      <c r="T282" s="330"/>
      <c r="U282" s="281"/>
      <c r="V282" s="281"/>
      <c r="W282" s="281"/>
      <c r="X282" s="281"/>
      <c r="Y282" s="281"/>
      <c r="Z282" s="331"/>
      <c r="AA282" s="281"/>
      <c r="AB282" s="281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</row>
    <row r="283" spans="1:239" s="35" customFormat="1" ht="45" customHeight="1" thickBot="1" x14ac:dyDescent="0.3">
      <c r="A283" s="122"/>
      <c r="B283" s="88"/>
      <c r="C283" s="40"/>
      <c r="D283" s="89"/>
      <c r="E283" s="96"/>
      <c r="F283" s="96"/>
      <c r="G283" s="96"/>
      <c r="H283" s="96"/>
      <c r="I283" s="103"/>
      <c r="J283" s="103"/>
      <c r="K283" s="17"/>
      <c r="L283" s="329"/>
      <c r="M283" s="276"/>
      <c r="N283" s="276"/>
      <c r="O283" s="276"/>
      <c r="P283" s="276"/>
      <c r="Q283" s="276"/>
      <c r="R283" s="276"/>
      <c r="S283" s="278"/>
      <c r="T283" s="330"/>
      <c r="U283" s="281"/>
      <c r="V283" s="281"/>
      <c r="W283" s="281"/>
      <c r="X283" s="281"/>
      <c r="Y283" s="281"/>
      <c r="Z283" s="331"/>
      <c r="AA283" s="281"/>
      <c r="AB283" s="281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</row>
    <row r="284" spans="1:239" s="35" customFormat="1" ht="45" customHeight="1" thickBot="1" x14ac:dyDescent="0.25">
      <c r="A284" s="122"/>
      <c r="B284" s="88"/>
      <c r="C284" s="40"/>
      <c r="D284" s="89"/>
      <c r="E284" s="96"/>
      <c r="F284" s="96"/>
      <c r="G284" s="96"/>
      <c r="H284" s="96"/>
      <c r="I284" s="103"/>
      <c r="J284" s="103"/>
      <c r="K284" s="17"/>
      <c r="L284" s="329"/>
      <c r="M284" s="276"/>
      <c r="N284" s="276"/>
      <c r="O284" s="276"/>
      <c r="P284" s="276"/>
      <c r="Q284" s="276"/>
      <c r="R284" s="276"/>
      <c r="S284" s="278"/>
      <c r="T284" s="332"/>
      <c r="U284" s="281"/>
      <c r="V284" s="281"/>
      <c r="W284" s="281"/>
      <c r="X284" s="281"/>
      <c r="Y284" s="281"/>
      <c r="Z284" s="331"/>
      <c r="AA284" s="281"/>
      <c r="AB284" s="281"/>
    </row>
    <row r="285" spans="1:239" ht="45" customHeight="1" thickBot="1" x14ac:dyDescent="0.3">
      <c r="A285" s="122"/>
      <c r="J285" s="55"/>
      <c r="K285" s="17"/>
      <c r="L285" s="329"/>
      <c r="M285" s="276"/>
      <c r="N285" s="276"/>
      <c r="O285" s="276"/>
      <c r="P285" s="276"/>
      <c r="Q285" s="276"/>
      <c r="R285" s="276"/>
      <c r="S285" s="278"/>
      <c r="T285" s="330"/>
      <c r="U285" s="281"/>
      <c r="V285" s="281"/>
      <c r="W285" s="281"/>
      <c r="X285" s="281"/>
      <c r="Y285" s="281"/>
      <c r="Z285" s="331"/>
      <c r="AA285" s="281"/>
      <c r="AB285" s="281"/>
    </row>
    <row r="286" spans="1:239" ht="45" customHeight="1" thickBot="1" x14ac:dyDescent="0.3">
      <c r="A286" s="122"/>
      <c r="E286" s="96"/>
      <c r="F286" s="96"/>
      <c r="G286" s="96"/>
      <c r="H286" s="96"/>
      <c r="I286" s="103"/>
      <c r="J286" s="103"/>
      <c r="K286" s="17"/>
      <c r="L286" s="329"/>
      <c r="M286" s="276"/>
      <c r="N286" s="276"/>
      <c r="O286" s="276"/>
      <c r="P286" s="276"/>
      <c r="Q286" s="276"/>
      <c r="R286" s="276"/>
      <c r="S286" s="278"/>
      <c r="T286" s="330"/>
      <c r="U286" s="281"/>
      <c r="V286" s="281"/>
      <c r="W286" s="281"/>
      <c r="X286" s="281"/>
      <c r="Y286" s="281"/>
      <c r="Z286" s="331"/>
      <c r="AA286" s="281"/>
      <c r="AB286" s="281"/>
    </row>
    <row r="287" spans="1:239" ht="45" customHeight="1" thickBot="1" x14ac:dyDescent="0.3">
      <c r="A287" s="122"/>
      <c r="E287" s="96"/>
      <c r="F287" s="96"/>
      <c r="G287" s="96"/>
      <c r="H287" s="96"/>
      <c r="I287" s="103"/>
      <c r="J287" s="103"/>
      <c r="K287" s="17"/>
      <c r="L287" s="329"/>
      <c r="M287" s="276"/>
      <c r="N287" s="276"/>
      <c r="O287" s="276"/>
      <c r="P287" s="276"/>
      <c r="Q287" s="276"/>
      <c r="R287" s="276"/>
      <c r="S287" s="278"/>
      <c r="T287" s="330"/>
      <c r="U287" s="281"/>
      <c r="V287" s="281"/>
      <c r="W287" s="281"/>
      <c r="X287" s="281"/>
      <c r="Y287" s="281"/>
      <c r="Z287" s="331"/>
      <c r="AA287" s="281"/>
      <c r="AB287" s="281"/>
    </row>
    <row r="288" spans="1:239" ht="45" customHeight="1" thickBot="1" x14ac:dyDescent="0.3">
      <c r="A288" s="122"/>
      <c r="E288" s="96"/>
      <c r="F288" s="96"/>
      <c r="G288" s="96"/>
      <c r="H288" s="96"/>
      <c r="I288" s="103"/>
      <c r="J288" s="103"/>
      <c r="K288" s="17"/>
      <c r="L288" s="329"/>
      <c r="M288" s="276"/>
      <c r="N288" s="276"/>
      <c r="O288" s="276"/>
      <c r="P288" s="276"/>
      <c r="Q288" s="276"/>
      <c r="R288" s="276"/>
      <c r="S288" s="278"/>
      <c r="T288" s="330"/>
      <c r="U288" s="281"/>
      <c r="V288" s="281"/>
      <c r="W288" s="281"/>
      <c r="X288" s="281"/>
      <c r="Y288" s="281"/>
      <c r="Z288" s="331"/>
      <c r="AA288" s="281"/>
      <c r="AB288" s="281"/>
    </row>
    <row r="289" spans="1:239" ht="45" customHeight="1" thickBot="1" x14ac:dyDescent="0.3">
      <c r="A289" s="122"/>
      <c r="E289" s="96"/>
      <c r="F289" s="96"/>
      <c r="G289" s="96"/>
      <c r="H289" s="96"/>
      <c r="I289" s="103"/>
      <c r="J289" s="103"/>
      <c r="K289" s="17"/>
      <c r="L289" s="329"/>
      <c r="M289" s="276"/>
      <c r="N289" s="276"/>
      <c r="O289" s="276"/>
      <c r="P289" s="276"/>
      <c r="Q289" s="276"/>
      <c r="R289" s="276"/>
      <c r="S289" s="278"/>
      <c r="T289" s="330"/>
      <c r="U289" s="281"/>
      <c r="V289" s="281"/>
      <c r="W289" s="281"/>
      <c r="X289" s="281"/>
      <c r="Y289" s="281"/>
      <c r="Z289" s="331"/>
      <c r="AA289" s="281"/>
      <c r="AB289" s="281"/>
    </row>
    <row r="290" spans="1:239" ht="45" customHeight="1" thickBot="1" x14ac:dyDescent="0.3">
      <c r="A290" s="122"/>
      <c r="E290" s="96"/>
      <c r="F290" s="96"/>
      <c r="G290" s="96"/>
      <c r="H290" s="96"/>
      <c r="I290" s="103"/>
      <c r="J290" s="103"/>
      <c r="K290" s="17"/>
      <c r="L290" s="329"/>
      <c r="M290" s="276"/>
      <c r="N290" s="276"/>
      <c r="O290" s="276"/>
      <c r="P290" s="276"/>
      <c r="Q290" s="276"/>
      <c r="R290" s="276"/>
      <c r="S290" s="278"/>
      <c r="T290" s="330"/>
      <c r="U290" s="281"/>
      <c r="V290" s="281"/>
      <c r="W290" s="281"/>
      <c r="X290" s="281"/>
      <c r="Y290" s="281"/>
      <c r="Z290" s="331"/>
      <c r="AA290" s="281"/>
      <c r="AB290" s="281"/>
    </row>
    <row r="291" spans="1:239" ht="45" customHeight="1" thickBot="1" x14ac:dyDescent="0.3">
      <c r="A291" s="122"/>
      <c r="E291" s="96"/>
      <c r="F291" s="96"/>
      <c r="G291" s="96"/>
      <c r="H291" s="96"/>
      <c r="I291" s="103"/>
      <c r="J291" s="103"/>
      <c r="K291" s="17"/>
      <c r="L291" s="329"/>
      <c r="M291" s="276"/>
      <c r="N291" s="276"/>
      <c r="O291" s="276"/>
      <c r="P291" s="276"/>
      <c r="Q291" s="276"/>
      <c r="R291" s="276"/>
      <c r="S291" s="278"/>
      <c r="T291" s="330"/>
      <c r="U291" s="281"/>
      <c r="V291" s="281"/>
      <c r="W291" s="281"/>
      <c r="X291" s="281"/>
      <c r="Y291" s="281"/>
      <c r="Z291" s="331"/>
      <c r="AA291" s="281"/>
      <c r="AB291" s="281"/>
    </row>
    <row r="292" spans="1:239" ht="45" customHeight="1" thickBot="1" x14ac:dyDescent="0.25">
      <c r="A292" s="122"/>
      <c r="E292" s="96"/>
      <c r="F292" s="96"/>
      <c r="G292" s="96"/>
      <c r="H292" s="96"/>
      <c r="J292" s="55"/>
      <c r="K292" s="17"/>
      <c r="L292" s="329"/>
      <c r="M292" s="276"/>
      <c r="N292" s="276"/>
      <c r="O292" s="276"/>
      <c r="P292" s="276"/>
      <c r="Q292" s="276"/>
      <c r="R292" s="276"/>
      <c r="S292" s="278"/>
      <c r="T292" s="332"/>
      <c r="U292" s="281"/>
      <c r="V292" s="281"/>
      <c r="W292" s="281"/>
      <c r="X292" s="281"/>
      <c r="Y292" s="281"/>
      <c r="Z292" s="331"/>
      <c r="AA292" s="281"/>
      <c r="AB292" s="281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</row>
    <row r="293" spans="1:239" ht="45" customHeight="1" thickBot="1" x14ac:dyDescent="0.3">
      <c r="A293" s="122"/>
      <c r="E293" s="96"/>
      <c r="F293" s="96"/>
      <c r="G293" s="96"/>
      <c r="H293" s="96"/>
      <c r="I293" s="103"/>
      <c r="J293" s="103"/>
      <c r="K293" s="17"/>
      <c r="L293" s="329"/>
      <c r="M293" s="276"/>
      <c r="N293" s="276"/>
      <c r="O293" s="276"/>
      <c r="P293" s="276"/>
      <c r="Q293" s="276"/>
      <c r="R293" s="276"/>
      <c r="S293" s="278"/>
      <c r="T293" s="330"/>
      <c r="U293" s="281"/>
      <c r="V293" s="281"/>
      <c r="W293" s="281"/>
      <c r="X293" s="281"/>
      <c r="Y293" s="281"/>
      <c r="Z293" s="331"/>
      <c r="AA293" s="281"/>
      <c r="AB293" s="281"/>
    </row>
    <row r="294" spans="1:239" ht="45" customHeight="1" thickBot="1" x14ac:dyDescent="0.3">
      <c r="A294" s="122"/>
      <c r="E294" s="96"/>
      <c r="F294" s="96"/>
      <c r="G294" s="96"/>
      <c r="H294" s="96"/>
      <c r="I294" s="103"/>
      <c r="J294" s="103"/>
      <c r="K294" s="17"/>
      <c r="L294" s="329"/>
      <c r="M294" s="276"/>
      <c r="N294" s="276"/>
      <c r="O294" s="276"/>
      <c r="P294" s="276"/>
      <c r="Q294" s="276"/>
      <c r="R294" s="276"/>
      <c r="S294" s="278"/>
      <c r="T294" s="330"/>
      <c r="U294" s="281"/>
      <c r="V294" s="281"/>
      <c r="W294" s="281"/>
      <c r="X294" s="281"/>
      <c r="Y294" s="281"/>
      <c r="Z294" s="331"/>
      <c r="AA294" s="281"/>
      <c r="AB294" s="281"/>
    </row>
    <row r="295" spans="1:239" ht="45" customHeight="1" thickBot="1" x14ac:dyDescent="0.25">
      <c r="A295" s="122"/>
      <c r="E295" s="96"/>
      <c r="F295" s="96"/>
      <c r="G295" s="96"/>
      <c r="H295" s="96"/>
      <c r="I295" s="103"/>
      <c r="J295" s="103"/>
      <c r="K295" s="17"/>
      <c r="L295" s="329"/>
      <c r="M295" s="276"/>
      <c r="N295" s="276"/>
      <c r="O295" s="276"/>
      <c r="P295" s="276"/>
      <c r="Q295" s="276"/>
      <c r="R295" s="276"/>
      <c r="S295" s="278"/>
      <c r="T295" s="332"/>
      <c r="U295" s="281"/>
      <c r="V295" s="281"/>
      <c r="W295" s="281"/>
      <c r="X295" s="281"/>
      <c r="Y295" s="281"/>
      <c r="Z295" s="331"/>
      <c r="AA295" s="281"/>
      <c r="AB295" s="281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</row>
    <row r="296" spans="1:239" ht="45" customHeight="1" thickBot="1" x14ac:dyDescent="0.3">
      <c r="A296" s="122"/>
      <c r="E296" s="96"/>
      <c r="F296" s="96"/>
      <c r="G296" s="96"/>
      <c r="H296" s="96"/>
      <c r="I296" s="103"/>
      <c r="J296" s="103"/>
      <c r="K296" s="17"/>
      <c r="L296" s="329"/>
      <c r="M296" s="276"/>
      <c r="N296" s="276"/>
      <c r="O296" s="276"/>
      <c r="P296" s="276"/>
      <c r="Q296" s="276"/>
      <c r="R296" s="276"/>
      <c r="S296" s="278"/>
      <c r="T296" s="330"/>
      <c r="U296" s="281"/>
      <c r="V296" s="281"/>
      <c r="W296" s="281"/>
      <c r="X296" s="281"/>
      <c r="Y296" s="281"/>
      <c r="Z296" s="331"/>
      <c r="AA296" s="281"/>
      <c r="AB296" s="281"/>
    </row>
    <row r="297" spans="1:239" ht="45" customHeight="1" thickBot="1" x14ac:dyDescent="0.3">
      <c r="A297" s="122"/>
      <c r="E297" s="96"/>
      <c r="F297" s="96"/>
      <c r="G297" s="96"/>
      <c r="H297" s="96"/>
      <c r="I297" s="103"/>
      <c r="J297" s="103"/>
      <c r="K297" s="17"/>
      <c r="L297" s="329"/>
      <c r="M297" s="276"/>
      <c r="N297" s="276"/>
      <c r="O297" s="276"/>
      <c r="P297" s="276"/>
      <c r="Q297" s="276"/>
      <c r="R297" s="276"/>
      <c r="S297" s="278"/>
      <c r="T297" s="330"/>
      <c r="U297" s="281"/>
      <c r="V297" s="281"/>
      <c r="W297" s="281"/>
      <c r="X297" s="281"/>
      <c r="Y297" s="281"/>
      <c r="Z297" s="331"/>
      <c r="AA297" s="281"/>
      <c r="AB297" s="281"/>
    </row>
    <row r="298" spans="1:239" ht="45" customHeight="1" thickBot="1" x14ac:dyDescent="0.25">
      <c r="C298" s="93"/>
      <c r="E298" s="96"/>
      <c r="F298" s="96"/>
      <c r="G298" s="96"/>
      <c r="H298" s="96"/>
      <c r="J298" s="55"/>
      <c r="K298" s="17"/>
      <c r="L298" s="329"/>
      <c r="M298" s="276"/>
      <c r="N298" s="276"/>
      <c r="O298" s="276"/>
      <c r="P298" s="276"/>
      <c r="Q298" s="276"/>
      <c r="R298" s="276"/>
      <c r="S298" s="278"/>
      <c r="T298" s="332"/>
      <c r="U298" s="281"/>
      <c r="V298" s="281"/>
      <c r="W298" s="281"/>
      <c r="X298" s="281"/>
      <c r="Y298" s="281"/>
      <c r="Z298" s="331"/>
      <c r="AA298" s="281"/>
      <c r="AB298" s="281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</row>
    <row r="299" spans="1:239" ht="45" customHeight="1" thickBot="1" x14ac:dyDescent="0.3">
      <c r="A299" s="122"/>
      <c r="E299" s="96"/>
      <c r="F299" s="96"/>
      <c r="G299" s="96"/>
      <c r="H299" s="96"/>
      <c r="I299" s="103"/>
      <c r="J299" s="103"/>
      <c r="K299" s="17"/>
      <c r="L299" s="329"/>
      <c r="M299" s="276"/>
      <c r="N299" s="276"/>
      <c r="O299" s="276"/>
      <c r="P299" s="276"/>
      <c r="Q299" s="276"/>
      <c r="R299" s="276"/>
      <c r="S299" s="278"/>
      <c r="T299" s="330"/>
      <c r="U299" s="281"/>
      <c r="V299" s="281"/>
      <c r="W299" s="281"/>
      <c r="X299" s="281"/>
      <c r="Y299" s="281"/>
      <c r="Z299" s="331"/>
      <c r="AA299" s="281"/>
      <c r="AB299" s="281"/>
    </row>
    <row r="300" spans="1:239" s="35" customFormat="1" ht="45" customHeight="1" thickBot="1" x14ac:dyDescent="0.3">
      <c r="A300" s="305"/>
      <c r="B300" s="88"/>
      <c r="C300" s="40"/>
      <c r="D300" s="89"/>
      <c r="E300" s="96"/>
      <c r="F300" s="96"/>
      <c r="G300" s="96"/>
      <c r="H300" s="96"/>
      <c r="I300" s="103"/>
      <c r="J300" s="103"/>
      <c r="K300" s="17"/>
      <c r="L300" s="329"/>
      <c r="M300" s="276"/>
      <c r="N300" s="276"/>
      <c r="O300" s="276"/>
      <c r="P300" s="276"/>
      <c r="Q300" s="276"/>
      <c r="R300" s="276"/>
      <c r="S300" s="278"/>
      <c r="T300" s="330"/>
      <c r="U300" s="281"/>
      <c r="V300" s="281"/>
      <c r="W300" s="281"/>
      <c r="X300" s="281"/>
      <c r="Y300" s="281"/>
      <c r="Z300" s="331"/>
      <c r="AA300" s="281"/>
      <c r="AB300" s="281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</row>
    <row r="301" spans="1:239" s="35" customFormat="1" ht="45" customHeight="1" thickBot="1" x14ac:dyDescent="0.3">
      <c r="A301" s="54"/>
      <c r="B301" s="88"/>
      <c r="C301" s="104"/>
      <c r="D301" s="88"/>
      <c r="I301" s="55"/>
      <c r="J301" s="55"/>
      <c r="K301" s="17"/>
      <c r="L301" s="329"/>
      <c r="M301" s="276"/>
      <c r="N301" s="276"/>
      <c r="O301" s="276"/>
      <c r="P301" s="276"/>
      <c r="Q301" s="276"/>
      <c r="R301" s="276"/>
      <c r="S301" s="278"/>
      <c r="T301" s="330"/>
      <c r="U301" s="281"/>
      <c r="V301" s="281"/>
      <c r="W301" s="281"/>
      <c r="X301" s="281"/>
      <c r="Y301" s="281"/>
      <c r="Z301" s="331"/>
      <c r="AA301" s="281"/>
      <c r="AB301" s="281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</row>
    <row r="302" spans="1:239" ht="45" customHeight="1" thickBot="1" x14ac:dyDescent="0.25">
      <c r="C302" s="98"/>
      <c r="J302" s="55"/>
      <c r="K302" s="17"/>
      <c r="L302" s="329"/>
      <c r="M302" s="276"/>
      <c r="N302" s="276"/>
      <c r="O302" s="276"/>
      <c r="P302" s="276"/>
      <c r="Q302" s="276"/>
      <c r="R302" s="276"/>
      <c r="S302" s="278"/>
      <c r="T302" s="332"/>
      <c r="U302" s="281"/>
      <c r="V302" s="281"/>
      <c r="W302" s="281"/>
      <c r="X302" s="281"/>
      <c r="Y302" s="281"/>
      <c r="Z302" s="331"/>
      <c r="AA302" s="281"/>
      <c r="AB302" s="281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</row>
    <row r="303" spans="1:239" ht="45" customHeight="1" thickBot="1" x14ac:dyDescent="0.25">
      <c r="J303" s="55"/>
      <c r="K303" s="17"/>
      <c r="L303" s="329"/>
      <c r="M303" s="276"/>
      <c r="N303" s="276"/>
      <c r="O303" s="276"/>
      <c r="P303" s="276"/>
      <c r="Q303" s="276"/>
      <c r="R303" s="276"/>
      <c r="S303" s="278"/>
      <c r="T303" s="332"/>
      <c r="U303" s="281"/>
      <c r="V303" s="281"/>
      <c r="W303" s="281"/>
      <c r="X303" s="281"/>
      <c r="Y303" s="281"/>
      <c r="Z303" s="331"/>
      <c r="AA303" s="281"/>
      <c r="AB303" s="281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</row>
    <row r="304" spans="1:239" s="35" customFormat="1" ht="45" customHeight="1" thickBot="1" x14ac:dyDescent="0.3">
      <c r="A304" s="108"/>
      <c r="B304" s="88"/>
      <c r="C304" s="98"/>
      <c r="D304" s="89"/>
      <c r="I304" s="55"/>
      <c r="J304" s="55"/>
      <c r="K304" s="17"/>
      <c r="L304" s="329"/>
      <c r="M304" s="276"/>
      <c r="N304" s="276"/>
      <c r="O304" s="276"/>
      <c r="P304" s="276"/>
      <c r="Q304" s="276"/>
      <c r="R304" s="276"/>
      <c r="S304" s="278"/>
      <c r="T304" s="330"/>
      <c r="U304" s="281"/>
      <c r="V304" s="281"/>
      <c r="W304" s="281"/>
      <c r="X304" s="281"/>
      <c r="Y304" s="281"/>
      <c r="Z304" s="331"/>
      <c r="AA304" s="281"/>
      <c r="AB304" s="281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</row>
    <row r="305" spans="1:239" s="35" customFormat="1" ht="45" customHeight="1" thickBot="1" x14ac:dyDescent="0.3">
      <c r="A305" s="108"/>
      <c r="B305" s="88"/>
      <c r="C305" s="98"/>
      <c r="D305" s="89"/>
      <c r="I305" s="55"/>
      <c r="J305" s="55"/>
      <c r="K305" s="17"/>
      <c r="L305" s="329"/>
      <c r="M305" s="276"/>
      <c r="N305" s="276"/>
      <c r="O305" s="276"/>
      <c r="P305" s="276"/>
      <c r="Q305" s="276"/>
      <c r="R305" s="276"/>
      <c r="S305" s="278"/>
      <c r="T305" s="330"/>
      <c r="U305" s="281"/>
      <c r="V305" s="281"/>
      <c r="W305" s="281"/>
      <c r="X305" s="281"/>
      <c r="Y305" s="281"/>
      <c r="Z305" s="331"/>
      <c r="AA305" s="281"/>
      <c r="AB305" s="281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</row>
    <row r="306" spans="1:239" ht="45" customHeight="1" thickBot="1" x14ac:dyDescent="0.3">
      <c r="C306" s="98"/>
      <c r="J306" s="55"/>
      <c r="K306" s="17"/>
      <c r="L306" s="329"/>
      <c r="M306" s="276"/>
      <c r="N306" s="276"/>
      <c r="O306" s="276"/>
      <c r="P306" s="276"/>
      <c r="Q306" s="276"/>
      <c r="R306" s="276"/>
      <c r="S306" s="278"/>
      <c r="T306" s="330"/>
      <c r="U306" s="281"/>
      <c r="V306" s="281"/>
      <c r="W306" s="281"/>
      <c r="X306" s="281"/>
      <c r="Y306" s="281"/>
      <c r="Z306" s="331"/>
      <c r="AA306" s="281"/>
      <c r="AB306" s="281"/>
    </row>
    <row r="307" spans="1:239" ht="45" customHeight="1" thickBot="1" x14ac:dyDescent="0.3">
      <c r="A307" s="54"/>
      <c r="D307" s="88"/>
      <c r="J307" s="55"/>
      <c r="K307" s="17"/>
      <c r="L307" s="329"/>
      <c r="M307" s="276"/>
      <c r="N307" s="276"/>
      <c r="O307" s="276"/>
      <c r="P307" s="276"/>
      <c r="Q307" s="276"/>
      <c r="R307" s="276"/>
      <c r="S307" s="278"/>
      <c r="T307" s="330"/>
      <c r="U307" s="281"/>
      <c r="V307" s="281"/>
      <c r="W307" s="281"/>
      <c r="X307" s="281"/>
      <c r="Y307" s="281"/>
      <c r="Z307" s="331"/>
      <c r="AA307" s="281"/>
      <c r="AB307" s="281"/>
    </row>
    <row r="308" spans="1:239" ht="45" customHeight="1" thickBot="1" x14ac:dyDescent="0.3">
      <c r="A308" s="54"/>
      <c r="D308" s="88"/>
      <c r="J308" s="55"/>
      <c r="K308" s="17"/>
      <c r="L308" s="329"/>
      <c r="M308" s="276"/>
      <c r="N308" s="276"/>
      <c r="O308" s="276"/>
      <c r="P308" s="276"/>
      <c r="Q308" s="276"/>
      <c r="R308" s="276"/>
      <c r="S308" s="278"/>
      <c r="T308" s="330"/>
      <c r="U308" s="281"/>
      <c r="V308" s="281"/>
      <c r="W308" s="281"/>
      <c r="X308" s="281"/>
      <c r="Y308" s="281"/>
      <c r="Z308" s="331"/>
      <c r="AA308" s="281"/>
      <c r="AB308" s="281"/>
    </row>
    <row r="309" spans="1:239" ht="45" customHeight="1" thickBot="1" x14ac:dyDescent="0.25">
      <c r="C309" s="98"/>
      <c r="J309" s="55"/>
      <c r="K309" s="17"/>
      <c r="L309" s="329"/>
      <c r="M309" s="276"/>
      <c r="N309" s="276"/>
      <c r="O309" s="276"/>
      <c r="P309" s="276"/>
      <c r="Q309" s="276"/>
      <c r="R309" s="276"/>
      <c r="S309" s="278"/>
      <c r="T309" s="332"/>
      <c r="U309" s="281"/>
      <c r="V309" s="281"/>
      <c r="W309" s="281"/>
      <c r="X309" s="281"/>
      <c r="Y309" s="281"/>
      <c r="Z309" s="331"/>
      <c r="AA309" s="281"/>
      <c r="AB309" s="281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</row>
    <row r="310" spans="1:239" ht="45" customHeight="1" thickBot="1" x14ac:dyDescent="0.3">
      <c r="D310" s="88"/>
      <c r="J310" s="55"/>
      <c r="K310" s="17"/>
      <c r="L310" s="329"/>
      <c r="M310" s="276"/>
      <c r="N310" s="276"/>
      <c r="O310" s="276"/>
      <c r="P310" s="276"/>
      <c r="Q310" s="276"/>
      <c r="R310" s="276"/>
      <c r="S310" s="278"/>
      <c r="T310" s="330"/>
      <c r="U310" s="281"/>
      <c r="V310" s="281"/>
      <c r="W310" s="281"/>
      <c r="X310" s="281"/>
      <c r="Y310" s="281"/>
      <c r="Z310" s="331"/>
      <c r="AA310" s="281"/>
      <c r="AB310" s="281"/>
    </row>
    <row r="311" spans="1:239" ht="45" customHeight="1" thickBot="1" x14ac:dyDescent="0.25">
      <c r="C311" s="93"/>
      <c r="E311" s="96"/>
      <c r="F311" s="96"/>
      <c r="G311" s="96"/>
      <c r="H311" s="96"/>
      <c r="J311" s="55"/>
      <c r="K311" s="17"/>
      <c r="L311" s="329"/>
      <c r="M311" s="276"/>
      <c r="N311" s="276"/>
      <c r="O311" s="276"/>
      <c r="P311" s="276"/>
      <c r="Q311" s="276"/>
      <c r="R311" s="276"/>
      <c r="S311" s="278"/>
      <c r="T311" s="332"/>
      <c r="U311" s="281"/>
      <c r="V311" s="281"/>
      <c r="W311" s="281"/>
      <c r="X311" s="281"/>
      <c r="Y311" s="281"/>
      <c r="Z311" s="331"/>
      <c r="AA311" s="281"/>
      <c r="AB311" s="281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</row>
    <row r="312" spans="1:239" ht="45" customHeight="1" thickBot="1" x14ac:dyDescent="0.3">
      <c r="C312" s="93"/>
      <c r="E312" s="96"/>
      <c r="F312" s="96"/>
      <c r="G312" s="96"/>
      <c r="H312" s="96"/>
      <c r="J312" s="55"/>
      <c r="K312" s="17"/>
      <c r="L312" s="329"/>
      <c r="M312" s="276"/>
      <c r="N312" s="276"/>
      <c r="O312" s="276"/>
      <c r="P312" s="276"/>
      <c r="Q312" s="276"/>
      <c r="R312" s="276"/>
      <c r="S312" s="278"/>
      <c r="T312" s="330"/>
      <c r="U312" s="281"/>
      <c r="V312" s="281"/>
      <c r="W312" s="281"/>
      <c r="X312" s="281"/>
      <c r="Y312" s="281"/>
      <c r="Z312" s="331"/>
      <c r="AA312" s="281"/>
      <c r="AB312" s="281"/>
    </row>
    <row r="313" spans="1:239" ht="45" customHeight="1" thickBot="1" x14ac:dyDescent="0.25">
      <c r="C313" s="55"/>
      <c r="J313" s="55"/>
      <c r="K313" s="17"/>
      <c r="L313" s="329"/>
      <c r="M313" s="276"/>
      <c r="N313" s="276"/>
      <c r="O313" s="276"/>
      <c r="P313" s="276"/>
      <c r="Q313" s="276"/>
      <c r="R313" s="276"/>
      <c r="S313" s="278"/>
      <c r="T313" s="332"/>
      <c r="U313" s="281"/>
      <c r="V313" s="281"/>
      <c r="W313" s="281"/>
      <c r="X313" s="281"/>
      <c r="Y313" s="281"/>
      <c r="Z313" s="331"/>
      <c r="AA313" s="281"/>
      <c r="AB313" s="281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</row>
    <row r="314" spans="1:239" ht="45" customHeight="1" thickBot="1" x14ac:dyDescent="0.3">
      <c r="C314" s="93"/>
      <c r="E314" s="96"/>
      <c r="F314" s="96"/>
      <c r="G314" s="96"/>
      <c r="H314" s="96"/>
      <c r="J314" s="55"/>
      <c r="K314" s="17"/>
      <c r="L314" s="329"/>
      <c r="M314" s="276"/>
      <c r="N314" s="276"/>
      <c r="O314" s="276"/>
      <c r="P314" s="276"/>
      <c r="Q314" s="276"/>
      <c r="R314" s="276"/>
      <c r="S314" s="278"/>
      <c r="T314" s="330"/>
      <c r="U314" s="281"/>
      <c r="V314" s="281"/>
      <c r="W314" s="281"/>
      <c r="X314" s="281"/>
      <c r="Y314" s="281"/>
      <c r="Z314" s="331"/>
      <c r="AA314" s="281"/>
      <c r="AB314" s="281"/>
    </row>
    <row r="315" spans="1:239" ht="45" customHeight="1" thickBot="1" x14ac:dyDescent="0.25">
      <c r="C315" s="93"/>
      <c r="E315" s="96"/>
      <c r="F315" s="96"/>
      <c r="G315" s="96"/>
      <c r="H315" s="96"/>
      <c r="J315" s="55"/>
      <c r="K315" s="17"/>
      <c r="L315" s="329"/>
      <c r="M315" s="276"/>
      <c r="N315" s="276"/>
      <c r="O315" s="276"/>
      <c r="P315" s="276"/>
      <c r="Q315" s="276"/>
      <c r="R315" s="276"/>
      <c r="S315" s="278"/>
      <c r="T315" s="332"/>
      <c r="U315" s="281"/>
      <c r="V315" s="281"/>
      <c r="W315" s="281"/>
      <c r="X315" s="281"/>
      <c r="Y315" s="281"/>
      <c r="Z315" s="331"/>
      <c r="AA315" s="281"/>
      <c r="AB315" s="281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</row>
    <row r="316" spans="1:239" ht="45" customHeight="1" thickBot="1" x14ac:dyDescent="0.3">
      <c r="C316" s="55"/>
      <c r="J316" s="55"/>
      <c r="K316" s="17"/>
      <c r="L316" s="329"/>
      <c r="M316" s="276"/>
      <c r="N316" s="276"/>
      <c r="O316" s="276"/>
      <c r="P316" s="276"/>
      <c r="Q316" s="276"/>
      <c r="R316" s="276"/>
      <c r="S316" s="278"/>
      <c r="T316" s="330"/>
      <c r="U316" s="281"/>
      <c r="V316" s="281"/>
      <c r="W316" s="281"/>
      <c r="X316" s="281"/>
      <c r="Y316" s="281"/>
      <c r="Z316" s="331"/>
      <c r="AA316" s="281"/>
      <c r="AB316" s="281"/>
    </row>
    <row r="317" spans="1:239" ht="45" customHeight="1" thickBot="1" x14ac:dyDescent="0.3">
      <c r="C317" s="55"/>
      <c r="J317" s="55"/>
      <c r="K317" s="17"/>
      <c r="L317" s="329"/>
      <c r="M317" s="276"/>
      <c r="N317" s="276"/>
      <c r="O317" s="276"/>
      <c r="P317" s="276"/>
      <c r="Q317" s="276"/>
      <c r="R317" s="276"/>
      <c r="S317" s="278"/>
      <c r="T317" s="330"/>
      <c r="U317" s="281"/>
      <c r="V317" s="281"/>
      <c r="W317" s="281"/>
      <c r="X317" s="281"/>
      <c r="Y317" s="281"/>
      <c r="Z317" s="331"/>
      <c r="AA317" s="281"/>
      <c r="AB317" s="281"/>
    </row>
    <row r="318" spans="1:239" ht="45" customHeight="1" thickBot="1" x14ac:dyDescent="0.3">
      <c r="A318" s="122"/>
      <c r="E318" s="96"/>
      <c r="F318" s="96"/>
      <c r="G318" s="96"/>
      <c r="H318" s="96"/>
      <c r="I318" s="103"/>
      <c r="J318" s="103"/>
      <c r="K318" s="17"/>
      <c r="L318" s="329"/>
      <c r="M318" s="276"/>
      <c r="N318" s="276"/>
      <c r="O318" s="276"/>
      <c r="P318" s="276"/>
      <c r="Q318" s="276"/>
      <c r="R318" s="276"/>
      <c r="S318" s="278"/>
      <c r="T318" s="330"/>
      <c r="U318" s="281"/>
      <c r="V318" s="281"/>
      <c r="W318" s="281"/>
      <c r="X318" s="281"/>
      <c r="Y318" s="281"/>
      <c r="Z318" s="331"/>
      <c r="AA318" s="281"/>
      <c r="AB318" s="281"/>
    </row>
    <row r="319" spans="1:239" ht="45" customHeight="1" thickBot="1" x14ac:dyDescent="0.3">
      <c r="A319" s="122"/>
      <c r="E319" s="96"/>
      <c r="F319" s="96"/>
      <c r="G319" s="96"/>
      <c r="H319" s="96"/>
      <c r="I319" s="103"/>
      <c r="J319" s="103"/>
      <c r="K319" s="17"/>
      <c r="L319" s="329"/>
      <c r="M319" s="276"/>
      <c r="N319" s="276"/>
      <c r="O319" s="276"/>
      <c r="P319" s="276"/>
      <c r="Q319" s="276"/>
      <c r="R319" s="276"/>
      <c r="S319" s="278"/>
      <c r="T319" s="330"/>
      <c r="U319" s="281"/>
      <c r="V319" s="281"/>
      <c r="W319" s="281"/>
      <c r="X319" s="281"/>
      <c r="Y319" s="281"/>
      <c r="Z319" s="331"/>
      <c r="AA319" s="281"/>
      <c r="AB319" s="281"/>
    </row>
    <row r="320" spans="1:239" ht="45" customHeight="1" thickBot="1" x14ac:dyDescent="0.3">
      <c r="J320" s="55"/>
      <c r="K320" s="17"/>
      <c r="L320" s="329"/>
      <c r="M320" s="276"/>
      <c r="N320" s="276"/>
      <c r="O320" s="276"/>
      <c r="P320" s="276"/>
      <c r="Q320" s="276"/>
      <c r="R320" s="276"/>
      <c r="S320" s="278"/>
      <c r="T320" s="330"/>
      <c r="U320" s="281"/>
      <c r="V320" s="281"/>
      <c r="W320" s="281"/>
      <c r="X320" s="281"/>
      <c r="Y320" s="281"/>
      <c r="Z320" s="331"/>
      <c r="AA320" s="281"/>
      <c r="AB320" s="281"/>
    </row>
    <row r="321" spans="1:239" ht="45" customHeight="1" thickBot="1" x14ac:dyDescent="0.3">
      <c r="J321" s="55"/>
      <c r="K321" s="17"/>
      <c r="L321" s="329"/>
      <c r="M321" s="276"/>
      <c r="N321" s="276"/>
      <c r="O321" s="276"/>
      <c r="P321" s="276"/>
      <c r="Q321" s="276"/>
      <c r="R321" s="276"/>
      <c r="S321" s="278"/>
      <c r="T321" s="330"/>
      <c r="U321" s="281"/>
      <c r="V321" s="281"/>
      <c r="W321" s="281"/>
      <c r="X321" s="281"/>
      <c r="Y321" s="281"/>
      <c r="Z321" s="331"/>
      <c r="AA321" s="281"/>
      <c r="AB321" s="281"/>
    </row>
    <row r="322" spans="1:239" ht="45" customHeight="1" thickBot="1" x14ac:dyDescent="0.3">
      <c r="J322" s="55"/>
      <c r="K322" s="17"/>
      <c r="L322" s="329"/>
      <c r="M322" s="276"/>
      <c r="N322" s="276"/>
      <c r="O322" s="276"/>
      <c r="P322" s="276"/>
      <c r="Q322" s="276"/>
      <c r="R322" s="276"/>
      <c r="S322" s="278"/>
      <c r="T322" s="330"/>
      <c r="U322" s="281"/>
      <c r="V322" s="281"/>
      <c r="W322" s="281"/>
      <c r="X322" s="281"/>
      <c r="Y322" s="281"/>
      <c r="Z322" s="331"/>
      <c r="AA322" s="281"/>
      <c r="AB322" s="281"/>
    </row>
    <row r="323" spans="1:239" ht="45" customHeight="1" thickBot="1" x14ac:dyDescent="0.3">
      <c r="A323" s="306"/>
      <c r="B323" s="53"/>
      <c r="C323" s="189"/>
      <c r="D323" s="39"/>
      <c r="E323" s="36"/>
      <c r="F323" s="36"/>
      <c r="G323" s="36"/>
      <c r="H323" s="150"/>
      <c r="J323" s="55"/>
      <c r="K323" s="17"/>
      <c r="L323" s="329"/>
      <c r="M323" s="276"/>
      <c r="N323" s="276"/>
      <c r="O323" s="276"/>
      <c r="P323" s="276"/>
      <c r="Q323" s="276"/>
      <c r="R323" s="276"/>
      <c r="S323" s="278"/>
      <c r="T323" s="330"/>
      <c r="U323" s="281"/>
      <c r="V323" s="281"/>
      <c r="W323" s="281"/>
      <c r="X323" s="281"/>
      <c r="Y323" s="281"/>
      <c r="Z323" s="331"/>
      <c r="AA323" s="281"/>
      <c r="AB323" s="281"/>
    </row>
    <row r="324" spans="1:239" ht="45" customHeight="1" thickBot="1" x14ac:dyDescent="0.3">
      <c r="A324" s="54"/>
      <c r="J324" s="40"/>
      <c r="K324" s="17"/>
      <c r="L324" s="329"/>
      <c r="M324" s="276"/>
      <c r="N324" s="276"/>
      <c r="O324" s="276"/>
      <c r="P324" s="276"/>
      <c r="Q324" s="276"/>
      <c r="R324" s="276"/>
      <c r="S324" s="278"/>
      <c r="T324" s="330"/>
      <c r="U324" s="281"/>
      <c r="V324" s="281"/>
      <c r="W324" s="281"/>
      <c r="X324" s="281"/>
      <c r="Y324" s="281"/>
      <c r="Z324" s="331"/>
      <c r="AA324" s="281"/>
      <c r="AB324" s="281"/>
    </row>
    <row r="325" spans="1:239" ht="45" customHeight="1" thickBot="1" x14ac:dyDescent="0.3">
      <c r="A325" s="54"/>
      <c r="C325" s="35"/>
      <c r="H325" s="55"/>
      <c r="I325" s="40"/>
      <c r="J325" s="55"/>
      <c r="K325" s="17"/>
      <c r="L325" s="329"/>
      <c r="M325" s="276"/>
      <c r="N325" s="276"/>
      <c r="O325" s="276"/>
      <c r="P325" s="276"/>
      <c r="Q325" s="276"/>
      <c r="R325" s="276"/>
      <c r="S325" s="278"/>
      <c r="T325" s="330"/>
      <c r="U325" s="281"/>
      <c r="V325" s="281"/>
      <c r="W325" s="281"/>
      <c r="X325" s="281"/>
      <c r="Y325" s="281"/>
      <c r="Z325" s="331"/>
      <c r="AA325" s="281"/>
      <c r="AB325" s="281"/>
    </row>
    <row r="326" spans="1:239" ht="45" customHeight="1" thickBot="1" x14ac:dyDescent="0.25">
      <c r="A326" s="172"/>
      <c r="J326" s="55"/>
      <c r="K326" s="17"/>
      <c r="L326" s="329"/>
      <c r="M326" s="276"/>
      <c r="N326" s="276"/>
      <c r="O326" s="276"/>
      <c r="P326" s="276"/>
      <c r="Q326" s="276"/>
      <c r="R326" s="276"/>
      <c r="S326" s="278"/>
      <c r="T326" s="332"/>
      <c r="U326" s="281"/>
      <c r="V326" s="281"/>
      <c r="W326" s="281"/>
      <c r="X326" s="281"/>
      <c r="Y326" s="281"/>
      <c r="Z326" s="331"/>
      <c r="AA326" s="281"/>
      <c r="AB326" s="281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</row>
    <row r="327" spans="1:239" ht="45" customHeight="1" thickBot="1" x14ac:dyDescent="0.25">
      <c r="A327" s="54"/>
      <c r="J327" s="55"/>
      <c r="K327" s="17"/>
      <c r="L327" s="329"/>
      <c r="M327" s="276"/>
      <c r="N327" s="276"/>
      <c r="O327" s="276"/>
      <c r="P327" s="276"/>
      <c r="Q327" s="276"/>
      <c r="R327" s="276"/>
      <c r="S327" s="278"/>
      <c r="T327" s="332"/>
      <c r="U327" s="281"/>
      <c r="V327" s="281"/>
      <c r="W327" s="281"/>
      <c r="X327" s="281"/>
      <c r="Y327" s="281"/>
      <c r="Z327" s="331"/>
      <c r="AA327" s="281"/>
      <c r="AB327" s="281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</row>
    <row r="328" spans="1:239" ht="45" customHeight="1" thickBot="1" x14ac:dyDescent="0.3">
      <c r="A328" s="307"/>
      <c r="J328" s="55"/>
      <c r="K328" s="17"/>
      <c r="L328" s="329"/>
      <c r="M328" s="276"/>
      <c r="N328" s="276"/>
      <c r="O328" s="276"/>
      <c r="P328" s="276"/>
      <c r="Q328" s="276"/>
      <c r="R328" s="276"/>
      <c r="S328" s="278"/>
      <c r="T328" s="330"/>
      <c r="U328" s="281"/>
      <c r="V328" s="281"/>
      <c r="W328" s="281"/>
      <c r="X328" s="281"/>
      <c r="Y328" s="281"/>
      <c r="Z328" s="331"/>
      <c r="AA328" s="281"/>
      <c r="AB328" s="281"/>
    </row>
    <row r="329" spans="1:239" s="35" customFormat="1" ht="45" customHeight="1" thickBot="1" x14ac:dyDescent="0.3">
      <c r="A329" s="108"/>
      <c r="B329" s="88"/>
      <c r="C329" s="40"/>
      <c r="D329" s="89"/>
      <c r="I329" s="55"/>
      <c r="J329" s="55"/>
      <c r="K329" s="17"/>
      <c r="L329" s="329"/>
      <c r="M329" s="276"/>
      <c r="N329" s="276"/>
      <c r="O329" s="276"/>
      <c r="P329" s="276"/>
      <c r="Q329" s="276"/>
      <c r="R329" s="276"/>
      <c r="S329" s="278"/>
      <c r="T329" s="330"/>
      <c r="U329" s="281"/>
      <c r="V329" s="281"/>
      <c r="W329" s="281"/>
      <c r="X329" s="281"/>
      <c r="Y329" s="281"/>
      <c r="Z329" s="331"/>
      <c r="AA329" s="281"/>
      <c r="AB329" s="281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</row>
    <row r="330" spans="1:239" ht="45" customHeight="1" thickBot="1" x14ac:dyDescent="0.25">
      <c r="A330" s="54"/>
      <c r="C330" s="98"/>
      <c r="J330" s="55"/>
      <c r="K330" s="17"/>
      <c r="L330" s="329"/>
      <c r="M330" s="276"/>
      <c r="N330" s="276"/>
      <c r="O330" s="276"/>
      <c r="P330" s="276"/>
      <c r="Q330" s="276"/>
      <c r="R330" s="276"/>
      <c r="S330" s="278"/>
      <c r="T330" s="332"/>
      <c r="U330" s="281"/>
      <c r="V330" s="281"/>
      <c r="W330" s="281"/>
      <c r="X330" s="281"/>
      <c r="Y330" s="281"/>
      <c r="Z330" s="331"/>
      <c r="AA330" s="281"/>
      <c r="AB330" s="281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</row>
    <row r="331" spans="1:239" ht="45" customHeight="1" thickBot="1" x14ac:dyDescent="0.25">
      <c r="A331" s="54"/>
      <c r="C331" s="98"/>
      <c r="J331" s="55"/>
      <c r="K331" s="17"/>
      <c r="L331" s="329"/>
      <c r="M331" s="276"/>
      <c r="N331" s="276"/>
      <c r="O331" s="276"/>
      <c r="P331" s="276"/>
      <c r="Q331" s="276"/>
      <c r="R331" s="276"/>
      <c r="S331" s="278"/>
      <c r="T331" s="332"/>
      <c r="U331" s="281"/>
      <c r="V331" s="281"/>
      <c r="W331" s="281"/>
      <c r="X331" s="281"/>
      <c r="Y331" s="281"/>
      <c r="Z331" s="331"/>
      <c r="AA331" s="281"/>
      <c r="AB331" s="281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</row>
    <row r="332" spans="1:239" ht="45" customHeight="1" thickBot="1" x14ac:dyDescent="0.25">
      <c r="J332" s="55"/>
      <c r="K332" s="17"/>
      <c r="L332" s="329"/>
      <c r="M332" s="276"/>
      <c r="N332" s="276"/>
      <c r="O332" s="276"/>
      <c r="P332" s="276"/>
      <c r="Q332" s="276"/>
      <c r="R332" s="276"/>
      <c r="S332" s="278"/>
      <c r="T332" s="332"/>
      <c r="U332" s="281"/>
      <c r="V332" s="281"/>
      <c r="W332" s="281"/>
      <c r="X332" s="281"/>
      <c r="Y332" s="281"/>
      <c r="Z332" s="331"/>
      <c r="AA332" s="281"/>
      <c r="AB332" s="281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</row>
    <row r="333" spans="1:239" ht="45" customHeight="1" thickBot="1" x14ac:dyDescent="0.25">
      <c r="J333" s="55"/>
      <c r="K333" s="17"/>
      <c r="L333" s="329"/>
      <c r="M333" s="276"/>
      <c r="N333" s="276"/>
      <c r="O333" s="276"/>
      <c r="P333" s="276"/>
      <c r="Q333" s="276"/>
      <c r="R333" s="276"/>
      <c r="S333" s="278"/>
      <c r="T333" s="332"/>
      <c r="U333" s="281"/>
      <c r="V333" s="281"/>
      <c r="W333" s="281"/>
      <c r="X333" s="281"/>
      <c r="Y333" s="281"/>
      <c r="Z333" s="331"/>
      <c r="AA333" s="281"/>
      <c r="AB333" s="281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</row>
    <row r="334" spans="1:239" ht="45" customHeight="1" thickBot="1" x14ac:dyDescent="0.25">
      <c r="J334" s="55"/>
      <c r="K334" s="17"/>
      <c r="L334" s="329"/>
      <c r="M334" s="276"/>
      <c r="N334" s="276"/>
      <c r="O334" s="276"/>
      <c r="P334" s="276"/>
      <c r="Q334" s="276"/>
      <c r="R334" s="276"/>
      <c r="S334" s="278"/>
      <c r="T334" s="332"/>
      <c r="U334" s="281"/>
      <c r="V334" s="281"/>
      <c r="W334" s="281"/>
      <c r="X334" s="281"/>
      <c r="Y334" s="281"/>
      <c r="Z334" s="331"/>
      <c r="AA334" s="281"/>
      <c r="AB334" s="281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</row>
    <row r="335" spans="1:239" ht="45" customHeight="1" thickBot="1" x14ac:dyDescent="0.25">
      <c r="J335" s="55"/>
      <c r="K335" s="17"/>
      <c r="L335" s="329"/>
      <c r="M335" s="276"/>
      <c r="N335" s="276"/>
      <c r="O335" s="276"/>
      <c r="P335" s="276"/>
      <c r="Q335" s="276"/>
      <c r="R335" s="276"/>
      <c r="S335" s="278"/>
      <c r="T335" s="332"/>
      <c r="U335" s="281"/>
      <c r="V335" s="281"/>
      <c r="W335" s="281"/>
      <c r="X335" s="281"/>
      <c r="Y335" s="281"/>
      <c r="Z335" s="331"/>
      <c r="AA335" s="281"/>
      <c r="AB335" s="281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</row>
    <row r="336" spans="1:239" ht="45" customHeight="1" thickBot="1" x14ac:dyDescent="0.25">
      <c r="J336" s="55"/>
      <c r="K336" s="17"/>
      <c r="L336" s="329"/>
      <c r="M336" s="276"/>
      <c r="N336" s="276"/>
      <c r="O336" s="276"/>
      <c r="P336" s="276"/>
      <c r="Q336" s="276"/>
      <c r="R336" s="276"/>
      <c r="S336" s="278"/>
      <c r="T336" s="332"/>
      <c r="U336" s="281"/>
      <c r="V336" s="281"/>
      <c r="W336" s="281"/>
      <c r="X336" s="281"/>
      <c r="Y336" s="281"/>
      <c r="Z336" s="331"/>
      <c r="AA336" s="281"/>
      <c r="AB336" s="281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</row>
    <row r="337" spans="10:239" ht="45" customHeight="1" thickBot="1" x14ac:dyDescent="0.25">
      <c r="J337" s="55"/>
      <c r="K337" s="17"/>
      <c r="L337" s="329"/>
      <c r="M337" s="276"/>
      <c r="N337" s="276"/>
      <c r="O337" s="276"/>
      <c r="P337" s="276"/>
      <c r="Q337" s="276"/>
      <c r="R337" s="276"/>
      <c r="S337" s="278"/>
      <c r="T337" s="332"/>
      <c r="U337" s="281"/>
      <c r="V337" s="281"/>
      <c r="W337" s="281"/>
      <c r="X337" s="281"/>
      <c r="Y337" s="281"/>
      <c r="Z337" s="331"/>
      <c r="AA337" s="281"/>
      <c r="AB337" s="281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</row>
    <row r="338" spans="10:239" ht="45" customHeight="1" thickBot="1" x14ac:dyDescent="0.25">
      <c r="J338" s="55"/>
      <c r="K338" s="17"/>
      <c r="L338" s="329"/>
      <c r="M338" s="276"/>
      <c r="N338" s="276"/>
      <c r="O338" s="276"/>
      <c r="P338" s="276"/>
      <c r="Q338" s="276"/>
      <c r="R338" s="276"/>
      <c r="S338" s="278"/>
      <c r="T338" s="332"/>
      <c r="U338" s="281"/>
      <c r="V338" s="281"/>
      <c r="W338" s="281"/>
      <c r="X338" s="281"/>
      <c r="Y338" s="281"/>
      <c r="Z338" s="331"/>
      <c r="AA338" s="281"/>
      <c r="AB338" s="281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</row>
    <row r="339" spans="10:239" ht="45" customHeight="1" thickBot="1" x14ac:dyDescent="0.25">
      <c r="J339" s="55"/>
      <c r="K339" s="17"/>
      <c r="L339" s="329"/>
      <c r="M339" s="276"/>
      <c r="N339" s="276"/>
      <c r="O339" s="276"/>
      <c r="P339" s="276"/>
      <c r="Q339" s="276"/>
      <c r="R339" s="276"/>
      <c r="S339" s="278"/>
      <c r="T339" s="332"/>
      <c r="U339" s="281"/>
      <c r="V339" s="281"/>
      <c r="W339" s="281"/>
      <c r="X339" s="281"/>
      <c r="Y339" s="281"/>
      <c r="Z339" s="331"/>
      <c r="AA339" s="281"/>
      <c r="AB339" s="281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</row>
    <row r="340" spans="10:239" ht="45" customHeight="1" thickBot="1" x14ac:dyDescent="0.25">
      <c r="J340" s="55"/>
      <c r="K340" s="17"/>
      <c r="L340" s="329"/>
      <c r="M340" s="276"/>
      <c r="N340" s="276"/>
      <c r="O340" s="276"/>
      <c r="P340" s="276"/>
      <c r="Q340" s="276"/>
      <c r="R340" s="276"/>
      <c r="S340" s="278"/>
      <c r="T340" s="332"/>
      <c r="U340" s="281"/>
      <c r="V340" s="281"/>
      <c r="W340" s="281"/>
      <c r="X340" s="281"/>
      <c r="Y340" s="281"/>
      <c r="Z340" s="331"/>
      <c r="AA340" s="281"/>
      <c r="AB340" s="281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</row>
    <row r="341" spans="10:239" ht="45" customHeight="1" thickBot="1" x14ac:dyDescent="0.3">
      <c r="J341" s="55"/>
      <c r="K341" s="17"/>
      <c r="L341" s="329"/>
      <c r="M341" s="276"/>
      <c r="N341" s="276"/>
      <c r="O341" s="276"/>
      <c r="P341" s="276"/>
      <c r="Q341" s="276"/>
      <c r="R341" s="276"/>
      <c r="S341" s="278"/>
      <c r="T341" s="330"/>
      <c r="U341" s="281"/>
      <c r="V341" s="281"/>
      <c r="W341" s="281"/>
      <c r="X341" s="281"/>
      <c r="Y341" s="281"/>
      <c r="Z341" s="331"/>
      <c r="AA341" s="281"/>
      <c r="AB341" s="281"/>
    </row>
    <row r="342" spans="10:239" ht="45" customHeight="1" thickBot="1" x14ac:dyDescent="0.3">
      <c r="J342" s="55"/>
      <c r="K342" s="17"/>
      <c r="L342" s="329"/>
      <c r="M342" s="276"/>
      <c r="N342" s="276"/>
      <c r="O342" s="276"/>
      <c r="P342" s="276"/>
      <c r="Q342" s="276"/>
      <c r="R342" s="276"/>
      <c r="S342" s="278"/>
      <c r="T342" s="330"/>
      <c r="U342" s="281"/>
      <c r="V342" s="281"/>
      <c r="W342" s="281"/>
      <c r="X342" s="281"/>
      <c r="Y342" s="281"/>
      <c r="Z342" s="331"/>
      <c r="AA342" s="281"/>
      <c r="AB342" s="281"/>
    </row>
    <row r="343" spans="10:239" ht="45" customHeight="1" thickBot="1" x14ac:dyDescent="0.3">
      <c r="J343" s="55"/>
      <c r="K343" s="17"/>
      <c r="L343" s="336"/>
      <c r="M343" s="253"/>
      <c r="N343" s="253"/>
      <c r="O343" s="253"/>
      <c r="P343" s="253"/>
      <c r="Q343" s="253"/>
      <c r="R343" s="253"/>
      <c r="S343" s="278"/>
      <c r="T343" s="337"/>
      <c r="U343" s="247"/>
      <c r="V343" s="247"/>
      <c r="W343" s="247"/>
      <c r="X343" s="247"/>
      <c r="Y343" s="247"/>
      <c r="Z343" s="331"/>
      <c r="AA343" s="281"/>
      <c r="AB343" s="281"/>
    </row>
    <row r="344" spans="10:239" ht="45" customHeight="1" thickBot="1" x14ac:dyDescent="0.25">
      <c r="J344" s="55"/>
      <c r="K344" s="17"/>
      <c r="L344" s="336"/>
      <c r="M344" s="253"/>
      <c r="N344" s="253"/>
      <c r="O344" s="253"/>
      <c r="P344" s="253"/>
      <c r="Q344" s="253"/>
      <c r="R344" s="253"/>
      <c r="S344" s="278"/>
      <c r="T344" s="338"/>
      <c r="U344" s="247"/>
      <c r="V344" s="247"/>
      <c r="W344" s="247"/>
      <c r="X344" s="247"/>
      <c r="Y344" s="247"/>
      <c r="Z344" s="331"/>
      <c r="AA344" s="281"/>
      <c r="AB344" s="281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</row>
    <row r="345" spans="10:239" ht="45" customHeight="1" thickBot="1" x14ac:dyDescent="0.3">
      <c r="J345" s="55"/>
      <c r="K345" s="17"/>
      <c r="L345" s="336"/>
      <c r="M345" s="253"/>
      <c r="N345" s="253"/>
      <c r="O345" s="253"/>
      <c r="P345" s="253"/>
      <c r="Q345" s="253"/>
      <c r="R345" s="253"/>
      <c r="S345" s="278"/>
      <c r="T345" s="337"/>
      <c r="U345" s="247"/>
      <c r="V345" s="247"/>
      <c r="W345" s="247"/>
      <c r="X345" s="247"/>
      <c r="Y345" s="247"/>
      <c r="Z345" s="331"/>
      <c r="AA345" s="281"/>
      <c r="AB345" s="281"/>
    </row>
    <row r="346" spans="10:239" ht="45" customHeight="1" thickBot="1" x14ac:dyDescent="0.3">
      <c r="J346" s="55"/>
      <c r="K346" s="17"/>
      <c r="L346" s="336"/>
      <c r="M346" s="253"/>
      <c r="N346" s="253"/>
      <c r="O346" s="253"/>
      <c r="P346" s="253"/>
      <c r="Q346" s="253"/>
      <c r="R346" s="253"/>
      <c r="S346" s="278"/>
      <c r="T346" s="337"/>
      <c r="U346" s="247"/>
      <c r="V346" s="247"/>
      <c r="W346" s="247"/>
      <c r="X346" s="247"/>
      <c r="Y346" s="247"/>
      <c r="Z346" s="331"/>
      <c r="AA346" s="281"/>
      <c r="AB346" s="281"/>
    </row>
    <row r="347" spans="10:239" ht="45" customHeight="1" thickBot="1" x14ac:dyDescent="0.3">
      <c r="J347" s="55"/>
      <c r="K347" s="17"/>
      <c r="L347" s="336"/>
      <c r="M347" s="253"/>
      <c r="N347" s="253"/>
      <c r="O347" s="253"/>
      <c r="P347" s="253"/>
      <c r="Q347" s="253"/>
      <c r="R347" s="253"/>
      <c r="S347" s="278"/>
      <c r="T347" s="337"/>
      <c r="U347" s="247"/>
      <c r="V347" s="247"/>
      <c r="W347" s="247"/>
      <c r="X347" s="247"/>
      <c r="Y347" s="247"/>
      <c r="Z347" s="331"/>
      <c r="AA347" s="281"/>
      <c r="AB347" s="281"/>
    </row>
    <row r="348" spans="10:239" ht="45" customHeight="1" thickBot="1" x14ac:dyDescent="0.3">
      <c r="J348" s="55"/>
      <c r="K348" s="17"/>
      <c r="L348" s="336"/>
      <c r="M348" s="253"/>
      <c r="N348" s="253"/>
      <c r="O348" s="253"/>
      <c r="P348" s="253"/>
      <c r="Q348" s="253"/>
      <c r="R348" s="253"/>
      <c r="S348" s="278"/>
      <c r="T348" s="337"/>
      <c r="U348" s="247"/>
      <c r="V348" s="247"/>
      <c r="W348" s="247"/>
      <c r="X348" s="247"/>
      <c r="Y348" s="247"/>
      <c r="Z348" s="331"/>
      <c r="AA348" s="281"/>
      <c r="AB348" s="281"/>
    </row>
    <row r="349" spans="10:239" ht="45" customHeight="1" thickBot="1" x14ac:dyDescent="0.3">
      <c r="J349" s="55"/>
      <c r="K349" s="17"/>
      <c r="L349" s="336"/>
      <c r="M349" s="253"/>
      <c r="N349" s="253"/>
      <c r="O349" s="253"/>
      <c r="P349" s="253"/>
      <c r="Q349" s="253"/>
      <c r="R349" s="253"/>
      <c r="S349" s="278"/>
      <c r="T349" s="337"/>
      <c r="U349" s="247"/>
      <c r="V349" s="247"/>
      <c r="W349" s="247"/>
      <c r="X349" s="247"/>
      <c r="Y349" s="247"/>
      <c r="Z349" s="331"/>
      <c r="AA349" s="281"/>
      <c r="AB349" s="281"/>
    </row>
    <row r="350" spans="10:239" ht="45" customHeight="1" thickBot="1" x14ac:dyDescent="0.3">
      <c r="J350" s="55"/>
      <c r="K350" s="17"/>
      <c r="L350" s="336"/>
      <c r="M350" s="253"/>
      <c r="N350" s="253"/>
      <c r="O350" s="253"/>
      <c r="P350" s="253"/>
      <c r="Q350" s="253"/>
      <c r="R350" s="253"/>
      <c r="S350" s="278"/>
      <c r="T350" s="337"/>
      <c r="U350" s="247"/>
      <c r="V350" s="247"/>
      <c r="W350" s="247"/>
      <c r="X350" s="247"/>
      <c r="Y350" s="247"/>
      <c r="Z350" s="331"/>
      <c r="AA350" s="281"/>
      <c r="AB350" s="281"/>
    </row>
    <row r="351" spans="10:239" ht="45" customHeight="1" thickBot="1" x14ac:dyDescent="0.3">
      <c r="J351" s="55"/>
      <c r="K351" s="17"/>
      <c r="L351" s="336"/>
      <c r="M351" s="253"/>
      <c r="N351" s="253"/>
      <c r="O351" s="253"/>
      <c r="P351" s="253"/>
      <c r="Q351" s="253"/>
      <c r="R351" s="253"/>
      <c r="S351" s="278"/>
      <c r="T351" s="337"/>
      <c r="U351" s="247"/>
      <c r="V351" s="247"/>
      <c r="W351" s="247"/>
      <c r="X351" s="247"/>
      <c r="Y351" s="247"/>
      <c r="Z351" s="331"/>
      <c r="AA351" s="281"/>
      <c r="AB351" s="281"/>
    </row>
    <row r="352" spans="10:239" ht="45" customHeight="1" thickBot="1" x14ac:dyDescent="0.3">
      <c r="J352" s="55"/>
      <c r="K352" s="17"/>
      <c r="L352" s="336"/>
      <c r="M352" s="253"/>
      <c r="N352" s="253"/>
      <c r="O352" s="253"/>
      <c r="P352" s="253"/>
      <c r="Q352" s="253"/>
      <c r="R352" s="253"/>
      <c r="S352" s="278"/>
      <c r="T352" s="337"/>
      <c r="U352" s="247"/>
      <c r="V352" s="247"/>
      <c r="W352" s="247"/>
      <c r="X352" s="247"/>
      <c r="Y352" s="247"/>
      <c r="Z352" s="331"/>
      <c r="AA352" s="281"/>
      <c r="AB352" s="281"/>
    </row>
    <row r="353" spans="1:239" ht="45" customHeight="1" thickBot="1" x14ac:dyDescent="0.3">
      <c r="J353" s="55"/>
      <c r="K353" s="17"/>
      <c r="L353" s="336"/>
      <c r="M353" s="253"/>
      <c r="N353" s="253"/>
      <c r="O353" s="253"/>
      <c r="P353" s="253"/>
      <c r="Q353" s="253"/>
      <c r="R353" s="253"/>
      <c r="S353" s="278"/>
      <c r="T353" s="337"/>
      <c r="U353" s="247"/>
      <c r="V353" s="247"/>
      <c r="W353" s="247"/>
      <c r="X353" s="247"/>
      <c r="Y353" s="247"/>
      <c r="Z353" s="331"/>
      <c r="AA353" s="281"/>
      <c r="AB353" s="281"/>
    </row>
    <row r="354" spans="1:239" ht="45" customHeight="1" thickBot="1" x14ac:dyDescent="0.3">
      <c r="J354" s="55"/>
      <c r="K354" s="17"/>
      <c r="L354" s="336"/>
      <c r="M354" s="253"/>
      <c r="N354" s="253"/>
      <c r="O354" s="253"/>
      <c r="P354" s="253"/>
      <c r="Q354" s="253"/>
      <c r="R354" s="253"/>
      <c r="S354" s="278"/>
      <c r="T354" s="337"/>
      <c r="U354" s="247"/>
      <c r="V354" s="247"/>
      <c r="W354" s="247"/>
      <c r="X354" s="247"/>
      <c r="Y354" s="247"/>
      <c r="Z354" s="331"/>
      <c r="AA354" s="281"/>
      <c r="AB354" s="281"/>
    </row>
    <row r="355" spans="1:239" ht="45" customHeight="1" thickBot="1" x14ac:dyDescent="0.3">
      <c r="J355" s="55"/>
      <c r="K355" s="17"/>
      <c r="L355" s="336"/>
      <c r="M355" s="253"/>
      <c r="N355" s="253"/>
      <c r="O355" s="253"/>
      <c r="P355" s="253"/>
      <c r="Q355" s="253"/>
      <c r="R355" s="253"/>
      <c r="S355" s="278"/>
      <c r="T355" s="337"/>
      <c r="U355" s="247"/>
      <c r="V355" s="247"/>
      <c r="W355" s="247"/>
      <c r="X355" s="247"/>
      <c r="Y355" s="247"/>
      <c r="Z355" s="331"/>
      <c r="AA355" s="281"/>
      <c r="AB355" s="281"/>
    </row>
    <row r="356" spans="1:239" ht="45" customHeight="1" thickBot="1" x14ac:dyDescent="0.3">
      <c r="J356" s="55"/>
      <c r="K356" s="17"/>
      <c r="L356" s="336"/>
      <c r="M356" s="253"/>
      <c r="N356" s="253"/>
      <c r="O356" s="253"/>
      <c r="P356" s="253"/>
      <c r="Q356" s="253"/>
      <c r="R356" s="253"/>
      <c r="S356" s="278"/>
      <c r="T356" s="337"/>
      <c r="U356" s="247"/>
      <c r="V356" s="247"/>
      <c r="W356" s="247"/>
      <c r="X356" s="247"/>
      <c r="Y356" s="247"/>
      <c r="Z356" s="331"/>
      <c r="AA356" s="281"/>
      <c r="AB356" s="281"/>
    </row>
    <row r="357" spans="1:239" s="35" customFormat="1" ht="45" customHeight="1" thickBot="1" x14ac:dyDescent="0.3">
      <c r="A357" s="108"/>
      <c r="B357" s="88"/>
      <c r="C357" s="40"/>
      <c r="D357" s="89"/>
      <c r="I357" s="55"/>
      <c r="J357" s="55"/>
      <c r="K357" s="17"/>
      <c r="L357" s="336"/>
      <c r="M357" s="253"/>
      <c r="N357" s="253"/>
      <c r="O357" s="253"/>
      <c r="P357" s="253"/>
      <c r="Q357" s="253"/>
      <c r="R357" s="253"/>
      <c r="S357" s="278"/>
      <c r="T357" s="337"/>
      <c r="U357" s="247"/>
      <c r="V357" s="247"/>
      <c r="W357" s="247"/>
      <c r="X357" s="247"/>
      <c r="Y357" s="247"/>
      <c r="Z357" s="331"/>
      <c r="AA357" s="281"/>
      <c r="AB357" s="281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</row>
    <row r="358" spans="1:239" ht="45" customHeight="1" thickBot="1" x14ac:dyDescent="0.3">
      <c r="J358" s="55"/>
      <c r="K358" s="17"/>
      <c r="L358" s="336"/>
      <c r="M358" s="253"/>
      <c r="N358" s="253"/>
      <c r="O358" s="253"/>
      <c r="P358" s="253"/>
      <c r="Q358" s="253"/>
      <c r="R358" s="253"/>
      <c r="S358" s="278"/>
      <c r="T358" s="337"/>
      <c r="U358" s="247"/>
      <c r="V358" s="247"/>
      <c r="W358" s="247"/>
      <c r="X358" s="247"/>
      <c r="Y358" s="247"/>
      <c r="Z358" s="331"/>
      <c r="AA358" s="281"/>
      <c r="AB358" s="281"/>
    </row>
    <row r="359" spans="1:239" ht="45" customHeight="1" thickBot="1" x14ac:dyDescent="0.25">
      <c r="C359" s="98"/>
      <c r="J359" s="55"/>
      <c r="K359" s="17"/>
      <c r="L359" s="336"/>
      <c r="M359" s="253"/>
      <c r="N359" s="253"/>
      <c r="O359" s="253"/>
      <c r="P359" s="253"/>
      <c r="Q359" s="253"/>
      <c r="R359" s="253"/>
      <c r="S359" s="278"/>
      <c r="T359" s="338"/>
      <c r="U359" s="247"/>
      <c r="V359" s="247"/>
      <c r="W359" s="247"/>
      <c r="X359" s="247"/>
      <c r="Y359" s="247"/>
      <c r="Z359" s="331"/>
      <c r="AA359" s="281"/>
      <c r="AB359" s="281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</row>
    <row r="360" spans="1:239" ht="45" customHeight="1" thickBot="1" x14ac:dyDescent="0.25">
      <c r="J360" s="55"/>
      <c r="K360" s="17"/>
      <c r="L360" s="336"/>
      <c r="M360" s="253"/>
      <c r="N360" s="253"/>
      <c r="O360" s="253"/>
      <c r="P360" s="253"/>
      <c r="Q360" s="253"/>
      <c r="R360" s="253"/>
      <c r="S360" s="278"/>
      <c r="T360" s="338"/>
      <c r="U360" s="247"/>
      <c r="V360" s="247"/>
      <c r="W360" s="247"/>
      <c r="X360" s="247"/>
      <c r="Y360" s="247"/>
      <c r="Z360" s="331"/>
      <c r="AA360" s="281"/>
      <c r="AB360" s="281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</row>
    <row r="361" spans="1:239" ht="45" customHeight="1" thickBot="1" x14ac:dyDescent="0.25">
      <c r="J361" s="55"/>
      <c r="K361" s="17"/>
      <c r="L361" s="336"/>
      <c r="M361" s="253"/>
      <c r="N361" s="253"/>
      <c r="O361" s="253"/>
      <c r="P361" s="253"/>
      <c r="Q361" s="253"/>
      <c r="R361" s="253"/>
      <c r="S361" s="278"/>
      <c r="T361" s="338"/>
      <c r="U361" s="247"/>
      <c r="V361" s="247"/>
      <c r="W361" s="247"/>
      <c r="X361" s="247"/>
      <c r="Y361" s="247"/>
      <c r="Z361" s="331"/>
      <c r="AA361" s="281"/>
      <c r="AB361" s="281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</row>
    <row r="362" spans="1:239" ht="45" customHeight="1" thickBot="1" x14ac:dyDescent="0.25">
      <c r="J362" s="55"/>
      <c r="K362" s="17"/>
      <c r="L362" s="336"/>
      <c r="M362" s="253"/>
      <c r="N362" s="253"/>
      <c r="O362" s="253"/>
      <c r="P362" s="253"/>
      <c r="Q362" s="253"/>
      <c r="R362" s="253"/>
      <c r="S362" s="278"/>
      <c r="T362" s="338"/>
      <c r="U362" s="247"/>
      <c r="V362" s="247"/>
      <c r="W362" s="247"/>
      <c r="X362" s="247"/>
      <c r="Y362" s="247"/>
      <c r="Z362" s="331"/>
      <c r="AA362" s="281"/>
      <c r="AB362" s="281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</row>
    <row r="363" spans="1:239" ht="45" customHeight="1" thickBot="1" x14ac:dyDescent="0.3">
      <c r="J363" s="55"/>
      <c r="K363" s="17"/>
      <c r="L363" s="336"/>
      <c r="M363" s="253"/>
      <c r="N363" s="253"/>
      <c r="O363" s="253"/>
      <c r="P363" s="253"/>
      <c r="Q363" s="253"/>
      <c r="R363" s="253"/>
      <c r="S363" s="278"/>
      <c r="T363" s="337"/>
      <c r="U363" s="247"/>
      <c r="V363" s="247"/>
      <c r="W363" s="247"/>
      <c r="X363" s="247"/>
      <c r="Y363" s="247"/>
      <c r="Z363" s="331"/>
      <c r="AA363" s="281"/>
      <c r="AB363" s="281"/>
    </row>
    <row r="364" spans="1:239" ht="45" customHeight="1" thickBot="1" x14ac:dyDescent="0.3">
      <c r="J364" s="55"/>
      <c r="K364" s="17"/>
      <c r="L364" s="336"/>
      <c r="M364" s="253"/>
      <c r="N364" s="253"/>
      <c r="O364" s="253"/>
      <c r="P364" s="253"/>
      <c r="Q364" s="253"/>
      <c r="R364" s="253"/>
      <c r="S364" s="278"/>
      <c r="T364" s="337"/>
      <c r="U364" s="247"/>
      <c r="V364" s="247"/>
      <c r="W364" s="247"/>
      <c r="X364" s="247"/>
      <c r="Y364" s="247"/>
      <c r="Z364" s="331"/>
      <c r="AA364" s="281"/>
      <c r="AB364" s="281"/>
    </row>
    <row r="365" spans="1:239" ht="45" customHeight="1" thickBot="1" x14ac:dyDescent="0.3">
      <c r="J365" s="55"/>
      <c r="K365" s="17"/>
      <c r="L365" s="336"/>
      <c r="M365" s="253"/>
      <c r="N365" s="253"/>
      <c r="O365" s="253"/>
      <c r="P365" s="253"/>
      <c r="Q365" s="253"/>
      <c r="R365" s="253"/>
      <c r="S365" s="278"/>
      <c r="T365" s="337"/>
      <c r="U365" s="247"/>
      <c r="V365" s="247"/>
      <c r="W365" s="247"/>
      <c r="X365" s="247"/>
      <c r="Y365" s="247"/>
      <c r="Z365" s="331"/>
      <c r="AA365" s="281"/>
      <c r="AB365" s="281"/>
    </row>
    <row r="366" spans="1:239" ht="45" customHeight="1" thickBot="1" x14ac:dyDescent="0.3">
      <c r="J366" s="55"/>
      <c r="K366" s="17"/>
      <c r="L366" s="336"/>
      <c r="M366" s="253"/>
      <c r="N366" s="253"/>
      <c r="O366" s="253"/>
      <c r="P366" s="253"/>
      <c r="Q366" s="253"/>
      <c r="R366" s="253"/>
      <c r="S366" s="278"/>
      <c r="T366" s="337"/>
      <c r="U366" s="247"/>
      <c r="V366" s="247"/>
      <c r="W366" s="247"/>
      <c r="X366" s="247"/>
      <c r="Y366" s="247"/>
      <c r="Z366" s="331"/>
      <c r="AA366" s="281"/>
      <c r="AB366" s="281"/>
    </row>
    <row r="367" spans="1:239" ht="45" customHeight="1" thickBot="1" x14ac:dyDescent="0.25">
      <c r="A367" s="116"/>
      <c r="B367" s="105"/>
      <c r="C367" s="56"/>
      <c r="D367" s="92"/>
      <c r="E367" s="55"/>
      <c r="F367" s="55"/>
      <c r="G367" s="55"/>
      <c r="H367" s="55"/>
      <c r="J367" s="55"/>
      <c r="K367" s="17"/>
      <c r="L367" s="339"/>
      <c r="M367" s="254"/>
      <c r="N367" s="254"/>
      <c r="O367" s="254"/>
      <c r="P367" s="254"/>
      <c r="Q367" s="254"/>
      <c r="R367" s="254"/>
      <c r="S367" s="278"/>
      <c r="T367" s="340"/>
      <c r="U367" s="248"/>
      <c r="V367" s="248"/>
      <c r="W367" s="248"/>
      <c r="X367" s="248"/>
      <c r="Y367" s="248"/>
      <c r="Z367" s="341"/>
      <c r="AA367" s="342"/>
      <c r="AB367" s="342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</row>
    <row r="368" spans="1:239" ht="45" customHeight="1" thickBot="1" x14ac:dyDescent="0.3">
      <c r="J368" s="55"/>
      <c r="K368" s="17"/>
      <c r="L368" s="336"/>
      <c r="M368" s="253"/>
      <c r="N368" s="253"/>
      <c r="O368" s="253"/>
      <c r="P368" s="253"/>
      <c r="Q368" s="253"/>
      <c r="R368" s="253"/>
      <c r="S368" s="278"/>
      <c r="T368" s="337"/>
      <c r="U368" s="247"/>
      <c r="V368" s="247"/>
      <c r="W368" s="247"/>
      <c r="X368" s="247"/>
      <c r="Y368" s="247"/>
      <c r="Z368" s="331"/>
      <c r="AA368" s="281"/>
      <c r="AB368" s="281"/>
    </row>
    <row r="369" spans="1:239" ht="45" customHeight="1" thickBot="1" x14ac:dyDescent="0.3">
      <c r="J369" s="55"/>
      <c r="K369" s="17"/>
      <c r="L369" s="336"/>
      <c r="M369" s="253"/>
      <c r="N369" s="253"/>
      <c r="O369" s="253"/>
      <c r="P369" s="253"/>
      <c r="Q369" s="253"/>
      <c r="R369" s="253"/>
      <c r="S369" s="278"/>
      <c r="T369" s="337"/>
      <c r="U369" s="247"/>
      <c r="V369" s="247"/>
      <c r="W369" s="247"/>
      <c r="X369" s="247"/>
      <c r="Y369" s="247"/>
      <c r="Z369" s="331"/>
      <c r="AA369" s="281"/>
      <c r="AB369" s="281"/>
    </row>
    <row r="370" spans="1:239" ht="45" customHeight="1" thickBot="1" x14ac:dyDescent="0.3">
      <c r="J370" s="55"/>
      <c r="K370" s="17"/>
      <c r="L370" s="336"/>
      <c r="M370" s="253"/>
      <c r="N370" s="253"/>
      <c r="O370" s="253"/>
      <c r="P370" s="253"/>
      <c r="Q370" s="253"/>
      <c r="R370" s="253"/>
      <c r="S370" s="278"/>
      <c r="T370" s="337"/>
      <c r="U370" s="247"/>
      <c r="V370" s="247"/>
      <c r="W370" s="247"/>
      <c r="X370" s="247"/>
      <c r="Y370" s="247"/>
      <c r="Z370" s="331"/>
      <c r="AA370" s="281"/>
      <c r="AB370" s="281"/>
    </row>
    <row r="371" spans="1:239" ht="45" customHeight="1" thickBot="1" x14ac:dyDescent="0.3">
      <c r="J371" s="55"/>
      <c r="K371" s="17"/>
      <c r="L371" s="336"/>
      <c r="M371" s="253"/>
      <c r="N371" s="253"/>
      <c r="O371" s="253"/>
      <c r="P371" s="253"/>
      <c r="Q371" s="253"/>
      <c r="R371" s="253"/>
      <c r="S371" s="278"/>
      <c r="T371" s="337"/>
      <c r="U371" s="247"/>
      <c r="V371" s="247"/>
      <c r="W371" s="247"/>
      <c r="X371" s="247"/>
      <c r="Y371" s="247"/>
      <c r="Z371" s="331"/>
      <c r="AA371" s="281"/>
      <c r="AB371" s="281"/>
    </row>
    <row r="372" spans="1:239" ht="45" customHeight="1" thickBot="1" x14ac:dyDescent="0.3">
      <c r="J372" s="55"/>
      <c r="K372" s="17"/>
      <c r="L372" s="336"/>
      <c r="M372" s="253"/>
      <c r="N372" s="253"/>
      <c r="O372" s="253"/>
      <c r="P372" s="253"/>
      <c r="Q372" s="253"/>
      <c r="R372" s="253"/>
      <c r="S372" s="278"/>
      <c r="T372" s="337"/>
      <c r="U372" s="247"/>
      <c r="V372" s="247"/>
      <c r="W372" s="247"/>
      <c r="X372" s="247"/>
      <c r="Y372" s="247"/>
      <c r="Z372" s="331"/>
      <c r="AA372" s="281"/>
      <c r="AB372" s="281"/>
    </row>
    <row r="373" spans="1:239" ht="45" customHeight="1" thickBot="1" x14ac:dyDescent="0.3">
      <c r="J373" s="55"/>
      <c r="K373" s="17"/>
      <c r="L373" s="336"/>
      <c r="M373" s="253"/>
      <c r="N373" s="253"/>
      <c r="O373" s="253"/>
      <c r="P373" s="253"/>
      <c r="Q373" s="253"/>
      <c r="R373" s="253"/>
      <c r="S373" s="278"/>
      <c r="T373" s="337"/>
      <c r="U373" s="247"/>
      <c r="V373" s="247"/>
      <c r="W373" s="247"/>
      <c r="X373" s="247"/>
      <c r="Y373" s="247"/>
      <c r="Z373" s="331"/>
      <c r="AA373" s="281"/>
      <c r="AB373" s="281"/>
    </row>
    <row r="374" spans="1:239" ht="45" customHeight="1" thickBot="1" x14ac:dyDescent="0.3">
      <c r="J374" s="55"/>
      <c r="K374" s="17"/>
      <c r="L374" s="336"/>
      <c r="M374" s="253"/>
      <c r="N374" s="253"/>
      <c r="O374" s="253"/>
      <c r="P374" s="253"/>
      <c r="Q374" s="253"/>
      <c r="R374" s="253"/>
      <c r="S374" s="278"/>
      <c r="T374" s="337"/>
      <c r="U374" s="247"/>
      <c r="V374" s="247"/>
      <c r="W374" s="247"/>
      <c r="X374" s="247"/>
      <c r="Y374" s="247"/>
      <c r="Z374" s="331"/>
      <c r="AA374" s="281"/>
      <c r="AB374" s="281"/>
    </row>
    <row r="375" spans="1:239" s="35" customFormat="1" ht="45" customHeight="1" thickBot="1" x14ac:dyDescent="0.3">
      <c r="A375" s="108"/>
      <c r="B375" s="88"/>
      <c r="C375" s="40"/>
      <c r="D375" s="89"/>
      <c r="I375" s="55"/>
      <c r="J375" s="55"/>
      <c r="K375" s="17"/>
      <c r="L375" s="336"/>
      <c r="M375" s="253"/>
      <c r="N375" s="253"/>
      <c r="O375" s="253"/>
      <c r="P375" s="253"/>
      <c r="Q375" s="253"/>
      <c r="R375" s="253"/>
      <c r="S375" s="278"/>
      <c r="T375" s="337"/>
      <c r="U375" s="247"/>
      <c r="V375" s="247"/>
      <c r="W375" s="247"/>
      <c r="X375" s="247"/>
      <c r="Y375" s="247"/>
      <c r="Z375" s="331"/>
      <c r="AA375" s="281"/>
      <c r="AB375" s="281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</row>
    <row r="376" spans="1:239" s="35" customFormat="1" ht="45" customHeight="1" thickBot="1" x14ac:dyDescent="0.3">
      <c r="A376" s="108"/>
      <c r="B376" s="88"/>
      <c r="C376" s="40"/>
      <c r="D376" s="89"/>
      <c r="I376" s="55"/>
      <c r="J376" s="55"/>
      <c r="K376" s="17"/>
      <c r="L376" s="336"/>
      <c r="M376" s="253"/>
      <c r="N376" s="253"/>
      <c r="O376" s="253"/>
      <c r="P376" s="253"/>
      <c r="Q376" s="253"/>
      <c r="R376" s="253"/>
      <c r="S376" s="278"/>
      <c r="T376" s="337"/>
      <c r="U376" s="247"/>
      <c r="V376" s="247"/>
      <c r="W376" s="247"/>
      <c r="X376" s="247"/>
      <c r="Y376" s="247"/>
      <c r="Z376" s="331"/>
      <c r="AA376" s="281"/>
      <c r="AB376" s="281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</row>
    <row r="377" spans="1:239" s="35" customFormat="1" ht="45" customHeight="1" thickBot="1" x14ac:dyDescent="0.3">
      <c r="A377" s="108"/>
      <c r="B377" s="88"/>
      <c r="C377" s="40"/>
      <c r="D377" s="89"/>
      <c r="I377" s="55"/>
      <c r="J377" s="55"/>
      <c r="K377" s="17"/>
      <c r="L377" s="336"/>
      <c r="M377" s="253"/>
      <c r="N377" s="253"/>
      <c r="O377" s="253"/>
      <c r="P377" s="253"/>
      <c r="Q377" s="253"/>
      <c r="R377" s="253"/>
      <c r="S377" s="278"/>
      <c r="T377" s="337"/>
      <c r="U377" s="247"/>
      <c r="V377" s="247"/>
      <c r="W377" s="247"/>
      <c r="X377" s="247"/>
      <c r="Y377" s="247"/>
      <c r="Z377" s="331"/>
      <c r="AA377" s="281"/>
      <c r="AB377" s="281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</row>
    <row r="378" spans="1:239" s="35" customFormat="1" ht="45" customHeight="1" thickBot="1" x14ac:dyDescent="0.3">
      <c r="A378" s="108"/>
      <c r="B378" s="88"/>
      <c r="C378" s="40"/>
      <c r="D378" s="89"/>
      <c r="I378" s="55"/>
      <c r="J378" s="55"/>
      <c r="K378" s="17"/>
      <c r="L378" s="336"/>
      <c r="M378" s="253"/>
      <c r="N378" s="253"/>
      <c r="O378" s="253"/>
      <c r="P378" s="253"/>
      <c r="Q378" s="253"/>
      <c r="R378" s="253"/>
      <c r="S378" s="278"/>
      <c r="T378" s="337"/>
      <c r="U378" s="247"/>
      <c r="V378" s="247"/>
      <c r="W378" s="247"/>
      <c r="X378" s="247"/>
      <c r="Y378" s="247"/>
      <c r="Z378" s="331"/>
      <c r="AA378" s="281"/>
      <c r="AB378" s="281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</row>
    <row r="379" spans="1:239" s="35" customFormat="1" ht="45" customHeight="1" thickBot="1" x14ac:dyDescent="0.3">
      <c r="A379" s="108"/>
      <c r="B379" s="88"/>
      <c r="C379" s="40"/>
      <c r="D379" s="89"/>
      <c r="I379" s="55"/>
      <c r="J379" s="55"/>
      <c r="K379" s="17"/>
      <c r="L379" s="336"/>
      <c r="M379" s="253"/>
      <c r="N379" s="253"/>
      <c r="O379" s="253"/>
      <c r="P379" s="253"/>
      <c r="Q379" s="253"/>
      <c r="R379" s="253"/>
      <c r="S379" s="278"/>
      <c r="T379" s="337"/>
      <c r="U379" s="247"/>
      <c r="V379" s="247"/>
      <c r="W379" s="247"/>
      <c r="X379" s="247"/>
      <c r="Y379" s="247"/>
      <c r="Z379" s="331"/>
      <c r="AA379" s="281"/>
      <c r="AB379" s="281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</row>
    <row r="380" spans="1:239" s="35" customFormat="1" ht="45" customHeight="1" thickBot="1" x14ac:dyDescent="0.3">
      <c r="A380" s="108"/>
      <c r="B380" s="88"/>
      <c r="C380" s="40"/>
      <c r="D380" s="89"/>
      <c r="I380" s="55"/>
      <c r="J380" s="55"/>
      <c r="K380" s="17"/>
      <c r="L380" s="336"/>
      <c r="M380" s="253"/>
      <c r="N380" s="253"/>
      <c r="O380" s="253"/>
      <c r="P380" s="253"/>
      <c r="Q380" s="253"/>
      <c r="R380" s="253"/>
      <c r="S380" s="278"/>
      <c r="T380" s="337"/>
      <c r="U380" s="247"/>
      <c r="V380" s="247"/>
      <c r="W380" s="247"/>
      <c r="X380" s="247"/>
      <c r="Y380" s="247"/>
      <c r="Z380" s="331"/>
      <c r="AA380" s="281"/>
      <c r="AB380" s="281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</row>
    <row r="381" spans="1:239" s="35" customFormat="1" ht="45" customHeight="1" thickBot="1" x14ac:dyDescent="0.3">
      <c r="A381" s="108"/>
      <c r="B381" s="88"/>
      <c r="C381" s="40"/>
      <c r="D381" s="89"/>
      <c r="I381" s="55"/>
      <c r="J381" s="55"/>
      <c r="K381" s="17"/>
      <c r="L381" s="336"/>
      <c r="M381" s="253"/>
      <c r="N381" s="253"/>
      <c r="O381" s="253"/>
      <c r="P381" s="253"/>
      <c r="Q381" s="253"/>
      <c r="R381" s="253"/>
      <c r="S381" s="278"/>
      <c r="T381" s="337"/>
      <c r="U381" s="247"/>
      <c r="V381" s="247"/>
      <c r="W381" s="247"/>
      <c r="X381" s="247"/>
      <c r="Y381" s="247"/>
      <c r="Z381" s="331"/>
      <c r="AA381" s="281"/>
      <c r="AB381" s="281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</row>
    <row r="382" spans="1:239" s="35" customFormat="1" ht="45" customHeight="1" thickBot="1" x14ac:dyDescent="0.3">
      <c r="A382" s="108"/>
      <c r="B382" s="88"/>
      <c r="C382" s="40"/>
      <c r="D382" s="89"/>
      <c r="I382" s="55"/>
      <c r="J382" s="55"/>
      <c r="K382" s="17"/>
      <c r="L382" s="336"/>
      <c r="M382" s="253"/>
      <c r="N382" s="253"/>
      <c r="O382" s="253"/>
      <c r="P382" s="253"/>
      <c r="Q382" s="253"/>
      <c r="R382" s="253"/>
      <c r="S382" s="278"/>
      <c r="T382" s="337"/>
      <c r="U382" s="247"/>
      <c r="V382" s="247"/>
      <c r="W382" s="247"/>
      <c r="X382" s="247"/>
      <c r="Y382" s="247"/>
      <c r="Z382" s="331"/>
      <c r="AA382" s="281"/>
      <c r="AB382" s="281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</row>
    <row r="383" spans="1:239" ht="45" customHeight="1" thickBot="1" x14ac:dyDescent="0.3">
      <c r="J383" s="55"/>
      <c r="K383" s="17"/>
      <c r="L383" s="336"/>
      <c r="M383" s="253"/>
      <c r="N383" s="253"/>
      <c r="O383" s="253"/>
      <c r="P383" s="253"/>
      <c r="Q383" s="253"/>
      <c r="R383" s="253"/>
      <c r="S383" s="278"/>
      <c r="T383" s="337"/>
      <c r="U383" s="247"/>
      <c r="V383" s="247"/>
      <c r="W383" s="247"/>
      <c r="X383" s="247"/>
      <c r="Y383" s="247"/>
      <c r="Z383" s="331"/>
      <c r="AA383" s="281"/>
      <c r="AB383" s="281"/>
    </row>
    <row r="384" spans="1:239" s="35" customFormat="1" ht="45" customHeight="1" thickBot="1" x14ac:dyDescent="0.3">
      <c r="A384" s="108"/>
      <c r="B384" s="88"/>
      <c r="C384" s="40"/>
      <c r="D384" s="89"/>
      <c r="I384" s="55"/>
      <c r="J384" s="55"/>
      <c r="K384" s="17"/>
      <c r="L384" s="336"/>
      <c r="M384" s="253"/>
      <c r="N384" s="253"/>
      <c r="O384" s="253"/>
      <c r="P384" s="253"/>
      <c r="Q384" s="253"/>
      <c r="R384" s="253"/>
      <c r="S384" s="278"/>
      <c r="T384" s="337"/>
      <c r="U384" s="247"/>
      <c r="V384" s="247"/>
      <c r="W384" s="247"/>
      <c r="X384" s="247"/>
      <c r="Y384" s="247"/>
      <c r="Z384" s="331"/>
      <c r="AA384" s="281"/>
      <c r="AB384" s="281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</row>
    <row r="385" spans="1:239" s="35" customFormat="1" ht="45" customHeight="1" thickBot="1" x14ac:dyDescent="0.3">
      <c r="A385" s="108"/>
      <c r="B385" s="88"/>
      <c r="C385" s="40"/>
      <c r="D385" s="89"/>
      <c r="I385" s="55"/>
      <c r="J385" s="55"/>
      <c r="K385" s="17"/>
      <c r="L385" s="336"/>
      <c r="M385" s="253"/>
      <c r="N385" s="253"/>
      <c r="O385" s="253"/>
      <c r="P385" s="253"/>
      <c r="Q385" s="253"/>
      <c r="R385" s="253"/>
      <c r="S385" s="278"/>
      <c r="T385" s="337"/>
      <c r="U385" s="247"/>
      <c r="V385" s="247"/>
      <c r="W385" s="247"/>
      <c r="X385" s="247"/>
      <c r="Y385" s="247"/>
      <c r="Z385" s="331"/>
      <c r="AA385" s="281"/>
      <c r="AB385" s="281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</row>
    <row r="386" spans="1:239" s="35" customFormat="1" ht="45" customHeight="1" thickBot="1" x14ac:dyDescent="0.3">
      <c r="A386" s="108"/>
      <c r="B386" s="88"/>
      <c r="C386" s="40"/>
      <c r="D386" s="89"/>
      <c r="I386" s="55"/>
      <c r="J386" s="55"/>
      <c r="K386" s="17"/>
      <c r="L386" s="336"/>
      <c r="M386" s="253"/>
      <c r="N386" s="253"/>
      <c r="O386" s="253"/>
      <c r="P386" s="253"/>
      <c r="Q386" s="253"/>
      <c r="R386" s="253"/>
      <c r="S386" s="278"/>
      <c r="T386" s="337"/>
      <c r="U386" s="247"/>
      <c r="V386" s="247"/>
      <c r="W386" s="247"/>
      <c r="X386" s="247"/>
      <c r="Y386" s="247"/>
      <c r="Z386" s="331"/>
      <c r="AA386" s="281"/>
      <c r="AB386" s="281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</row>
    <row r="387" spans="1:239" s="35" customFormat="1" ht="45" customHeight="1" thickBot="1" x14ac:dyDescent="0.3">
      <c r="A387" s="108"/>
      <c r="B387" s="88"/>
      <c r="C387" s="40"/>
      <c r="D387" s="89"/>
      <c r="I387" s="55"/>
      <c r="J387" s="55"/>
      <c r="K387" s="17"/>
      <c r="L387" s="336"/>
      <c r="M387" s="253"/>
      <c r="N387" s="253"/>
      <c r="O387" s="253"/>
      <c r="P387" s="253"/>
      <c r="Q387" s="253"/>
      <c r="R387" s="253"/>
      <c r="S387" s="278"/>
      <c r="T387" s="337"/>
      <c r="U387" s="247"/>
      <c r="V387" s="247"/>
      <c r="W387" s="247"/>
      <c r="X387" s="247"/>
      <c r="Y387" s="247"/>
      <c r="Z387" s="331"/>
      <c r="AA387" s="281"/>
      <c r="AB387" s="281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</row>
    <row r="388" spans="1:239" s="35" customFormat="1" ht="45" customHeight="1" thickBot="1" x14ac:dyDescent="0.3">
      <c r="A388" s="108"/>
      <c r="B388" s="88"/>
      <c r="C388" s="40"/>
      <c r="D388" s="89"/>
      <c r="I388" s="55"/>
      <c r="J388" s="55"/>
      <c r="K388" s="17"/>
      <c r="L388" s="336"/>
      <c r="M388" s="253"/>
      <c r="N388" s="253"/>
      <c r="O388" s="253"/>
      <c r="P388" s="253"/>
      <c r="Q388" s="253"/>
      <c r="R388" s="253"/>
      <c r="S388" s="278"/>
      <c r="T388" s="337"/>
      <c r="U388" s="247"/>
      <c r="V388" s="247"/>
      <c r="W388" s="247"/>
      <c r="X388" s="247"/>
      <c r="Y388" s="247"/>
      <c r="Z388" s="331"/>
      <c r="AA388" s="281"/>
      <c r="AB388" s="281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</row>
    <row r="389" spans="1:239" s="35" customFormat="1" ht="45" customHeight="1" thickBot="1" x14ac:dyDescent="0.3">
      <c r="A389" s="108"/>
      <c r="B389" s="88"/>
      <c r="C389" s="40"/>
      <c r="D389" s="89"/>
      <c r="I389" s="55"/>
      <c r="J389" s="55"/>
      <c r="K389" s="17"/>
      <c r="L389" s="336"/>
      <c r="M389" s="253"/>
      <c r="N389" s="253"/>
      <c r="O389" s="253"/>
      <c r="P389" s="253"/>
      <c r="Q389" s="253"/>
      <c r="R389" s="253"/>
      <c r="S389" s="278"/>
      <c r="T389" s="337"/>
      <c r="U389" s="247"/>
      <c r="V389" s="247"/>
      <c r="W389" s="247"/>
      <c r="X389" s="247"/>
      <c r="Y389" s="247"/>
      <c r="Z389" s="331"/>
      <c r="AA389" s="281"/>
      <c r="AB389" s="281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</row>
    <row r="390" spans="1:239" ht="45" customHeight="1" thickBot="1" x14ac:dyDescent="0.3">
      <c r="J390" s="55"/>
      <c r="K390" s="17"/>
      <c r="L390" s="336"/>
      <c r="M390" s="253"/>
      <c r="N390" s="253"/>
      <c r="O390" s="253"/>
      <c r="P390" s="253"/>
      <c r="Q390" s="253"/>
      <c r="R390" s="253"/>
      <c r="S390" s="278">
        <f t="shared" ref="S390:S418" si="4">SUM(L390:R390)</f>
        <v>0</v>
      </c>
      <c r="T390" s="337"/>
      <c r="U390" s="247"/>
      <c r="V390" s="247"/>
      <c r="W390" s="247"/>
      <c r="X390" s="247"/>
      <c r="Y390" s="247"/>
      <c r="Z390" s="331"/>
      <c r="AA390" s="281"/>
      <c r="AB390" s="281"/>
    </row>
    <row r="391" spans="1:239" ht="45" customHeight="1" thickBot="1" x14ac:dyDescent="0.3">
      <c r="J391" s="55"/>
      <c r="K391" s="17"/>
      <c r="L391" s="336"/>
      <c r="M391" s="253"/>
      <c r="N391" s="253"/>
      <c r="O391" s="253"/>
      <c r="P391" s="253"/>
      <c r="Q391" s="253"/>
      <c r="R391" s="253"/>
      <c r="S391" s="278">
        <f t="shared" si="4"/>
        <v>0</v>
      </c>
      <c r="T391" s="337"/>
      <c r="U391" s="247"/>
      <c r="V391" s="247"/>
      <c r="W391" s="247"/>
      <c r="X391" s="247"/>
      <c r="Y391" s="247"/>
      <c r="Z391" s="331"/>
      <c r="AA391" s="281"/>
      <c r="AB391" s="281"/>
    </row>
    <row r="392" spans="1:239" ht="45" customHeight="1" thickBot="1" x14ac:dyDescent="0.3">
      <c r="J392" s="55"/>
      <c r="K392" s="17"/>
      <c r="L392" s="336"/>
      <c r="M392" s="253"/>
      <c r="N392" s="253"/>
      <c r="O392" s="253"/>
      <c r="P392" s="253"/>
      <c r="Q392" s="253"/>
      <c r="R392" s="253"/>
      <c r="S392" s="278">
        <f t="shared" si="4"/>
        <v>0</v>
      </c>
      <c r="T392" s="337"/>
      <c r="U392" s="247"/>
      <c r="V392" s="247"/>
      <c r="W392" s="247"/>
      <c r="X392" s="247"/>
      <c r="Y392" s="247"/>
      <c r="Z392" s="331"/>
      <c r="AA392" s="281"/>
      <c r="AB392" s="281"/>
    </row>
    <row r="393" spans="1:239" s="35" customFormat="1" ht="45" customHeight="1" thickBot="1" x14ac:dyDescent="0.3">
      <c r="A393" s="108"/>
      <c r="B393" s="88"/>
      <c r="C393" s="40"/>
      <c r="D393" s="89"/>
      <c r="I393" s="55"/>
      <c r="J393" s="55"/>
      <c r="K393" s="17"/>
      <c r="L393" s="336"/>
      <c r="M393" s="253"/>
      <c r="N393" s="253"/>
      <c r="O393" s="253"/>
      <c r="P393" s="253"/>
      <c r="Q393" s="253"/>
      <c r="R393" s="253"/>
      <c r="S393" s="278">
        <f t="shared" si="4"/>
        <v>0</v>
      </c>
      <c r="T393" s="337"/>
      <c r="U393" s="247"/>
      <c r="V393" s="247"/>
      <c r="W393" s="247"/>
      <c r="X393" s="247"/>
      <c r="Y393" s="247"/>
      <c r="Z393" s="331"/>
      <c r="AA393" s="281"/>
      <c r="AB393" s="281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</row>
    <row r="394" spans="1:239" ht="45" customHeight="1" thickBot="1" x14ac:dyDescent="0.3">
      <c r="J394" s="55"/>
      <c r="K394" s="17"/>
      <c r="L394" s="336"/>
      <c r="M394" s="253"/>
      <c r="N394" s="253"/>
      <c r="O394" s="253"/>
      <c r="P394" s="253"/>
      <c r="Q394" s="253"/>
      <c r="R394" s="253"/>
      <c r="S394" s="278">
        <f t="shared" si="4"/>
        <v>0</v>
      </c>
      <c r="T394" s="337"/>
      <c r="U394" s="247"/>
      <c r="V394" s="247"/>
      <c r="W394" s="247"/>
      <c r="X394" s="247"/>
      <c r="Y394" s="247"/>
      <c r="Z394" s="331"/>
      <c r="AA394" s="281"/>
      <c r="AB394" s="281"/>
    </row>
    <row r="395" spans="1:239" s="35" customFormat="1" ht="45" customHeight="1" thickBot="1" x14ac:dyDescent="0.3">
      <c r="A395" s="108"/>
      <c r="B395" s="88"/>
      <c r="C395" s="40"/>
      <c r="D395" s="89"/>
      <c r="I395" s="55"/>
      <c r="J395" s="55"/>
      <c r="K395" s="17"/>
      <c r="L395" s="336"/>
      <c r="M395" s="253"/>
      <c r="N395" s="253"/>
      <c r="O395" s="253"/>
      <c r="P395" s="253"/>
      <c r="Q395" s="253"/>
      <c r="R395" s="253"/>
      <c r="S395" s="278">
        <f t="shared" si="4"/>
        <v>0</v>
      </c>
      <c r="T395" s="337"/>
      <c r="U395" s="247"/>
      <c r="V395" s="247"/>
      <c r="W395" s="247"/>
      <c r="X395" s="247"/>
      <c r="Y395" s="247"/>
      <c r="Z395" s="331"/>
      <c r="AA395" s="281"/>
      <c r="AB395" s="281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</row>
    <row r="396" spans="1:239" s="35" customFormat="1" ht="45" customHeight="1" thickBot="1" x14ac:dyDescent="0.3">
      <c r="A396" s="108"/>
      <c r="B396" s="88"/>
      <c r="C396" s="40"/>
      <c r="D396" s="89"/>
      <c r="I396" s="55"/>
      <c r="J396" s="55"/>
      <c r="K396" s="343"/>
      <c r="L396" s="336"/>
      <c r="M396" s="253"/>
      <c r="N396" s="253"/>
      <c r="O396" s="253"/>
      <c r="P396" s="253"/>
      <c r="Q396" s="253"/>
      <c r="R396" s="253"/>
      <c r="S396" s="278">
        <f t="shared" si="4"/>
        <v>0</v>
      </c>
      <c r="T396" s="337"/>
      <c r="U396" s="247"/>
      <c r="V396" s="247"/>
      <c r="W396" s="247"/>
      <c r="X396" s="247"/>
      <c r="Y396" s="247"/>
      <c r="Z396" s="331"/>
      <c r="AA396" s="281"/>
      <c r="AB396" s="281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</row>
    <row r="397" spans="1:239" s="35" customFormat="1" ht="45" customHeight="1" thickBot="1" x14ac:dyDescent="0.3">
      <c r="A397" s="108"/>
      <c r="B397" s="88"/>
      <c r="C397" s="40"/>
      <c r="D397" s="89"/>
      <c r="I397" s="55"/>
      <c r="J397" s="55"/>
      <c r="K397" s="17"/>
      <c r="L397" s="336"/>
      <c r="M397" s="253"/>
      <c r="N397" s="253"/>
      <c r="O397" s="253"/>
      <c r="P397" s="253"/>
      <c r="Q397" s="253"/>
      <c r="R397" s="253"/>
      <c r="S397" s="278">
        <f t="shared" si="4"/>
        <v>0</v>
      </c>
      <c r="T397" s="337"/>
      <c r="U397" s="247"/>
      <c r="V397" s="247"/>
      <c r="W397" s="247"/>
      <c r="X397" s="247"/>
      <c r="Y397" s="247"/>
      <c r="Z397" s="331"/>
      <c r="AA397" s="281"/>
      <c r="AB397" s="281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</row>
    <row r="398" spans="1:239" s="35" customFormat="1" ht="45" customHeight="1" thickBot="1" x14ac:dyDescent="0.3">
      <c r="A398" s="108"/>
      <c r="B398" s="88"/>
      <c r="C398" s="40"/>
      <c r="D398" s="89"/>
      <c r="I398" s="55"/>
      <c r="J398" s="55"/>
      <c r="K398" s="17"/>
      <c r="L398" s="336"/>
      <c r="M398" s="253"/>
      <c r="N398" s="253"/>
      <c r="O398" s="253"/>
      <c r="P398" s="253"/>
      <c r="Q398" s="253"/>
      <c r="R398" s="253"/>
      <c r="S398" s="278">
        <f t="shared" si="4"/>
        <v>0</v>
      </c>
      <c r="T398" s="337"/>
      <c r="U398" s="247"/>
      <c r="V398" s="247"/>
      <c r="W398" s="247"/>
      <c r="X398" s="247"/>
      <c r="Y398" s="247"/>
      <c r="Z398" s="331"/>
      <c r="AA398" s="281"/>
      <c r="AB398" s="281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</row>
    <row r="399" spans="1:239" s="35" customFormat="1" ht="45" customHeight="1" thickBot="1" x14ac:dyDescent="0.3">
      <c r="A399" s="108"/>
      <c r="B399" s="88"/>
      <c r="C399" s="40"/>
      <c r="D399" s="89"/>
      <c r="I399" s="55"/>
      <c r="J399" s="55"/>
      <c r="K399" s="17"/>
      <c r="L399" s="336"/>
      <c r="M399" s="253"/>
      <c r="N399" s="253"/>
      <c r="O399" s="253"/>
      <c r="P399" s="253"/>
      <c r="Q399" s="253"/>
      <c r="R399" s="253"/>
      <c r="S399" s="278">
        <f t="shared" si="4"/>
        <v>0</v>
      </c>
      <c r="T399" s="337"/>
      <c r="U399" s="247"/>
      <c r="V399" s="247"/>
      <c r="W399" s="247"/>
      <c r="X399" s="247"/>
      <c r="Y399" s="247"/>
      <c r="Z399" s="331"/>
      <c r="AA399" s="281"/>
      <c r="AB399" s="281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</row>
    <row r="400" spans="1:239" s="35" customFormat="1" ht="45" customHeight="1" thickBot="1" x14ac:dyDescent="0.3">
      <c r="A400" s="108"/>
      <c r="B400" s="88"/>
      <c r="C400" s="40"/>
      <c r="D400" s="89"/>
      <c r="I400" s="55"/>
      <c r="J400" s="55"/>
      <c r="K400" s="17"/>
      <c r="L400" s="336"/>
      <c r="M400" s="253"/>
      <c r="N400" s="253"/>
      <c r="O400" s="253"/>
      <c r="P400" s="253"/>
      <c r="Q400" s="253"/>
      <c r="R400" s="253"/>
      <c r="S400" s="278">
        <f t="shared" si="4"/>
        <v>0</v>
      </c>
      <c r="T400" s="337"/>
      <c r="U400" s="247"/>
      <c r="V400" s="247"/>
      <c r="W400" s="247"/>
      <c r="X400" s="247"/>
      <c r="Y400" s="247"/>
      <c r="Z400" s="331"/>
      <c r="AA400" s="281"/>
      <c r="AB400" s="281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</row>
    <row r="401" spans="1:239" s="35" customFormat="1" ht="45" customHeight="1" thickBot="1" x14ac:dyDescent="0.3">
      <c r="A401" s="108"/>
      <c r="B401" s="88"/>
      <c r="C401" s="40"/>
      <c r="D401" s="89"/>
      <c r="I401" s="55"/>
      <c r="J401" s="55"/>
      <c r="K401" s="17"/>
      <c r="L401" s="336"/>
      <c r="M401" s="253"/>
      <c r="N401" s="253"/>
      <c r="O401" s="253"/>
      <c r="P401" s="253"/>
      <c r="Q401" s="253"/>
      <c r="R401" s="253"/>
      <c r="S401" s="278">
        <f t="shared" si="4"/>
        <v>0</v>
      </c>
      <c r="T401" s="337"/>
      <c r="U401" s="247"/>
      <c r="V401" s="247"/>
      <c r="W401" s="247"/>
      <c r="X401" s="247"/>
      <c r="Y401" s="247"/>
      <c r="Z401" s="331"/>
      <c r="AA401" s="281"/>
      <c r="AB401" s="281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</row>
    <row r="402" spans="1:239" ht="45" customHeight="1" thickBot="1" x14ac:dyDescent="0.3">
      <c r="A402" s="123"/>
      <c r="B402" s="40"/>
      <c r="D402" s="40"/>
      <c r="J402" s="55"/>
      <c r="K402" s="17"/>
      <c r="L402" s="336"/>
      <c r="M402" s="253"/>
      <c r="N402" s="253"/>
      <c r="O402" s="253"/>
      <c r="P402" s="253"/>
      <c r="Q402" s="253"/>
      <c r="R402" s="253"/>
      <c r="S402" s="278">
        <f t="shared" si="4"/>
        <v>0</v>
      </c>
      <c r="T402" s="337"/>
      <c r="U402" s="247"/>
      <c r="V402" s="247"/>
      <c r="W402" s="247"/>
      <c r="X402" s="247"/>
      <c r="Y402" s="247"/>
      <c r="Z402" s="331"/>
      <c r="AA402" s="281"/>
      <c r="AB402" s="281"/>
    </row>
    <row r="403" spans="1:239" ht="45" customHeight="1" thickBot="1" x14ac:dyDescent="0.3">
      <c r="J403" s="55"/>
      <c r="K403" s="17"/>
      <c r="L403" s="336"/>
      <c r="M403" s="253"/>
      <c r="N403" s="253"/>
      <c r="O403" s="253"/>
      <c r="P403" s="253"/>
      <c r="Q403" s="253"/>
      <c r="R403" s="253"/>
      <c r="S403" s="278">
        <f t="shared" si="4"/>
        <v>0</v>
      </c>
      <c r="T403" s="337"/>
      <c r="U403" s="247"/>
      <c r="V403" s="247"/>
      <c r="W403" s="247"/>
      <c r="X403" s="247"/>
      <c r="Y403" s="247"/>
      <c r="Z403" s="331"/>
      <c r="AA403" s="281"/>
      <c r="AB403" s="281"/>
    </row>
    <row r="404" spans="1:239" ht="45" customHeight="1" thickBot="1" x14ac:dyDescent="0.3">
      <c r="J404" s="55"/>
      <c r="K404" s="17"/>
      <c r="L404" s="336"/>
      <c r="M404" s="253"/>
      <c r="N404" s="253"/>
      <c r="O404" s="253"/>
      <c r="P404" s="253"/>
      <c r="Q404" s="253"/>
      <c r="R404" s="253"/>
      <c r="S404" s="278">
        <f t="shared" si="4"/>
        <v>0</v>
      </c>
      <c r="T404" s="337"/>
      <c r="U404" s="247"/>
      <c r="V404" s="247"/>
      <c r="W404" s="247"/>
      <c r="X404" s="247"/>
      <c r="Y404" s="247"/>
      <c r="Z404" s="331"/>
      <c r="AA404" s="281"/>
      <c r="AB404" s="281"/>
    </row>
    <row r="405" spans="1:239" ht="45" customHeight="1" thickBot="1" x14ac:dyDescent="0.3">
      <c r="J405" s="55"/>
      <c r="K405" s="17"/>
      <c r="L405" s="336"/>
      <c r="M405" s="253"/>
      <c r="N405" s="253"/>
      <c r="O405" s="253"/>
      <c r="P405" s="253"/>
      <c r="Q405" s="253"/>
      <c r="R405" s="253"/>
      <c r="S405" s="278">
        <f t="shared" si="4"/>
        <v>0</v>
      </c>
      <c r="T405" s="337"/>
      <c r="U405" s="247"/>
      <c r="V405" s="247"/>
      <c r="W405" s="247"/>
      <c r="X405" s="247"/>
      <c r="Y405" s="247"/>
      <c r="Z405" s="331"/>
      <c r="AA405" s="281"/>
      <c r="AB405" s="281"/>
    </row>
    <row r="406" spans="1:239" s="35" customFormat="1" ht="45" customHeight="1" thickBot="1" x14ac:dyDescent="0.3">
      <c r="A406" s="108"/>
      <c r="B406" s="88"/>
      <c r="C406" s="40"/>
      <c r="D406" s="89"/>
      <c r="I406" s="55"/>
      <c r="J406" s="55"/>
      <c r="K406" s="17"/>
      <c r="L406" s="336"/>
      <c r="M406" s="253"/>
      <c r="N406" s="253"/>
      <c r="O406" s="253"/>
      <c r="P406" s="253"/>
      <c r="Q406" s="253"/>
      <c r="R406" s="253"/>
      <c r="S406" s="278">
        <f t="shared" si="4"/>
        <v>0</v>
      </c>
      <c r="T406" s="337"/>
      <c r="U406" s="247"/>
      <c r="V406" s="247"/>
      <c r="W406" s="247"/>
      <c r="X406" s="247"/>
      <c r="Y406" s="247"/>
      <c r="Z406" s="331"/>
      <c r="AA406" s="281"/>
      <c r="AB406" s="281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</row>
    <row r="407" spans="1:239" ht="45" customHeight="1" thickBot="1" x14ac:dyDescent="0.3">
      <c r="J407" s="55"/>
      <c r="K407" s="17"/>
      <c r="L407" s="336"/>
      <c r="M407" s="253"/>
      <c r="N407" s="253"/>
      <c r="O407" s="253"/>
      <c r="P407" s="253"/>
      <c r="Q407" s="253"/>
      <c r="R407" s="253"/>
      <c r="S407" s="278">
        <f t="shared" si="4"/>
        <v>0</v>
      </c>
      <c r="T407" s="337"/>
      <c r="U407" s="247"/>
      <c r="V407" s="247"/>
      <c r="W407" s="247"/>
      <c r="X407" s="247"/>
      <c r="Y407" s="247"/>
      <c r="Z407" s="331"/>
      <c r="AA407" s="281"/>
      <c r="AB407" s="281"/>
    </row>
    <row r="408" spans="1:239" s="35" customFormat="1" ht="45" customHeight="1" thickBot="1" x14ac:dyDescent="0.3">
      <c r="A408" s="108"/>
      <c r="B408" s="88"/>
      <c r="C408" s="40"/>
      <c r="D408" s="89"/>
      <c r="I408" s="55"/>
      <c r="J408" s="55"/>
      <c r="K408" s="17"/>
      <c r="L408" s="336"/>
      <c r="M408" s="253"/>
      <c r="N408" s="253"/>
      <c r="O408" s="253"/>
      <c r="P408" s="253"/>
      <c r="Q408" s="253"/>
      <c r="R408" s="253"/>
      <c r="S408" s="278">
        <f t="shared" si="4"/>
        <v>0</v>
      </c>
      <c r="T408" s="337"/>
      <c r="U408" s="247"/>
      <c r="V408" s="247"/>
      <c r="W408" s="247"/>
      <c r="X408" s="247"/>
      <c r="Y408" s="247"/>
      <c r="Z408" s="331"/>
      <c r="AA408" s="281"/>
      <c r="AB408" s="281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</row>
    <row r="409" spans="1:239" s="35" customFormat="1" ht="45" customHeight="1" thickBot="1" x14ac:dyDescent="0.3">
      <c r="A409" s="108"/>
      <c r="B409" s="88"/>
      <c r="C409" s="40"/>
      <c r="D409" s="89"/>
      <c r="I409" s="55"/>
      <c r="J409" s="55"/>
      <c r="K409" s="17"/>
      <c r="L409" s="336"/>
      <c r="M409" s="253"/>
      <c r="N409" s="253"/>
      <c r="O409" s="253"/>
      <c r="P409" s="253"/>
      <c r="Q409" s="253"/>
      <c r="R409" s="253"/>
      <c r="S409" s="278">
        <f t="shared" si="4"/>
        <v>0</v>
      </c>
      <c r="T409" s="337"/>
      <c r="U409" s="247"/>
      <c r="V409" s="247"/>
      <c r="W409" s="247"/>
      <c r="X409" s="247"/>
      <c r="Y409" s="247"/>
      <c r="Z409" s="331"/>
      <c r="AA409" s="281"/>
      <c r="AB409" s="281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</row>
    <row r="410" spans="1:239" s="35" customFormat="1" ht="45" customHeight="1" thickBot="1" x14ac:dyDescent="0.3">
      <c r="A410" s="108"/>
      <c r="B410" s="88"/>
      <c r="C410" s="40"/>
      <c r="D410" s="89"/>
      <c r="I410" s="55"/>
      <c r="J410" s="55"/>
      <c r="K410" s="17"/>
      <c r="L410" s="336"/>
      <c r="M410" s="253"/>
      <c r="N410" s="253"/>
      <c r="O410" s="253"/>
      <c r="P410" s="253"/>
      <c r="Q410" s="253"/>
      <c r="R410" s="253"/>
      <c r="S410" s="278">
        <f t="shared" si="4"/>
        <v>0</v>
      </c>
      <c r="T410" s="337"/>
      <c r="U410" s="247"/>
      <c r="V410" s="247"/>
      <c r="W410" s="247"/>
      <c r="X410" s="247"/>
      <c r="Y410" s="247"/>
      <c r="Z410" s="331"/>
      <c r="AA410" s="281"/>
      <c r="AB410" s="281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</row>
    <row r="411" spans="1:239" s="35" customFormat="1" ht="45" customHeight="1" thickBot="1" x14ac:dyDescent="0.3">
      <c r="A411" s="108"/>
      <c r="B411" s="88"/>
      <c r="C411" s="40"/>
      <c r="D411" s="89"/>
      <c r="I411" s="55"/>
      <c r="J411" s="55"/>
      <c r="K411" s="17"/>
      <c r="L411" s="336"/>
      <c r="M411" s="253"/>
      <c r="N411" s="253"/>
      <c r="O411" s="253"/>
      <c r="P411" s="253"/>
      <c r="Q411" s="253"/>
      <c r="R411" s="253"/>
      <c r="S411" s="278">
        <f t="shared" si="4"/>
        <v>0</v>
      </c>
      <c r="T411" s="337"/>
      <c r="U411" s="247"/>
      <c r="V411" s="247"/>
      <c r="W411" s="247"/>
      <c r="X411" s="247"/>
      <c r="Y411" s="247"/>
      <c r="Z411" s="331"/>
      <c r="AA411" s="281"/>
      <c r="AB411" s="281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</row>
    <row r="412" spans="1:239" ht="45" customHeight="1" thickBot="1" x14ac:dyDescent="0.3">
      <c r="J412" s="55"/>
      <c r="K412" s="17"/>
      <c r="L412" s="336"/>
      <c r="M412" s="253"/>
      <c r="N412" s="253"/>
      <c r="O412" s="253"/>
      <c r="P412" s="253"/>
      <c r="Q412" s="253"/>
      <c r="R412" s="253"/>
      <c r="S412" s="278">
        <f t="shared" si="4"/>
        <v>0</v>
      </c>
      <c r="T412" s="337"/>
      <c r="U412" s="247"/>
      <c r="V412" s="247"/>
      <c r="W412" s="247"/>
      <c r="X412" s="247"/>
      <c r="Y412" s="247"/>
      <c r="Z412" s="331"/>
      <c r="AA412" s="281"/>
      <c r="AB412" s="281"/>
    </row>
    <row r="413" spans="1:239" ht="45" customHeight="1" thickBot="1" x14ac:dyDescent="0.3">
      <c r="J413" s="55"/>
      <c r="K413" s="17"/>
      <c r="L413" s="336"/>
      <c r="M413" s="253"/>
      <c r="N413" s="253"/>
      <c r="O413" s="253"/>
      <c r="P413" s="253"/>
      <c r="Q413" s="253"/>
      <c r="R413" s="253"/>
      <c r="S413" s="278">
        <f t="shared" si="4"/>
        <v>0</v>
      </c>
      <c r="T413" s="337"/>
      <c r="U413" s="247"/>
      <c r="V413" s="247"/>
      <c r="W413" s="247"/>
      <c r="X413" s="247"/>
      <c r="Y413" s="247"/>
      <c r="Z413" s="331"/>
      <c r="AA413" s="281"/>
      <c r="AB413" s="281"/>
    </row>
    <row r="414" spans="1:239" ht="45" customHeight="1" thickBot="1" x14ac:dyDescent="0.3">
      <c r="J414" s="55"/>
      <c r="K414" s="17"/>
      <c r="L414" s="336"/>
      <c r="M414" s="253"/>
      <c r="N414" s="253"/>
      <c r="O414" s="253"/>
      <c r="P414" s="253"/>
      <c r="Q414" s="253"/>
      <c r="R414" s="253"/>
      <c r="S414" s="278">
        <f t="shared" si="4"/>
        <v>0</v>
      </c>
      <c r="T414" s="337"/>
      <c r="U414" s="247"/>
      <c r="V414" s="247"/>
      <c r="W414" s="247"/>
      <c r="X414" s="247"/>
      <c r="Y414" s="247"/>
      <c r="Z414" s="331"/>
      <c r="AA414" s="281"/>
      <c r="AB414" s="281"/>
    </row>
    <row r="415" spans="1:239" ht="45" customHeight="1" thickBot="1" x14ac:dyDescent="0.3">
      <c r="J415" s="55"/>
      <c r="K415" s="17"/>
      <c r="L415" s="336"/>
      <c r="M415" s="253"/>
      <c r="N415" s="253"/>
      <c r="O415" s="253"/>
      <c r="P415" s="253"/>
      <c r="Q415" s="253"/>
      <c r="R415" s="253"/>
      <c r="S415" s="278">
        <f t="shared" si="4"/>
        <v>0</v>
      </c>
      <c r="T415" s="337"/>
      <c r="U415" s="247"/>
      <c r="V415" s="247"/>
      <c r="W415" s="247"/>
      <c r="X415" s="247"/>
      <c r="Y415" s="247"/>
      <c r="Z415" s="331"/>
      <c r="AA415" s="281"/>
      <c r="AB415" s="281"/>
    </row>
    <row r="416" spans="1:239" ht="45" customHeight="1" thickBot="1" x14ac:dyDescent="0.3">
      <c r="J416" s="55"/>
      <c r="K416" s="17"/>
      <c r="L416" s="336"/>
      <c r="M416" s="253"/>
      <c r="N416" s="253"/>
      <c r="O416" s="253"/>
      <c r="P416" s="253"/>
      <c r="Q416" s="253"/>
      <c r="R416" s="253"/>
      <c r="S416" s="278">
        <f t="shared" si="4"/>
        <v>0</v>
      </c>
      <c r="T416" s="337"/>
      <c r="U416" s="247"/>
      <c r="V416" s="247"/>
      <c r="W416" s="247"/>
      <c r="X416" s="247"/>
      <c r="Y416" s="247"/>
      <c r="Z416" s="331"/>
      <c r="AA416" s="281"/>
      <c r="AB416" s="281"/>
    </row>
    <row r="417" spans="1:239" ht="45" customHeight="1" thickBot="1" x14ac:dyDescent="0.3">
      <c r="J417" s="55"/>
      <c r="K417" s="17"/>
      <c r="L417" s="336"/>
      <c r="M417" s="253"/>
      <c r="N417" s="253"/>
      <c r="O417" s="253"/>
      <c r="P417" s="253"/>
      <c r="Q417" s="253"/>
      <c r="R417" s="253"/>
      <c r="S417" s="278">
        <f t="shared" si="4"/>
        <v>0</v>
      </c>
      <c r="T417" s="337"/>
      <c r="U417" s="247"/>
      <c r="V417" s="247"/>
      <c r="W417" s="247"/>
      <c r="X417" s="247"/>
      <c r="Y417" s="247"/>
      <c r="Z417" s="331"/>
      <c r="AA417" s="281"/>
      <c r="AB417" s="281"/>
    </row>
    <row r="418" spans="1:239" ht="45" customHeight="1" thickBot="1" x14ac:dyDescent="0.3">
      <c r="J418" s="55"/>
      <c r="K418" s="17"/>
      <c r="L418" s="336"/>
      <c r="M418" s="253"/>
      <c r="N418" s="253"/>
      <c r="O418" s="253"/>
      <c r="P418" s="253"/>
      <c r="Q418" s="253"/>
      <c r="R418" s="253"/>
      <c r="S418" s="278">
        <f t="shared" si="4"/>
        <v>0</v>
      </c>
      <c r="T418" s="337"/>
      <c r="U418" s="247"/>
      <c r="V418" s="247"/>
      <c r="W418" s="247"/>
      <c r="X418" s="247"/>
      <c r="Y418" s="247"/>
      <c r="Z418" s="331"/>
      <c r="AA418" s="281"/>
      <c r="AB418" s="281"/>
    </row>
    <row r="419" spans="1:239" s="35" customFormat="1" ht="45" customHeight="1" thickBot="1" x14ac:dyDescent="0.3">
      <c r="A419" s="108"/>
      <c r="B419" s="88"/>
      <c r="C419" s="40"/>
      <c r="D419" s="89"/>
      <c r="I419" s="55"/>
      <c r="J419" s="55"/>
      <c r="K419" s="17"/>
      <c r="L419" s="336"/>
      <c r="M419" s="253"/>
      <c r="N419" s="253"/>
      <c r="O419" s="253"/>
      <c r="P419" s="253"/>
      <c r="Q419" s="253"/>
      <c r="R419" s="253"/>
      <c r="S419" s="278">
        <f t="shared" ref="S419:S482" si="5">SUM(L419:R419)</f>
        <v>0</v>
      </c>
      <c r="T419" s="337"/>
      <c r="U419" s="247"/>
      <c r="V419" s="247"/>
      <c r="W419" s="247"/>
      <c r="X419" s="247"/>
      <c r="Y419" s="247"/>
      <c r="Z419" s="331"/>
      <c r="AA419" s="281"/>
      <c r="AB419" s="281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</row>
    <row r="420" spans="1:239" ht="45" customHeight="1" thickBot="1" x14ac:dyDescent="0.3">
      <c r="J420" s="55"/>
      <c r="K420" s="17"/>
      <c r="L420" s="336"/>
      <c r="M420" s="253"/>
      <c r="N420" s="253"/>
      <c r="O420" s="253"/>
      <c r="P420" s="253"/>
      <c r="Q420" s="253"/>
      <c r="R420" s="253"/>
      <c r="S420" s="278">
        <f t="shared" si="5"/>
        <v>0</v>
      </c>
      <c r="T420" s="337"/>
      <c r="U420" s="247"/>
      <c r="V420" s="247"/>
      <c r="W420" s="247"/>
      <c r="X420" s="247"/>
      <c r="Y420" s="247"/>
      <c r="Z420" s="331"/>
      <c r="AA420" s="281"/>
      <c r="AB420" s="281"/>
    </row>
    <row r="421" spans="1:239" ht="45" customHeight="1" thickBot="1" x14ac:dyDescent="0.3">
      <c r="J421" s="55"/>
      <c r="K421" s="17"/>
      <c r="L421" s="336"/>
      <c r="M421" s="253"/>
      <c r="N421" s="253"/>
      <c r="O421" s="253"/>
      <c r="P421" s="253"/>
      <c r="Q421" s="253"/>
      <c r="R421" s="253"/>
      <c r="S421" s="278">
        <f t="shared" si="5"/>
        <v>0</v>
      </c>
      <c r="T421" s="337"/>
      <c r="U421" s="247"/>
      <c r="V421" s="247"/>
      <c r="W421" s="247"/>
      <c r="X421" s="247"/>
      <c r="Y421" s="247"/>
      <c r="Z421" s="331"/>
      <c r="AA421" s="281"/>
      <c r="AB421" s="281"/>
    </row>
    <row r="422" spans="1:239" s="35" customFormat="1" ht="45" customHeight="1" thickBot="1" x14ac:dyDescent="0.3">
      <c r="A422" s="108"/>
      <c r="B422" s="88"/>
      <c r="C422" s="40"/>
      <c r="D422" s="89"/>
      <c r="I422" s="55"/>
      <c r="J422" s="55"/>
      <c r="K422" s="17"/>
      <c r="L422" s="336"/>
      <c r="M422" s="253"/>
      <c r="N422" s="253"/>
      <c r="O422" s="253"/>
      <c r="P422" s="253"/>
      <c r="Q422" s="253"/>
      <c r="R422" s="253"/>
      <c r="S422" s="278">
        <f t="shared" si="5"/>
        <v>0</v>
      </c>
      <c r="T422" s="337"/>
      <c r="U422" s="247"/>
      <c r="V422" s="247"/>
      <c r="W422" s="247"/>
      <c r="X422" s="247"/>
      <c r="Y422" s="247"/>
      <c r="Z422" s="331"/>
      <c r="AA422" s="281"/>
      <c r="AB422" s="281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</row>
    <row r="423" spans="1:239" ht="45" customHeight="1" thickBot="1" x14ac:dyDescent="0.3">
      <c r="J423" s="55"/>
      <c r="K423" s="17"/>
      <c r="L423" s="336"/>
      <c r="M423" s="253"/>
      <c r="N423" s="253"/>
      <c r="O423" s="253"/>
      <c r="P423" s="253"/>
      <c r="Q423" s="253"/>
      <c r="R423" s="253"/>
      <c r="S423" s="278">
        <f t="shared" si="5"/>
        <v>0</v>
      </c>
      <c r="T423" s="337"/>
      <c r="U423" s="247"/>
      <c r="V423" s="247"/>
      <c r="W423" s="247"/>
      <c r="X423" s="247"/>
      <c r="Y423" s="247"/>
      <c r="Z423" s="331"/>
      <c r="AA423" s="281"/>
      <c r="AB423" s="281"/>
    </row>
    <row r="424" spans="1:239" ht="45" customHeight="1" thickBot="1" x14ac:dyDescent="0.3">
      <c r="J424" s="55"/>
      <c r="K424" s="17"/>
      <c r="L424" s="336"/>
      <c r="M424" s="253"/>
      <c r="N424" s="253"/>
      <c r="O424" s="253"/>
      <c r="P424" s="253"/>
      <c r="Q424" s="253"/>
      <c r="R424" s="253"/>
      <c r="S424" s="278">
        <f t="shared" si="5"/>
        <v>0</v>
      </c>
      <c r="T424" s="337"/>
      <c r="U424" s="247"/>
      <c r="V424" s="247"/>
      <c r="W424" s="247"/>
      <c r="X424" s="247"/>
      <c r="Y424" s="247"/>
      <c r="Z424" s="331"/>
      <c r="AA424" s="281"/>
      <c r="AB424" s="281"/>
    </row>
    <row r="425" spans="1:239" ht="45" customHeight="1" thickBot="1" x14ac:dyDescent="0.3">
      <c r="J425" s="55"/>
      <c r="K425" s="17"/>
      <c r="L425" s="336"/>
      <c r="M425" s="253"/>
      <c r="N425" s="253"/>
      <c r="O425" s="253"/>
      <c r="P425" s="253"/>
      <c r="Q425" s="253"/>
      <c r="R425" s="253"/>
      <c r="S425" s="278">
        <f t="shared" si="5"/>
        <v>0</v>
      </c>
      <c r="T425" s="337"/>
      <c r="U425" s="247"/>
      <c r="V425" s="247"/>
      <c r="W425" s="247"/>
      <c r="X425" s="247"/>
      <c r="Y425" s="247"/>
      <c r="Z425" s="331"/>
      <c r="AA425" s="281"/>
      <c r="AB425" s="281"/>
    </row>
    <row r="426" spans="1:239" ht="45" customHeight="1" thickBot="1" x14ac:dyDescent="0.3">
      <c r="J426" s="55"/>
      <c r="K426" s="17"/>
      <c r="L426" s="336"/>
      <c r="M426" s="253"/>
      <c r="N426" s="253"/>
      <c r="O426" s="253"/>
      <c r="P426" s="253"/>
      <c r="Q426" s="253"/>
      <c r="R426" s="253"/>
      <c r="S426" s="278">
        <f t="shared" si="5"/>
        <v>0</v>
      </c>
      <c r="T426" s="337"/>
      <c r="U426" s="247"/>
      <c r="V426" s="247"/>
      <c r="W426" s="247"/>
      <c r="X426" s="247"/>
      <c r="Y426" s="247"/>
      <c r="Z426" s="331"/>
      <c r="AA426" s="281"/>
      <c r="AB426" s="281"/>
    </row>
    <row r="427" spans="1:239" ht="45" customHeight="1" thickBot="1" x14ac:dyDescent="0.3">
      <c r="J427" s="55"/>
      <c r="K427" s="17"/>
      <c r="L427" s="336"/>
      <c r="M427" s="253"/>
      <c r="N427" s="253"/>
      <c r="O427" s="253"/>
      <c r="P427" s="253"/>
      <c r="Q427" s="253"/>
      <c r="R427" s="253"/>
      <c r="S427" s="278">
        <f t="shared" si="5"/>
        <v>0</v>
      </c>
      <c r="T427" s="337"/>
      <c r="U427" s="247"/>
      <c r="V427" s="247"/>
      <c r="W427" s="247"/>
      <c r="X427" s="247"/>
      <c r="Y427" s="247"/>
      <c r="Z427" s="331"/>
      <c r="AA427" s="281"/>
      <c r="AB427" s="281"/>
    </row>
    <row r="428" spans="1:239" ht="45" customHeight="1" thickBot="1" x14ac:dyDescent="0.3">
      <c r="J428" s="55"/>
      <c r="K428" s="17"/>
      <c r="L428" s="336"/>
      <c r="M428" s="253"/>
      <c r="N428" s="253"/>
      <c r="O428" s="253"/>
      <c r="P428" s="253"/>
      <c r="Q428" s="253"/>
      <c r="R428" s="253"/>
      <c r="S428" s="278">
        <f t="shared" si="5"/>
        <v>0</v>
      </c>
      <c r="T428" s="337"/>
      <c r="U428" s="247"/>
      <c r="V428" s="247"/>
      <c r="W428" s="247"/>
      <c r="X428" s="247"/>
      <c r="Y428" s="247"/>
      <c r="Z428" s="331"/>
      <c r="AA428" s="281"/>
      <c r="AB428" s="281"/>
    </row>
    <row r="429" spans="1:239" ht="45" customHeight="1" thickBot="1" x14ac:dyDescent="0.3">
      <c r="J429" s="55"/>
      <c r="K429" s="17"/>
      <c r="L429" s="336"/>
      <c r="M429" s="253"/>
      <c r="N429" s="253"/>
      <c r="O429" s="253"/>
      <c r="P429" s="253"/>
      <c r="Q429" s="253"/>
      <c r="R429" s="253"/>
      <c r="S429" s="278">
        <f t="shared" si="5"/>
        <v>0</v>
      </c>
      <c r="T429" s="337"/>
      <c r="U429" s="247"/>
      <c r="V429" s="247"/>
      <c r="W429" s="247"/>
      <c r="X429" s="247"/>
      <c r="Y429" s="247"/>
      <c r="Z429" s="331"/>
      <c r="AA429" s="281"/>
      <c r="AB429" s="281"/>
    </row>
    <row r="430" spans="1:239" ht="45" customHeight="1" thickBot="1" x14ac:dyDescent="0.3">
      <c r="J430" s="55"/>
      <c r="K430" s="17"/>
      <c r="L430" s="336"/>
      <c r="M430" s="253"/>
      <c r="N430" s="253"/>
      <c r="O430" s="253"/>
      <c r="P430" s="253"/>
      <c r="Q430" s="253"/>
      <c r="R430" s="253"/>
      <c r="S430" s="278">
        <f t="shared" si="5"/>
        <v>0</v>
      </c>
      <c r="T430" s="337"/>
      <c r="U430" s="247"/>
      <c r="V430" s="247"/>
      <c r="W430" s="247"/>
      <c r="X430" s="247"/>
      <c r="Y430" s="247"/>
      <c r="Z430" s="331"/>
      <c r="AA430" s="281"/>
      <c r="AB430" s="281"/>
    </row>
    <row r="431" spans="1:239" ht="45" customHeight="1" thickBot="1" x14ac:dyDescent="0.3">
      <c r="J431" s="55"/>
      <c r="K431" s="17"/>
      <c r="L431" s="336"/>
      <c r="M431" s="253"/>
      <c r="N431" s="253"/>
      <c r="O431" s="253"/>
      <c r="P431" s="253"/>
      <c r="Q431" s="253"/>
      <c r="R431" s="253"/>
      <c r="S431" s="278">
        <f t="shared" si="5"/>
        <v>0</v>
      </c>
      <c r="T431" s="337"/>
      <c r="U431" s="247"/>
      <c r="V431" s="247"/>
      <c r="W431" s="247"/>
      <c r="X431" s="247"/>
      <c r="Y431" s="247"/>
      <c r="Z431" s="331"/>
      <c r="AA431" s="281"/>
      <c r="AB431" s="281"/>
    </row>
    <row r="432" spans="1:239" ht="45" customHeight="1" thickBot="1" x14ac:dyDescent="0.3">
      <c r="J432" s="55"/>
      <c r="K432" s="17"/>
      <c r="L432" s="336"/>
      <c r="M432" s="253"/>
      <c r="N432" s="253"/>
      <c r="O432" s="253"/>
      <c r="P432" s="253"/>
      <c r="Q432" s="253"/>
      <c r="R432" s="253"/>
      <c r="S432" s="278">
        <f t="shared" si="5"/>
        <v>0</v>
      </c>
      <c r="T432" s="337"/>
      <c r="U432" s="247"/>
      <c r="V432" s="247"/>
      <c r="W432" s="247"/>
      <c r="X432" s="247"/>
      <c r="Y432" s="247"/>
      <c r="Z432" s="331"/>
      <c r="AA432" s="281"/>
      <c r="AB432" s="281"/>
    </row>
    <row r="433" spans="10:28" ht="15.75" thickBot="1" x14ac:dyDescent="0.3">
      <c r="J433" s="55"/>
      <c r="K433" s="17"/>
      <c r="L433" s="336"/>
      <c r="M433" s="253"/>
      <c r="N433" s="253"/>
      <c r="O433" s="253"/>
      <c r="P433" s="253"/>
      <c r="Q433" s="253"/>
      <c r="R433" s="253"/>
      <c r="S433" s="278">
        <f t="shared" si="5"/>
        <v>0</v>
      </c>
      <c r="T433" s="337"/>
      <c r="U433" s="247"/>
      <c r="V433" s="247"/>
      <c r="W433" s="247"/>
      <c r="X433" s="247"/>
      <c r="Y433" s="247"/>
      <c r="Z433" s="331"/>
      <c r="AA433" s="281"/>
      <c r="AB433" s="281"/>
    </row>
    <row r="434" spans="10:28" ht="15.75" thickBot="1" x14ac:dyDescent="0.3">
      <c r="J434" s="55"/>
      <c r="K434" s="17"/>
      <c r="L434" s="336"/>
      <c r="M434" s="253"/>
      <c r="N434" s="253"/>
      <c r="O434" s="253"/>
      <c r="P434" s="253"/>
      <c r="Q434" s="253"/>
      <c r="R434" s="253"/>
      <c r="S434" s="278">
        <f t="shared" si="5"/>
        <v>0</v>
      </c>
      <c r="T434" s="337"/>
      <c r="U434" s="247"/>
      <c r="V434" s="247"/>
      <c r="W434" s="247"/>
      <c r="X434" s="247"/>
      <c r="Y434" s="247"/>
      <c r="Z434" s="331"/>
      <c r="AA434" s="281"/>
      <c r="AB434" s="281"/>
    </row>
    <row r="435" spans="10:28" ht="15.75" thickBot="1" x14ac:dyDescent="0.3">
      <c r="J435" s="55"/>
      <c r="K435" s="17"/>
      <c r="L435" s="336"/>
      <c r="M435" s="253"/>
      <c r="N435" s="253"/>
      <c r="O435" s="253"/>
      <c r="P435" s="253"/>
      <c r="Q435" s="253"/>
      <c r="R435" s="253"/>
      <c r="S435" s="278">
        <f t="shared" si="5"/>
        <v>0</v>
      </c>
      <c r="T435" s="337"/>
      <c r="U435" s="247"/>
      <c r="V435" s="247"/>
      <c r="W435" s="247"/>
      <c r="X435" s="247"/>
      <c r="Y435" s="247"/>
      <c r="Z435" s="331"/>
      <c r="AA435" s="281"/>
      <c r="AB435" s="281"/>
    </row>
    <row r="436" spans="10:28" ht="15.75" thickBot="1" x14ac:dyDescent="0.3">
      <c r="J436" s="55"/>
      <c r="K436" s="17"/>
      <c r="L436" s="336"/>
      <c r="M436" s="253"/>
      <c r="N436" s="253"/>
      <c r="O436" s="253"/>
      <c r="P436" s="253"/>
      <c r="Q436" s="253"/>
      <c r="R436" s="253"/>
      <c r="S436" s="278">
        <f t="shared" si="5"/>
        <v>0</v>
      </c>
      <c r="T436" s="337"/>
      <c r="U436" s="247"/>
      <c r="V436" s="247"/>
      <c r="W436" s="247"/>
      <c r="X436" s="247"/>
      <c r="Y436" s="247"/>
      <c r="Z436" s="331"/>
      <c r="AA436" s="281"/>
      <c r="AB436" s="281"/>
    </row>
    <row r="437" spans="10:28" ht="15.75" thickBot="1" x14ac:dyDescent="0.3">
      <c r="J437" s="55"/>
      <c r="K437" s="17"/>
      <c r="L437" s="336"/>
      <c r="M437" s="253"/>
      <c r="N437" s="253"/>
      <c r="O437" s="253"/>
      <c r="P437" s="253"/>
      <c r="Q437" s="253"/>
      <c r="R437" s="253"/>
      <c r="S437" s="278">
        <f t="shared" si="5"/>
        <v>0</v>
      </c>
      <c r="T437" s="337"/>
      <c r="U437" s="247"/>
      <c r="V437" s="247"/>
      <c r="W437" s="247"/>
      <c r="X437" s="247"/>
      <c r="Y437" s="247"/>
      <c r="Z437" s="331"/>
      <c r="AA437" s="281"/>
      <c r="AB437" s="281"/>
    </row>
    <row r="438" spans="10:28" ht="15.75" thickBot="1" x14ac:dyDescent="0.25">
      <c r="J438" s="55"/>
      <c r="K438" s="17"/>
      <c r="L438" s="344"/>
      <c r="M438" s="241"/>
      <c r="N438" s="241"/>
      <c r="O438" s="241"/>
      <c r="P438" s="241"/>
      <c r="Q438" s="241"/>
      <c r="R438" s="241"/>
      <c r="S438" s="278">
        <f t="shared" si="5"/>
        <v>0</v>
      </c>
      <c r="T438" s="345"/>
      <c r="U438" s="244"/>
      <c r="V438" s="244"/>
      <c r="W438" s="244"/>
      <c r="X438" s="244"/>
      <c r="Y438" s="244"/>
      <c r="Z438" s="327"/>
      <c r="AA438" s="274"/>
      <c r="AB438" s="274"/>
    </row>
    <row r="439" spans="10:28" ht="15.75" thickBot="1" x14ac:dyDescent="0.25">
      <c r="L439" s="240"/>
      <c r="M439" s="241"/>
      <c r="N439" s="242"/>
      <c r="O439" s="241"/>
      <c r="P439" s="242"/>
      <c r="Q439" s="241"/>
      <c r="R439" s="242"/>
      <c r="S439" s="278">
        <f t="shared" si="5"/>
        <v>0</v>
      </c>
      <c r="T439" s="230"/>
      <c r="U439" s="243"/>
      <c r="V439" s="244"/>
      <c r="W439" s="243"/>
      <c r="X439" s="296"/>
      <c r="Y439" s="244"/>
    </row>
    <row r="440" spans="10:28" ht="15.75" thickBot="1" x14ac:dyDescent="0.25">
      <c r="L440" s="240"/>
      <c r="M440" s="241"/>
      <c r="N440" s="242"/>
      <c r="O440" s="241"/>
      <c r="P440" s="242"/>
      <c r="Q440" s="241"/>
      <c r="R440" s="242"/>
      <c r="S440" s="278">
        <f t="shared" si="5"/>
        <v>0</v>
      </c>
      <c r="T440" s="230"/>
      <c r="U440" s="243"/>
      <c r="V440" s="244"/>
      <c r="W440" s="243"/>
      <c r="X440" s="296"/>
      <c r="Y440" s="244"/>
    </row>
    <row r="441" spans="10:28" ht="15.75" thickBot="1" x14ac:dyDescent="0.25">
      <c r="L441" s="240"/>
      <c r="M441" s="241"/>
      <c r="N441" s="242"/>
      <c r="O441" s="241"/>
      <c r="P441" s="242"/>
      <c r="Q441" s="241"/>
      <c r="R441" s="242"/>
      <c r="S441" s="278">
        <f t="shared" si="5"/>
        <v>0</v>
      </c>
      <c r="T441" s="230"/>
      <c r="U441" s="243"/>
      <c r="V441" s="244"/>
      <c r="W441" s="243"/>
      <c r="X441" s="296"/>
      <c r="Y441" s="244"/>
    </row>
    <row r="442" spans="10:28" ht="15.75" thickBot="1" x14ac:dyDescent="0.25">
      <c r="L442" s="240"/>
      <c r="M442" s="241"/>
      <c r="N442" s="242"/>
      <c r="O442" s="241"/>
      <c r="P442" s="242"/>
      <c r="Q442" s="241"/>
      <c r="R442" s="242"/>
      <c r="S442" s="278">
        <f t="shared" si="5"/>
        <v>0</v>
      </c>
      <c r="T442" s="230"/>
      <c r="U442" s="243"/>
      <c r="V442" s="244"/>
      <c r="W442" s="243"/>
      <c r="X442" s="296"/>
      <c r="Y442" s="244"/>
    </row>
    <row r="443" spans="10:28" ht="15.75" thickBot="1" x14ac:dyDescent="0.25">
      <c r="L443" s="240"/>
      <c r="M443" s="241"/>
      <c r="N443" s="242"/>
      <c r="O443" s="241"/>
      <c r="P443" s="242"/>
      <c r="Q443" s="241"/>
      <c r="R443" s="242"/>
      <c r="S443" s="278">
        <f t="shared" si="5"/>
        <v>0</v>
      </c>
      <c r="T443" s="230"/>
      <c r="U443" s="243"/>
      <c r="V443" s="244"/>
      <c r="W443" s="243"/>
      <c r="X443" s="296"/>
      <c r="Y443" s="244"/>
    </row>
    <row r="444" spans="10:28" ht="15.75" thickBot="1" x14ac:dyDescent="0.25">
      <c r="L444" s="240"/>
      <c r="M444" s="241"/>
      <c r="N444" s="242"/>
      <c r="O444" s="241"/>
      <c r="P444" s="242"/>
      <c r="Q444" s="241"/>
      <c r="R444" s="242"/>
      <c r="S444" s="278">
        <f t="shared" si="5"/>
        <v>0</v>
      </c>
      <c r="T444" s="230"/>
      <c r="U444" s="243"/>
      <c r="V444" s="244"/>
      <c r="W444" s="243"/>
      <c r="X444" s="296"/>
      <c r="Y444" s="244"/>
    </row>
    <row r="445" spans="10:28" ht="15.75" thickBot="1" x14ac:dyDescent="0.25">
      <c r="L445" s="240"/>
      <c r="M445" s="241"/>
      <c r="N445" s="242"/>
      <c r="O445" s="241"/>
      <c r="P445" s="242"/>
      <c r="Q445" s="241"/>
      <c r="R445" s="242"/>
      <c r="S445" s="278">
        <f t="shared" si="5"/>
        <v>0</v>
      </c>
      <c r="T445" s="230"/>
      <c r="U445" s="243"/>
      <c r="V445" s="244"/>
      <c r="W445" s="243"/>
      <c r="X445" s="296"/>
      <c r="Y445" s="244"/>
    </row>
    <row r="446" spans="10:28" ht="15.75" thickBot="1" x14ac:dyDescent="0.25">
      <c r="L446" s="240"/>
      <c r="M446" s="241"/>
      <c r="N446" s="242"/>
      <c r="O446" s="241"/>
      <c r="P446" s="242"/>
      <c r="Q446" s="241"/>
      <c r="R446" s="242"/>
      <c r="S446" s="278">
        <f t="shared" si="5"/>
        <v>0</v>
      </c>
      <c r="T446" s="230"/>
      <c r="U446" s="243"/>
      <c r="V446" s="244"/>
      <c r="W446" s="243"/>
      <c r="X446" s="296"/>
      <c r="Y446" s="244"/>
    </row>
    <row r="447" spans="10:28" ht="15.75" thickBot="1" x14ac:dyDescent="0.25">
      <c r="L447" s="240"/>
      <c r="M447" s="241"/>
      <c r="N447" s="242"/>
      <c r="O447" s="241"/>
      <c r="P447" s="242"/>
      <c r="Q447" s="241"/>
      <c r="R447" s="242"/>
      <c r="S447" s="278">
        <f t="shared" si="5"/>
        <v>0</v>
      </c>
      <c r="T447" s="230"/>
      <c r="U447" s="243"/>
      <c r="V447" s="244"/>
      <c r="W447" s="243"/>
      <c r="X447" s="296"/>
      <c r="Y447" s="244"/>
    </row>
    <row r="448" spans="10:28" ht="15.75" thickBot="1" x14ac:dyDescent="0.25">
      <c r="L448" s="240"/>
      <c r="M448" s="241"/>
      <c r="N448" s="242"/>
      <c r="O448" s="241"/>
      <c r="P448" s="242"/>
      <c r="Q448" s="241"/>
      <c r="R448" s="242"/>
      <c r="S448" s="278">
        <f t="shared" si="5"/>
        <v>0</v>
      </c>
      <c r="T448" s="230"/>
      <c r="U448" s="243"/>
      <c r="V448" s="244"/>
      <c r="W448" s="243"/>
      <c r="X448" s="296"/>
      <c r="Y448" s="244"/>
    </row>
    <row r="449" spans="11:25" ht="15.75" thickBot="1" x14ac:dyDescent="0.25">
      <c r="L449" s="240"/>
      <c r="M449" s="241"/>
      <c r="N449" s="242"/>
      <c r="O449" s="241"/>
      <c r="P449" s="242"/>
      <c r="Q449" s="241"/>
      <c r="R449" s="242"/>
      <c r="S449" s="278">
        <f t="shared" si="5"/>
        <v>0</v>
      </c>
      <c r="T449" s="230"/>
      <c r="U449" s="243"/>
      <c r="V449" s="244"/>
      <c r="W449" s="243"/>
      <c r="X449" s="296"/>
      <c r="Y449" s="244"/>
    </row>
    <row r="450" spans="11:25" ht="15.75" thickBot="1" x14ac:dyDescent="0.25">
      <c r="L450" s="240"/>
      <c r="M450" s="241"/>
      <c r="N450" s="242"/>
      <c r="O450" s="241"/>
      <c r="P450" s="242"/>
      <c r="Q450" s="241"/>
      <c r="R450" s="242"/>
      <c r="S450" s="278">
        <f t="shared" si="5"/>
        <v>0</v>
      </c>
      <c r="T450" s="230"/>
      <c r="U450" s="243"/>
      <c r="V450" s="244"/>
      <c r="W450" s="243"/>
      <c r="X450" s="296"/>
      <c r="Y450" s="244"/>
    </row>
    <row r="451" spans="11:25" ht="15.75" thickBot="1" x14ac:dyDescent="0.25">
      <c r="L451" s="240"/>
      <c r="M451" s="241"/>
      <c r="N451" s="242"/>
      <c r="O451" s="241"/>
      <c r="P451" s="242"/>
      <c r="Q451" s="241"/>
      <c r="R451" s="242"/>
      <c r="S451" s="278">
        <f t="shared" si="5"/>
        <v>0</v>
      </c>
      <c r="T451" s="230"/>
      <c r="U451" s="243"/>
      <c r="V451" s="244"/>
      <c r="W451" s="243"/>
      <c r="X451" s="296"/>
      <c r="Y451" s="244"/>
    </row>
    <row r="452" spans="11:25" ht="15.75" thickBot="1" x14ac:dyDescent="0.25">
      <c r="L452" s="240"/>
      <c r="M452" s="241"/>
      <c r="N452" s="242"/>
      <c r="O452" s="241"/>
      <c r="P452" s="242"/>
      <c r="Q452" s="241"/>
      <c r="R452" s="242"/>
      <c r="S452" s="278">
        <f t="shared" si="5"/>
        <v>0</v>
      </c>
      <c r="T452" s="230"/>
      <c r="U452" s="243"/>
      <c r="V452" s="244"/>
      <c r="W452" s="243"/>
      <c r="X452" s="296"/>
      <c r="Y452" s="244"/>
    </row>
    <row r="453" spans="11:25" ht="15.75" thickBot="1" x14ac:dyDescent="0.25">
      <c r="K453" s="229"/>
      <c r="L453" s="240"/>
      <c r="M453" s="241"/>
      <c r="N453" s="242"/>
      <c r="O453" s="241"/>
      <c r="P453" s="242"/>
      <c r="Q453" s="241"/>
      <c r="R453" s="242"/>
      <c r="S453" s="278">
        <f t="shared" si="5"/>
        <v>0</v>
      </c>
      <c r="T453" s="230"/>
      <c r="U453" s="243"/>
      <c r="V453" s="244"/>
      <c r="W453" s="243"/>
      <c r="X453" s="296"/>
      <c r="Y453" s="244"/>
    </row>
    <row r="454" spans="11:25" ht="15.75" thickBot="1" x14ac:dyDescent="0.25">
      <c r="K454" s="229"/>
      <c r="L454" s="240"/>
      <c r="M454" s="241"/>
      <c r="N454" s="242"/>
      <c r="O454" s="241"/>
      <c r="P454" s="242"/>
      <c r="Q454" s="241"/>
      <c r="R454" s="242"/>
      <c r="S454" s="278">
        <f t="shared" si="5"/>
        <v>0</v>
      </c>
      <c r="T454" s="230"/>
      <c r="U454" s="243"/>
      <c r="V454" s="244"/>
      <c r="W454" s="243"/>
      <c r="X454" s="296"/>
      <c r="Y454" s="244"/>
    </row>
    <row r="455" spans="11:25" ht="15.75" thickBot="1" x14ac:dyDescent="0.25">
      <c r="K455" s="229"/>
      <c r="L455" s="240"/>
      <c r="M455" s="241"/>
      <c r="N455" s="242"/>
      <c r="O455" s="241"/>
      <c r="P455" s="242"/>
      <c r="Q455" s="241"/>
      <c r="R455" s="242"/>
      <c r="S455" s="278">
        <f t="shared" si="5"/>
        <v>0</v>
      </c>
      <c r="T455" s="230"/>
      <c r="U455" s="243"/>
      <c r="V455" s="244"/>
      <c r="W455" s="243"/>
      <c r="X455" s="296"/>
      <c r="Y455" s="244"/>
    </row>
    <row r="456" spans="11:25" ht="15.75" thickBot="1" x14ac:dyDescent="0.25">
      <c r="K456" s="229"/>
      <c r="L456" s="240"/>
      <c r="M456" s="241"/>
      <c r="N456" s="242"/>
      <c r="O456" s="241"/>
      <c r="P456" s="242"/>
      <c r="Q456" s="241"/>
      <c r="R456" s="242"/>
      <c r="S456" s="278">
        <f t="shared" si="5"/>
        <v>0</v>
      </c>
      <c r="T456" s="230"/>
      <c r="U456" s="243"/>
      <c r="V456" s="244"/>
      <c r="W456" s="243"/>
      <c r="X456" s="296"/>
      <c r="Y456" s="244"/>
    </row>
    <row r="457" spans="11:25" ht="15.75" thickBot="1" x14ac:dyDescent="0.25">
      <c r="K457" s="229"/>
      <c r="L457" s="240"/>
      <c r="M457" s="241"/>
      <c r="N457" s="242"/>
      <c r="O457" s="241"/>
      <c r="P457" s="242"/>
      <c r="Q457" s="241"/>
      <c r="R457" s="242"/>
      <c r="S457" s="278">
        <f t="shared" si="5"/>
        <v>0</v>
      </c>
      <c r="T457" s="230"/>
      <c r="U457" s="243"/>
      <c r="V457" s="244"/>
      <c r="W457" s="243"/>
      <c r="X457" s="296"/>
      <c r="Y457" s="244"/>
    </row>
    <row r="458" spans="11:25" ht="15.75" thickBot="1" x14ac:dyDescent="0.25">
      <c r="K458" s="229"/>
      <c r="L458" s="240"/>
      <c r="M458" s="241"/>
      <c r="N458" s="242"/>
      <c r="O458" s="241"/>
      <c r="P458" s="242"/>
      <c r="Q458" s="241"/>
      <c r="R458" s="242"/>
      <c r="S458" s="278">
        <f t="shared" si="5"/>
        <v>0</v>
      </c>
      <c r="T458" s="230"/>
      <c r="U458" s="243"/>
      <c r="V458" s="244"/>
      <c r="W458" s="243"/>
      <c r="X458" s="296"/>
      <c r="Y458" s="244"/>
    </row>
    <row r="459" spans="11:25" ht="15.75" thickBot="1" x14ac:dyDescent="0.25">
      <c r="K459" s="229"/>
      <c r="L459" s="240"/>
      <c r="M459" s="241"/>
      <c r="N459" s="242"/>
      <c r="O459" s="241"/>
      <c r="P459" s="242"/>
      <c r="Q459" s="241"/>
      <c r="R459" s="242"/>
      <c r="S459" s="278">
        <f t="shared" si="5"/>
        <v>0</v>
      </c>
      <c r="T459" s="230"/>
      <c r="U459" s="243"/>
      <c r="V459" s="244"/>
      <c r="W459" s="243"/>
      <c r="X459" s="296"/>
      <c r="Y459" s="244"/>
    </row>
    <row r="460" spans="11:25" ht="15.75" thickBot="1" x14ac:dyDescent="0.25">
      <c r="K460" s="229"/>
      <c r="L460" s="240"/>
      <c r="M460" s="241"/>
      <c r="N460" s="242"/>
      <c r="O460" s="241"/>
      <c r="P460" s="242"/>
      <c r="Q460" s="241"/>
      <c r="R460" s="242"/>
      <c r="S460" s="278">
        <f t="shared" si="5"/>
        <v>0</v>
      </c>
      <c r="T460" s="230"/>
      <c r="U460" s="243"/>
      <c r="V460" s="244"/>
      <c r="W460" s="243"/>
      <c r="X460" s="296"/>
      <c r="Y460" s="244"/>
    </row>
    <row r="461" spans="11:25" ht="15.75" thickBot="1" x14ac:dyDescent="0.25">
      <c r="K461" s="229"/>
      <c r="L461" s="240"/>
      <c r="M461" s="241"/>
      <c r="N461" s="242"/>
      <c r="O461" s="241"/>
      <c r="P461" s="242"/>
      <c r="Q461" s="241"/>
      <c r="R461" s="242"/>
      <c r="S461" s="278">
        <f t="shared" si="5"/>
        <v>0</v>
      </c>
      <c r="T461" s="230"/>
      <c r="U461" s="243"/>
      <c r="V461" s="244"/>
      <c r="W461" s="243"/>
      <c r="X461" s="296"/>
      <c r="Y461" s="244"/>
    </row>
    <row r="462" spans="11:25" ht="15.75" thickBot="1" x14ac:dyDescent="0.25">
      <c r="K462" s="229"/>
      <c r="L462" s="240"/>
      <c r="M462" s="241"/>
      <c r="N462" s="242"/>
      <c r="O462" s="241"/>
      <c r="P462" s="242"/>
      <c r="Q462" s="241"/>
      <c r="R462" s="242"/>
      <c r="S462" s="278">
        <f t="shared" si="5"/>
        <v>0</v>
      </c>
      <c r="T462" s="230"/>
      <c r="U462" s="243"/>
      <c r="V462" s="244"/>
      <c r="W462" s="243"/>
      <c r="X462" s="296"/>
      <c r="Y462" s="244"/>
    </row>
    <row r="463" spans="11:25" ht="15.75" thickBot="1" x14ac:dyDescent="0.25">
      <c r="K463" s="229"/>
      <c r="L463" s="240"/>
      <c r="M463" s="241"/>
      <c r="N463" s="242"/>
      <c r="O463" s="241"/>
      <c r="P463" s="242"/>
      <c r="Q463" s="241"/>
      <c r="R463" s="242"/>
      <c r="S463" s="278">
        <f t="shared" si="5"/>
        <v>0</v>
      </c>
      <c r="T463" s="230"/>
      <c r="U463" s="243"/>
      <c r="V463" s="244"/>
      <c r="W463" s="243"/>
      <c r="X463" s="296"/>
      <c r="Y463" s="244"/>
    </row>
    <row r="464" spans="11:25" ht="15.75" thickBot="1" x14ac:dyDescent="0.25">
      <c r="K464" s="229"/>
      <c r="L464" s="240"/>
      <c r="M464" s="241"/>
      <c r="N464" s="242"/>
      <c r="O464" s="241"/>
      <c r="P464" s="242"/>
      <c r="Q464" s="241"/>
      <c r="R464" s="242"/>
      <c r="S464" s="278">
        <f t="shared" si="5"/>
        <v>0</v>
      </c>
      <c r="T464" s="230"/>
      <c r="U464" s="243"/>
      <c r="V464" s="244"/>
      <c r="W464" s="243"/>
      <c r="X464" s="296"/>
      <c r="Y464" s="244"/>
    </row>
    <row r="465" spans="11:25" ht="15.75" thickBot="1" x14ac:dyDescent="0.25">
      <c r="K465" s="229"/>
      <c r="L465" s="240"/>
      <c r="M465" s="241"/>
      <c r="N465" s="242"/>
      <c r="O465" s="241"/>
      <c r="P465" s="242"/>
      <c r="Q465" s="241"/>
      <c r="R465" s="242"/>
      <c r="S465" s="278">
        <f t="shared" si="5"/>
        <v>0</v>
      </c>
      <c r="T465" s="230"/>
      <c r="U465" s="243"/>
      <c r="V465" s="244"/>
      <c r="W465" s="243"/>
      <c r="X465" s="296"/>
      <c r="Y465" s="244"/>
    </row>
    <row r="466" spans="11:25" ht="15.75" thickBot="1" x14ac:dyDescent="0.25">
      <c r="K466" s="229"/>
      <c r="L466" s="240"/>
      <c r="M466" s="241"/>
      <c r="N466" s="242"/>
      <c r="O466" s="241"/>
      <c r="P466" s="242"/>
      <c r="Q466" s="241"/>
      <c r="R466" s="242"/>
      <c r="S466" s="278">
        <f t="shared" si="5"/>
        <v>0</v>
      </c>
      <c r="T466" s="230"/>
      <c r="U466" s="243"/>
      <c r="V466" s="244"/>
      <c r="W466" s="243"/>
      <c r="X466" s="296"/>
      <c r="Y466" s="244"/>
    </row>
    <row r="467" spans="11:25" ht="15.75" thickBot="1" x14ac:dyDescent="0.25">
      <c r="K467" s="229"/>
      <c r="L467" s="240"/>
      <c r="M467" s="241"/>
      <c r="N467" s="242"/>
      <c r="O467" s="241"/>
      <c r="P467" s="242"/>
      <c r="Q467" s="241"/>
      <c r="R467" s="242"/>
      <c r="S467" s="278">
        <f t="shared" si="5"/>
        <v>0</v>
      </c>
      <c r="T467" s="230"/>
      <c r="U467" s="243"/>
      <c r="V467" s="244"/>
      <c r="W467" s="243"/>
      <c r="X467" s="296"/>
      <c r="Y467" s="244"/>
    </row>
    <row r="468" spans="11:25" ht="15.75" thickBot="1" x14ac:dyDescent="0.25">
      <c r="K468" s="229"/>
      <c r="L468" s="240"/>
      <c r="M468" s="241"/>
      <c r="N468" s="242"/>
      <c r="O468" s="241"/>
      <c r="P468" s="242"/>
      <c r="Q468" s="241"/>
      <c r="R468" s="242"/>
      <c r="S468" s="278">
        <f t="shared" si="5"/>
        <v>0</v>
      </c>
      <c r="T468" s="230"/>
      <c r="U468" s="243"/>
      <c r="V468" s="244"/>
      <c r="W468" s="243"/>
      <c r="X468" s="296"/>
      <c r="Y468" s="244"/>
    </row>
    <row r="469" spans="11:25" ht="15.75" thickBot="1" x14ac:dyDescent="0.25">
      <c r="K469" s="229"/>
      <c r="L469" s="240"/>
      <c r="M469" s="241"/>
      <c r="N469" s="242"/>
      <c r="O469" s="241"/>
      <c r="P469" s="242"/>
      <c r="Q469" s="241"/>
      <c r="R469" s="242"/>
      <c r="S469" s="278">
        <f t="shared" si="5"/>
        <v>0</v>
      </c>
      <c r="T469" s="230"/>
      <c r="U469" s="243"/>
      <c r="V469" s="244"/>
      <c r="W469" s="243"/>
      <c r="X469" s="296"/>
      <c r="Y469" s="244"/>
    </row>
    <row r="470" spans="11:25" ht="15.75" thickBot="1" x14ac:dyDescent="0.25">
      <c r="K470" s="229"/>
      <c r="L470" s="240"/>
      <c r="M470" s="241"/>
      <c r="N470" s="242"/>
      <c r="O470" s="241"/>
      <c r="P470" s="242"/>
      <c r="Q470" s="241"/>
      <c r="R470" s="242"/>
      <c r="S470" s="278">
        <f t="shared" si="5"/>
        <v>0</v>
      </c>
      <c r="T470" s="230"/>
      <c r="U470" s="243"/>
      <c r="V470" s="244"/>
      <c r="W470" s="243"/>
      <c r="X470" s="296"/>
      <c r="Y470" s="244"/>
    </row>
    <row r="471" spans="11:25" ht="15.75" thickBot="1" x14ac:dyDescent="0.25">
      <c r="K471" s="229"/>
      <c r="L471" s="240"/>
      <c r="M471" s="241"/>
      <c r="N471" s="242"/>
      <c r="O471" s="241"/>
      <c r="P471" s="242"/>
      <c r="Q471" s="241"/>
      <c r="R471" s="242"/>
      <c r="S471" s="278">
        <f t="shared" si="5"/>
        <v>0</v>
      </c>
      <c r="T471" s="230"/>
      <c r="U471" s="243"/>
      <c r="V471" s="244"/>
      <c r="W471" s="243"/>
      <c r="X471" s="296"/>
      <c r="Y471" s="244"/>
    </row>
    <row r="472" spans="11:25" ht="15.75" thickBot="1" x14ac:dyDescent="0.25">
      <c r="K472" s="229"/>
      <c r="L472" s="240"/>
      <c r="M472" s="241"/>
      <c r="N472" s="242"/>
      <c r="O472" s="241"/>
      <c r="P472" s="242"/>
      <c r="Q472" s="241"/>
      <c r="R472" s="242"/>
      <c r="S472" s="278">
        <f t="shared" si="5"/>
        <v>0</v>
      </c>
      <c r="T472" s="230"/>
      <c r="U472" s="243"/>
      <c r="V472" s="244"/>
      <c r="W472" s="243"/>
      <c r="X472" s="296"/>
      <c r="Y472" s="244"/>
    </row>
    <row r="473" spans="11:25" ht="15.75" thickBot="1" x14ac:dyDescent="0.25">
      <c r="K473" s="229"/>
      <c r="L473" s="240"/>
      <c r="M473" s="241"/>
      <c r="N473" s="242"/>
      <c r="O473" s="241"/>
      <c r="P473" s="242"/>
      <c r="Q473" s="241"/>
      <c r="R473" s="242"/>
      <c r="S473" s="278">
        <f t="shared" si="5"/>
        <v>0</v>
      </c>
      <c r="T473" s="230"/>
      <c r="U473" s="243"/>
      <c r="V473" s="244"/>
      <c r="W473" s="243"/>
      <c r="X473" s="296"/>
      <c r="Y473" s="244"/>
    </row>
    <row r="474" spans="11:25" ht="15.75" thickBot="1" x14ac:dyDescent="0.25">
      <c r="K474" s="229"/>
      <c r="L474" s="240"/>
      <c r="M474" s="241"/>
      <c r="N474" s="242"/>
      <c r="O474" s="241"/>
      <c r="P474" s="242"/>
      <c r="Q474" s="241"/>
      <c r="R474" s="242"/>
      <c r="S474" s="278">
        <f t="shared" si="5"/>
        <v>0</v>
      </c>
      <c r="T474" s="230"/>
      <c r="U474" s="243"/>
      <c r="V474" s="244"/>
      <c r="W474" s="243"/>
      <c r="X474" s="296"/>
      <c r="Y474" s="244"/>
    </row>
    <row r="475" spans="11:25" ht="15.75" thickBot="1" x14ac:dyDescent="0.25">
      <c r="L475" s="240"/>
      <c r="M475" s="241"/>
      <c r="N475" s="242"/>
      <c r="O475" s="241"/>
      <c r="P475" s="242"/>
      <c r="Q475" s="241"/>
      <c r="R475" s="242"/>
      <c r="S475" s="278">
        <f t="shared" si="5"/>
        <v>0</v>
      </c>
      <c r="T475" s="230"/>
      <c r="U475" s="243"/>
      <c r="V475" s="244"/>
      <c r="W475" s="243"/>
      <c r="X475" s="296"/>
      <c r="Y475" s="244"/>
    </row>
    <row r="476" spans="11:25" ht="15.75" thickBot="1" x14ac:dyDescent="0.25">
      <c r="K476" s="229"/>
      <c r="L476" s="240"/>
      <c r="M476" s="241"/>
      <c r="N476" s="242"/>
      <c r="O476" s="241"/>
      <c r="P476" s="242"/>
      <c r="Q476" s="241"/>
      <c r="R476" s="242"/>
      <c r="S476" s="278">
        <f t="shared" si="5"/>
        <v>0</v>
      </c>
      <c r="T476" s="230"/>
      <c r="U476" s="243"/>
      <c r="V476" s="244"/>
      <c r="W476" s="243"/>
      <c r="X476" s="296"/>
      <c r="Y476" s="244"/>
    </row>
    <row r="477" spans="11:25" ht="15.75" thickBot="1" x14ac:dyDescent="0.25">
      <c r="K477" s="229"/>
      <c r="L477" s="240"/>
      <c r="M477" s="241"/>
      <c r="N477" s="242"/>
      <c r="O477" s="241"/>
      <c r="P477" s="242"/>
      <c r="Q477" s="241"/>
      <c r="R477" s="242"/>
      <c r="S477" s="278">
        <f t="shared" si="5"/>
        <v>0</v>
      </c>
      <c r="T477" s="230"/>
      <c r="U477" s="243"/>
      <c r="V477" s="244"/>
      <c r="W477" s="243"/>
      <c r="X477" s="296"/>
      <c r="Y477" s="244"/>
    </row>
    <row r="478" spans="11:25" ht="15.75" thickBot="1" x14ac:dyDescent="0.25">
      <c r="L478" s="240"/>
      <c r="M478" s="241"/>
      <c r="N478" s="242"/>
      <c r="O478" s="241"/>
      <c r="P478" s="242"/>
      <c r="Q478" s="241"/>
      <c r="R478" s="242"/>
      <c r="S478" s="278">
        <f t="shared" si="5"/>
        <v>0</v>
      </c>
      <c r="T478" s="230"/>
      <c r="U478" s="243"/>
      <c r="V478" s="244"/>
      <c r="W478" s="243"/>
      <c r="X478" s="296"/>
      <c r="Y478" s="244"/>
    </row>
    <row r="479" spans="11:25" ht="15.75" thickBot="1" x14ac:dyDescent="0.25">
      <c r="L479" s="240"/>
      <c r="M479" s="241"/>
      <c r="N479" s="242"/>
      <c r="O479" s="241"/>
      <c r="P479" s="242"/>
      <c r="Q479" s="241"/>
      <c r="R479" s="242"/>
      <c r="S479" s="278">
        <f t="shared" si="5"/>
        <v>0</v>
      </c>
      <c r="T479" s="230"/>
      <c r="U479" s="243"/>
      <c r="V479" s="244"/>
      <c r="W479" s="243"/>
      <c r="X479" s="296"/>
      <c r="Y479" s="244"/>
    </row>
    <row r="480" spans="11:25" ht="15.75" thickBot="1" x14ac:dyDescent="0.25">
      <c r="L480" s="240"/>
      <c r="M480" s="241"/>
      <c r="N480" s="242"/>
      <c r="O480" s="241"/>
      <c r="P480" s="242"/>
      <c r="Q480" s="241"/>
      <c r="R480" s="242"/>
      <c r="S480" s="278">
        <f t="shared" si="5"/>
        <v>0</v>
      </c>
      <c r="T480" s="230"/>
      <c r="U480" s="243"/>
      <c r="V480" s="244"/>
      <c r="W480" s="243"/>
      <c r="X480" s="296"/>
      <c r="Y480" s="244"/>
    </row>
    <row r="481" spans="11:25" ht="15.75" thickBot="1" x14ac:dyDescent="0.25">
      <c r="L481" s="240"/>
      <c r="M481" s="241"/>
      <c r="N481" s="242"/>
      <c r="O481" s="241"/>
      <c r="P481" s="242"/>
      <c r="Q481" s="241"/>
      <c r="R481" s="242"/>
      <c r="S481" s="278">
        <f t="shared" si="5"/>
        <v>0</v>
      </c>
      <c r="T481" s="230"/>
      <c r="U481" s="243"/>
      <c r="V481" s="244"/>
      <c r="W481" s="243"/>
      <c r="X481" s="296"/>
      <c r="Y481" s="244"/>
    </row>
    <row r="482" spans="11:25" ht="15.75" thickBot="1" x14ac:dyDescent="0.25">
      <c r="L482" s="240"/>
      <c r="M482" s="241"/>
      <c r="N482" s="242"/>
      <c r="O482" s="241"/>
      <c r="P482" s="242"/>
      <c r="Q482" s="241"/>
      <c r="R482" s="242"/>
      <c r="S482" s="278">
        <f t="shared" si="5"/>
        <v>0</v>
      </c>
      <c r="T482" s="230"/>
      <c r="U482" s="243"/>
      <c r="V482" s="244"/>
      <c r="W482" s="243"/>
      <c r="X482" s="296"/>
      <c r="Y482" s="244"/>
    </row>
    <row r="483" spans="11:25" ht="15.75" thickBot="1" x14ac:dyDescent="0.25">
      <c r="L483" s="240"/>
      <c r="M483" s="241"/>
      <c r="N483" s="242"/>
      <c r="O483" s="241"/>
      <c r="P483" s="242"/>
      <c r="Q483" s="241"/>
      <c r="R483" s="242"/>
      <c r="S483" s="278">
        <f t="shared" ref="S483:S546" si="6">SUM(L483:R483)</f>
        <v>0</v>
      </c>
      <c r="T483" s="230"/>
      <c r="U483" s="243"/>
      <c r="V483" s="244"/>
      <c r="W483" s="243"/>
      <c r="X483" s="296"/>
      <c r="Y483" s="244"/>
    </row>
    <row r="484" spans="11:25" ht="15.75" thickBot="1" x14ac:dyDescent="0.25">
      <c r="L484" s="240"/>
      <c r="M484" s="241"/>
      <c r="N484" s="242"/>
      <c r="O484" s="241"/>
      <c r="P484" s="242"/>
      <c r="Q484" s="241"/>
      <c r="R484" s="242"/>
      <c r="S484" s="278">
        <f t="shared" si="6"/>
        <v>0</v>
      </c>
      <c r="T484" s="230"/>
      <c r="U484" s="243"/>
      <c r="V484" s="244"/>
      <c r="W484" s="243"/>
      <c r="X484" s="296"/>
      <c r="Y484" s="244"/>
    </row>
    <row r="485" spans="11:25" ht="15.75" thickBot="1" x14ac:dyDescent="0.25">
      <c r="L485" s="240"/>
      <c r="M485" s="241"/>
      <c r="N485" s="242"/>
      <c r="O485" s="241"/>
      <c r="P485" s="242"/>
      <c r="Q485" s="241"/>
      <c r="R485" s="242"/>
      <c r="S485" s="278">
        <f t="shared" si="6"/>
        <v>0</v>
      </c>
      <c r="T485" s="230"/>
      <c r="U485" s="243"/>
      <c r="V485" s="244"/>
      <c r="W485" s="243"/>
      <c r="X485" s="296"/>
      <c r="Y485" s="244"/>
    </row>
    <row r="486" spans="11:25" ht="15.75" thickBot="1" x14ac:dyDescent="0.25">
      <c r="L486" s="240"/>
      <c r="M486" s="241"/>
      <c r="N486" s="242"/>
      <c r="O486" s="241"/>
      <c r="P486" s="242"/>
      <c r="Q486" s="241"/>
      <c r="R486" s="242"/>
      <c r="S486" s="278">
        <f t="shared" si="6"/>
        <v>0</v>
      </c>
      <c r="T486" s="230"/>
      <c r="U486" s="243"/>
      <c r="V486" s="244"/>
      <c r="W486" s="243"/>
      <c r="X486" s="296"/>
      <c r="Y486" s="244"/>
    </row>
    <row r="487" spans="11:25" ht="15.75" thickBot="1" x14ac:dyDescent="0.25">
      <c r="L487" s="240"/>
      <c r="M487" s="241"/>
      <c r="N487" s="242"/>
      <c r="O487" s="241"/>
      <c r="P487" s="242"/>
      <c r="Q487" s="241"/>
      <c r="R487" s="242"/>
      <c r="S487" s="278">
        <f t="shared" si="6"/>
        <v>0</v>
      </c>
      <c r="T487" s="230"/>
      <c r="U487" s="243"/>
      <c r="V487" s="244"/>
      <c r="W487" s="243"/>
      <c r="X487" s="296"/>
      <c r="Y487" s="244"/>
    </row>
    <row r="488" spans="11:25" ht="15.75" thickBot="1" x14ac:dyDescent="0.25">
      <c r="L488" s="240"/>
      <c r="M488" s="241"/>
      <c r="N488" s="242"/>
      <c r="O488" s="241"/>
      <c r="P488" s="242"/>
      <c r="Q488" s="241"/>
      <c r="R488" s="242"/>
      <c r="S488" s="278">
        <f t="shared" si="6"/>
        <v>0</v>
      </c>
      <c r="T488" s="230"/>
      <c r="U488" s="243"/>
      <c r="V488" s="244"/>
      <c r="W488" s="243"/>
      <c r="X488" s="296"/>
      <c r="Y488" s="244"/>
    </row>
    <row r="489" spans="11:25" ht="15.75" thickBot="1" x14ac:dyDescent="0.25">
      <c r="L489" s="240"/>
      <c r="M489" s="241"/>
      <c r="N489" s="242"/>
      <c r="O489" s="241"/>
      <c r="P489" s="242"/>
      <c r="Q489" s="241"/>
      <c r="R489" s="242"/>
      <c r="S489" s="278">
        <f t="shared" si="6"/>
        <v>0</v>
      </c>
      <c r="T489" s="230"/>
      <c r="U489" s="243"/>
      <c r="V489" s="244"/>
      <c r="W489" s="243"/>
      <c r="X489" s="296"/>
      <c r="Y489" s="244"/>
    </row>
    <row r="490" spans="11:25" ht="15.75" thickBot="1" x14ac:dyDescent="0.25">
      <c r="L490" s="240"/>
      <c r="M490" s="241"/>
      <c r="N490" s="242"/>
      <c r="O490" s="241"/>
      <c r="P490" s="242"/>
      <c r="Q490" s="241"/>
      <c r="R490" s="242"/>
      <c r="S490" s="278">
        <f t="shared" si="6"/>
        <v>0</v>
      </c>
      <c r="T490" s="230"/>
      <c r="U490" s="243"/>
      <c r="V490" s="244"/>
      <c r="W490" s="243"/>
      <c r="X490" s="296"/>
      <c r="Y490" s="244"/>
    </row>
    <row r="491" spans="11:25" ht="15.75" thickBot="1" x14ac:dyDescent="0.25">
      <c r="L491" s="240"/>
      <c r="M491" s="241"/>
      <c r="N491" s="242"/>
      <c r="O491" s="241"/>
      <c r="P491" s="242"/>
      <c r="Q491" s="241"/>
      <c r="R491" s="242"/>
      <c r="S491" s="278">
        <f t="shared" si="6"/>
        <v>0</v>
      </c>
      <c r="T491" s="230"/>
      <c r="U491" s="243"/>
      <c r="V491" s="244"/>
      <c r="W491" s="243"/>
      <c r="X491" s="296"/>
      <c r="Y491" s="244"/>
    </row>
    <row r="492" spans="11:25" ht="15.75" thickBot="1" x14ac:dyDescent="0.25">
      <c r="L492" s="240"/>
      <c r="M492" s="241"/>
      <c r="N492" s="242"/>
      <c r="O492" s="241"/>
      <c r="P492" s="242"/>
      <c r="Q492" s="241"/>
      <c r="R492" s="242"/>
      <c r="S492" s="278">
        <f t="shared" si="6"/>
        <v>0</v>
      </c>
      <c r="T492" s="230"/>
      <c r="U492" s="243"/>
      <c r="V492" s="244"/>
      <c r="W492" s="243"/>
      <c r="X492" s="296"/>
      <c r="Y492" s="244"/>
    </row>
    <row r="493" spans="11:25" ht="15.75" thickBot="1" x14ac:dyDescent="0.25">
      <c r="L493" s="240"/>
      <c r="M493" s="241"/>
      <c r="N493" s="242"/>
      <c r="O493" s="241"/>
      <c r="P493" s="242"/>
      <c r="Q493" s="241"/>
      <c r="R493" s="242"/>
      <c r="S493" s="278">
        <f t="shared" si="6"/>
        <v>0</v>
      </c>
      <c r="T493" s="230"/>
      <c r="U493" s="243"/>
      <c r="V493" s="244"/>
      <c r="W493" s="243"/>
      <c r="X493" s="296"/>
      <c r="Y493" s="244"/>
    </row>
    <row r="494" spans="11:25" ht="15.75" thickBot="1" x14ac:dyDescent="0.25">
      <c r="L494" s="240"/>
      <c r="M494" s="241"/>
      <c r="N494" s="242"/>
      <c r="O494" s="241"/>
      <c r="P494" s="242"/>
      <c r="Q494" s="241"/>
      <c r="R494" s="242"/>
      <c r="S494" s="278">
        <f t="shared" si="6"/>
        <v>0</v>
      </c>
      <c r="T494" s="230"/>
      <c r="U494" s="243"/>
      <c r="V494" s="244"/>
      <c r="W494" s="243"/>
      <c r="X494" s="296"/>
      <c r="Y494" s="244"/>
    </row>
    <row r="495" spans="11:25" ht="15.75" thickBot="1" x14ac:dyDescent="0.25">
      <c r="L495" s="240"/>
      <c r="M495" s="241"/>
      <c r="N495" s="242"/>
      <c r="O495" s="241"/>
      <c r="P495" s="242"/>
      <c r="Q495" s="241"/>
      <c r="R495" s="242"/>
      <c r="S495" s="278">
        <f t="shared" si="6"/>
        <v>0</v>
      </c>
      <c r="T495" s="230"/>
      <c r="U495" s="243"/>
      <c r="V495" s="244"/>
      <c r="W495" s="243"/>
      <c r="X495" s="296"/>
      <c r="Y495" s="244"/>
    </row>
    <row r="496" spans="11:25" ht="15.75" thickBot="1" x14ac:dyDescent="0.25">
      <c r="K496" s="229"/>
      <c r="L496" s="240"/>
      <c r="M496" s="241"/>
      <c r="N496" s="242"/>
      <c r="O496" s="241"/>
      <c r="P496" s="242"/>
      <c r="Q496" s="241"/>
      <c r="R496" s="242"/>
      <c r="S496" s="278">
        <f t="shared" si="6"/>
        <v>0</v>
      </c>
      <c r="T496" s="230"/>
      <c r="U496" s="243"/>
      <c r="V496" s="244"/>
      <c r="W496" s="243"/>
      <c r="X496" s="296"/>
      <c r="Y496" s="244"/>
    </row>
    <row r="497" spans="11:25" ht="15.75" thickBot="1" x14ac:dyDescent="0.25">
      <c r="K497" s="229"/>
      <c r="L497" s="240"/>
      <c r="M497" s="241"/>
      <c r="N497" s="242"/>
      <c r="O497" s="241"/>
      <c r="P497" s="242"/>
      <c r="Q497" s="241"/>
      <c r="R497" s="242"/>
      <c r="S497" s="278">
        <f t="shared" si="6"/>
        <v>0</v>
      </c>
      <c r="T497" s="230"/>
      <c r="U497" s="243"/>
      <c r="V497" s="244"/>
      <c r="W497" s="243"/>
      <c r="X497" s="296"/>
      <c r="Y497" s="244"/>
    </row>
    <row r="498" spans="11:25" ht="15.75" thickBot="1" x14ac:dyDescent="0.25">
      <c r="L498" s="240"/>
      <c r="M498" s="241"/>
      <c r="N498" s="242"/>
      <c r="O498" s="241"/>
      <c r="P498" s="242"/>
      <c r="Q498" s="241"/>
      <c r="R498" s="242"/>
      <c r="S498" s="278">
        <f t="shared" si="6"/>
        <v>0</v>
      </c>
      <c r="T498" s="230"/>
      <c r="U498" s="243"/>
      <c r="V498" s="244"/>
      <c r="W498" s="243"/>
      <c r="X498" s="296"/>
      <c r="Y498" s="244"/>
    </row>
    <row r="499" spans="11:25" ht="15.75" thickBot="1" x14ac:dyDescent="0.25">
      <c r="L499" s="240"/>
      <c r="M499" s="241"/>
      <c r="N499" s="242"/>
      <c r="O499" s="241"/>
      <c r="P499" s="242"/>
      <c r="Q499" s="241"/>
      <c r="R499" s="242"/>
      <c r="S499" s="278">
        <f t="shared" si="6"/>
        <v>0</v>
      </c>
      <c r="T499" s="230"/>
      <c r="U499" s="243"/>
      <c r="V499" s="244"/>
      <c r="W499" s="243"/>
      <c r="X499" s="296"/>
      <c r="Y499" s="244"/>
    </row>
    <row r="500" spans="11:25" ht="15.75" thickBot="1" x14ac:dyDescent="0.25">
      <c r="L500" s="240"/>
      <c r="M500" s="241"/>
      <c r="N500" s="242"/>
      <c r="O500" s="241"/>
      <c r="P500" s="242"/>
      <c r="Q500" s="241"/>
      <c r="R500" s="242"/>
      <c r="S500" s="278">
        <f t="shared" si="6"/>
        <v>0</v>
      </c>
      <c r="T500" s="230"/>
      <c r="U500" s="243"/>
      <c r="V500" s="244"/>
      <c r="W500" s="243"/>
      <c r="X500" s="296"/>
      <c r="Y500" s="244"/>
    </row>
    <row r="501" spans="11:25" ht="15.75" thickBot="1" x14ac:dyDescent="0.25">
      <c r="K501" s="230"/>
      <c r="L501" s="240"/>
      <c r="M501" s="241"/>
      <c r="N501" s="242"/>
      <c r="O501" s="241"/>
      <c r="P501" s="242"/>
      <c r="Q501" s="241"/>
      <c r="R501" s="242"/>
      <c r="S501" s="278">
        <f t="shared" si="6"/>
        <v>0</v>
      </c>
      <c r="T501" s="230"/>
      <c r="U501" s="243"/>
      <c r="V501" s="244"/>
      <c r="W501" s="243"/>
      <c r="X501" s="296"/>
      <c r="Y501" s="244"/>
    </row>
    <row r="502" spans="11:25" ht="15.75" thickBot="1" x14ac:dyDescent="0.25">
      <c r="L502" s="240"/>
      <c r="M502" s="241"/>
      <c r="N502" s="242"/>
      <c r="O502" s="241"/>
      <c r="P502" s="242"/>
      <c r="Q502" s="241"/>
      <c r="R502" s="242"/>
      <c r="S502" s="278">
        <f t="shared" si="6"/>
        <v>0</v>
      </c>
      <c r="T502" s="230"/>
      <c r="U502" s="243"/>
      <c r="V502" s="244"/>
      <c r="W502" s="243"/>
      <c r="X502" s="296"/>
      <c r="Y502" s="244"/>
    </row>
    <row r="503" spans="11:25" ht="15.75" thickBot="1" x14ac:dyDescent="0.25">
      <c r="L503" s="240"/>
      <c r="M503" s="241"/>
      <c r="N503" s="242"/>
      <c r="O503" s="241"/>
      <c r="P503" s="242"/>
      <c r="Q503" s="241"/>
      <c r="R503" s="242"/>
      <c r="S503" s="278">
        <f t="shared" si="6"/>
        <v>0</v>
      </c>
      <c r="T503" s="230"/>
      <c r="U503" s="243"/>
      <c r="V503" s="244"/>
      <c r="W503" s="243"/>
      <c r="X503" s="296"/>
      <c r="Y503" s="244"/>
    </row>
    <row r="504" spans="11:25" ht="15.75" thickBot="1" x14ac:dyDescent="0.25">
      <c r="L504" s="240"/>
      <c r="M504" s="241"/>
      <c r="N504" s="242"/>
      <c r="O504" s="241"/>
      <c r="P504" s="242"/>
      <c r="Q504" s="241"/>
      <c r="R504" s="242"/>
      <c r="S504" s="278">
        <f t="shared" si="6"/>
        <v>0</v>
      </c>
      <c r="T504" s="230"/>
      <c r="U504" s="243"/>
      <c r="V504" s="244"/>
      <c r="W504" s="243"/>
      <c r="X504" s="296"/>
      <c r="Y504" s="244"/>
    </row>
    <row r="505" spans="11:25" ht="15.75" thickBot="1" x14ac:dyDescent="0.25">
      <c r="L505" s="240"/>
      <c r="M505" s="241"/>
      <c r="N505" s="242"/>
      <c r="O505" s="241"/>
      <c r="P505" s="242"/>
      <c r="Q505" s="241"/>
      <c r="R505" s="242"/>
      <c r="S505" s="278">
        <f t="shared" si="6"/>
        <v>0</v>
      </c>
      <c r="T505" s="230"/>
      <c r="U505" s="243"/>
      <c r="V505" s="244"/>
      <c r="W505" s="243"/>
      <c r="X505" s="296"/>
      <c r="Y505" s="244"/>
    </row>
    <row r="506" spans="11:25" ht="15.75" thickBot="1" x14ac:dyDescent="0.25">
      <c r="L506" s="240"/>
      <c r="M506" s="241"/>
      <c r="N506" s="242"/>
      <c r="O506" s="241"/>
      <c r="P506" s="242"/>
      <c r="Q506" s="241"/>
      <c r="R506" s="242"/>
      <c r="S506" s="278">
        <f t="shared" si="6"/>
        <v>0</v>
      </c>
      <c r="T506" s="230"/>
      <c r="U506" s="243"/>
      <c r="V506" s="244"/>
      <c r="W506" s="243"/>
      <c r="X506" s="296"/>
      <c r="Y506" s="244"/>
    </row>
    <row r="507" spans="11:25" ht="15.75" thickBot="1" x14ac:dyDescent="0.25">
      <c r="L507" s="240"/>
      <c r="M507" s="241"/>
      <c r="N507" s="242"/>
      <c r="O507" s="241"/>
      <c r="P507" s="242"/>
      <c r="Q507" s="241"/>
      <c r="R507" s="242"/>
      <c r="S507" s="278">
        <f t="shared" si="6"/>
        <v>0</v>
      </c>
      <c r="T507" s="230"/>
      <c r="U507" s="243"/>
      <c r="V507" s="244"/>
      <c r="W507" s="243"/>
      <c r="X507" s="296"/>
      <c r="Y507" s="244"/>
    </row>
    <row r="508" spans="11:25" ht="15.75" thickBot="1" x14ac:dyDescent="0.25">
      <c r="L508" s="240"/>
      <c r="M508" s="241"/>
      <c r="N508" s="242"/>
      <c r="O508" s="241"/>
      <c r="P508" s="242"/>
      <c r="Q508" s="241"/>
      <c r="R508" s="242"/>
      <c r="S508" s="278">
        <f t="shared" si="6"/>
        <v>0</v>
      </c>
      <c r="T508" s="230"/>
      <c r="U508" s="243"/>
      <c r="V508" s="244"/>
      <c r="W508" s="243"/>
      <c r="X508" s="296"/>
      <c r="Y508" s="244"/>
    </row>
    <row r="509" spans="11:25" ht="15.75" thickBot="1" x14ac:dyDescent="0.25">
      <c r="L509" s="240"/>
      <c r="M509" s="241"/>
      <c r="N509" s="242"/>
      <c r="O509" s="241"/>
      <c r="P509" s="242"/>
      <c r="Q509" s="241"/>
      <c r="R509" s="242"/>
      <c r="S509" s="278">
        <f t="shared" si="6"/>
        <v>0</v>
      </c>
      <c r="T509" s="230"/>
      <c r="U509" s="243"/>
      <c r="V509" s="244"/>
      <c r="W509" s="243"/>
      <c r="X509" s="296"/>
      <c r="Y509" s="244"/>
    </row>
    <row r="510" spans="11:25" ht="15.75" thickBot="1" x14ac:dyDescent="0.25">
      <c r="L510" s="240"/>
      <c r="M510" s="241"/>
      <c r="N510" s="242"/>
      <c r="O510" s="241"/>
      <c r="P510" s="242"/>
      <c r="Q510" s="241"/>
      <c r="R510" s="242"/>
      <c r="S510" s="278">
        <f t="shared" si="6"/>
        <v>0</v>
      </c>
      <c r="T510" s="230"/>
      <c r="U510" s="243"/>
      <c r="V510" s="244"/>
      <c r="W510" s="243"/>
      <c r="X510" s="296"/>
      <c r="Y510" s="244"/>
    </row>
    <row r="511" spans="11:25" ht="15.75" thickBot="1" x14ac:dyDescent="0.25">
      <c r="L511" s="240"/>
      <c r="M511" s="241"/>
      <c r="N511" s="242"/>
      <c r="O511" s="241"/>
      <c r="P511" s="242"/>
      <c r="Q511" s="241"/>
      <c r="R511" s="242"/>
      <c r="S511" s="278">
        <f t="shared" si="6"/>
        <v>0</v>
      </c>
      <c r="T511" s="230"/>
      <c r="U511" s="243"/>
      <c r="V511" s="244"/>
      <c r="W511" s="243"/>
      <c r="X511" s="296"/>
      <c r="Y511" s="244"/>
    </row>
    <row r="512" spans="11:25" ht="15.75" thickBot="1" x14ac:dyDescent="0.25">
      <c r="L512" s="240"/>
      <c r="M512" s="241"/>
      <c r="N512" s="242"/>
      <c r="O512" s="241"/>
      <c r="P512" s="242"/>
      <c r="Q512" s="241"/>
      <c r="R512" s="242"/>
      <c r="S512" s="278">
        <f t="shared" si="6"/>
        <v>0</v>
      </c>
      <c r="T512" s="230"/>
      <c r="U512" s="243"/>
      <c r="V512" s="244"/>
      <c r="W512" s="243"/>
      <c r="X512" s="296"/>
      <c r="Y512" s="244"/>
    </row>
    <row r="513" spans="12:25" ht="15.75" thickBot="1" x14ac:dyDescent="0.25">
      <c r="L513" s="240"/>
      <c r="M513" s="241"/>
      <c r="N513" s="242"/>
      <c r="O513" s="241"/>
      <c r="P513" s="242"/>
      <c r="Q513" s="241"/>
      <c r="R513" s="242"/>
      <c r="S513" s="278">
        <f t="shared" si="6"/>
        <v>0</v>
      </c>
      <c r="T513" s="230"/>
      <c r="U513" s="243"/>
      <c r="V513" s="244"/>
      <c r="W513" s="243"/>
      <c r="X513" s="296"/>
      <c r="Y513" s="244"/>
    </row>
    <row r="514" spans="12:25" ht="15.75" thickBot="1" x14ac:dyDescent="0.25">
      <c r="L514" s="240"/>
      <c r="M514" s="241"/>
      <c r="N514" s="242"/>
      <c r="O514" s="241"/>
      <c r="P514" s="242"/>
      <c r="Q514" s="241"/>
      <c r="R514" s="242"/>
      <c r="S514" s="278">
        <f t="shared" si="6"/>
        <v>0</v>
      </c>
      <c r="T514" s="230"/>
      <c r="U514" s="243"/>
      <c r="V514" s="244"/>
      <c r="W514" s="243"/>
      <c r="X514" s="296"/>
      <c r="Y514" s="244"/>
    </row>
    <row r="515" spans="12:25" ht="15.75" thickBot="1" x14ac:dyDescent="0.25">
      <c r="L515" s="240"/>
      <c r="M515" s="241"/>
      <c r="N515" s="242"/>
      <c r="O515" s="241"/>
      <c r="P515" s="242"/>
      <c r="Q515" s="241"/>
      <c r="R515" s="242"/>
      <c r="S515" s="278">
        <f t="shared" si="6"/>
        <v>0</v>
      </c>
      <c r="T515" s="230"/>
      <c r="U515" s="243"/>
      <c r="V515" s="244"/>
      <c r="W515" s="243"/>
      <c r="X515" s="296"/>
      <c r="Y515" s="244"/>
    </row>
    <row r="516" spans="12:25" ht="15.75" thickBot="1" x14ac:dyDescent="0.25">
      <c r="L516" s="240"/>
      <c r="M516" s="241"/>
      <c r="N516" s="242"/>
      <c r="O516" s="241"/>
      <c r="P516" s="242"/>
      <c r="Q516" s="241"/>
      <c r="R516" s="242"/>
      <c r="S516" s="278">
        <f t="shared" si="6"/>
        <v>0</v>
      </c>
      <c r="T516" s="230"/>
      <c r="U516" s="243"/>
      <c r="V516" s="244"/>
      <c r="W516" s="243"/>
      <c r="X516" s="296"/>
      <c r="Y516" s="244"/>
    </row>
    <row r="517" spans="12:25" ht="15.75" thickBot="1" x14ac:dyDescent="0.25">
      <c r="L517" s="240"/>
      <c r="M517" s="241"/>
      <c r="N517" s="242"/>
      <c r="O517" s="241"/>
      <c r="P517" s="242"/>
      <c r="Q517" s="241"/>
      <c r="R517" s="242"/>
      <c r="S517" s="278">
        <f t="shared" si="6"/>
        <v>0</v>
      </c>
      <c r="T517" s="230"/>
      <c r="U517" s="243"/>
      <c r="V517" s="244"/>
      <c r="W517" s="243"/>
      <c r="X517" s="296"/>
      <c r="Y517" s="244"/>
    </row>
    <row r="518" spans="12:25" ht="15.75" thickBot="1" x14ac:dyDescent="0.25">
      <c r="L518" s="240"/>
      <c r="M518" s="241"/>
      <c r="N518" s="242"/>
      <c r="O518" s="241"/>
      <c r="P518" s="242"/>
      <c r="Q518" s="241"/>
      <c r="R518" s="242"/>
      <c r="S518" s="278">
        <f t="shared" si="6"/>
        <v>0</v>
      </c>
      <c r="T518" s="230"/>
      <c r="U518" s="243"/>
      <c r="V518" s="244"/>
      <c r="W518" s="243"/>
      <c r="X518" s="296"/>
      <c r="Y518" s="244"/>
    </row>
    <row r="519" spans="12:25" ht="15.75" thickBot="1" x14ac:dyDescent="0.25">
      <c r="L519" s="240"/>
      <c r="M519" s="241"/>
      <c r="N519" s="242"/>
      <c r="O519" s="241"/>
      <c r="P519" s="242"/>
      <c r="Q519" s="241"/>
      <c r="R519" s="242"/>
      <c r="S519" s="278">
        <f t="shared" si="6"/>
        <v>0</v>
      </c>
      <c r="T519" s="230"/>
      <c r="U519" s="243"/>
      <c r="V519" s="244"/>
      <c r="W519" s="243"/>
      <c r="X519" s="296"/>
      <c r="Y519" s="244"/>
    </row>
    <row r="520" spans="12:25" ht="15.75" thickBot="1" x14ac:dyDescent="0.25">
      <c r="L520" s="240"/>
      <c r="M520" s="241"/>
      <c r="N520" s="242"/>
      <c r="O520" s="241"/>
      <c r="P520" s="242"/>
      <c r="Q520" s="241"/>
      <c r="R520" s="242"/>
      <c r="S520" s="278">
        <f t="shared" si="6"/>
        <v>0</v>
      </c>
      <c r="T520" s="230"/>
      <c r="U520" s="243"/>
      <c r="V520" s="244"/>
      <c r="W520" s="243"/>
      <c r="X520" s="296"/>
      <c r="Y520" s="244"/>
    </row>
    <row r="521" spans="12:25" ht="15.75" thickBot="1" x14ac:dyDescent="0.25">
      <c r="L521" s="240"/>
      <c r="M521" s="241"/>
      <c r="N521" s="242"/>
      <c r="O521" s="241"/>
      <c r="P521" s="242"/>
      <c r="Q521" s="241"/>
      <c r="R521" s="242"/>
      <c r="S521" s="278">
        <f t="shared" si="6"/>
        <v>0</v>
      </c>
      <c r="T521" s="230"/>
      <c r="U521" s="243"/>
      <c r="V521" s="244"/>
      <c r="W521" s="243"/>
      <c r="X521" s="296"/>
      <c r="Y521" s="244"/>
    </row>
    <row r="522" spans="12:25" ht="15.75" thickBot="1" x14ac:dyDescent="0.25">
      <c r="L522" s="240"/>
      <c r="M522" s="241"/>
      <c r="N522" s="242"/>
      <c r="O522" s="241"/>
      <c r="P522" s="242"/>
      <c r="Q522" s="241"/>
      <c r="R522" s="242"/>
      <c r="S522" s="278">
        <f t="shared" si="6"/>
        <v>0</v>
      </c>
      <c r="T522" s="230"/>
      <c r="U522" s="243"/>
      <c r="V522" s="244"/>
      <c r="W522" s="243"/>
      <c r="X522" s="296"/>
      <c r="Y522" s="244"/>
    </row>
    <row r="523" spans="12:25" ht="15.75" thickBot="1" x14ac:dyDescent="0.25">
      <c r="L523" s="240"/>
      <c r="M523" s="241"/>
      <c r="N523" s="242"/>
      <c r="O523" s="241"/>
      <c r="P523" s="242"/>
      <c r="Q523" s="241"/>
      <c r="R523" s="242"/>
      <c r="S523" s="278">
        <f t="shared" si="6"/>
        <v>0</v>
      </c>
      <c r="T523" s="230"/>
      <c r="U523" s="243"/>
      <c r="V523" s="244"/>
      <c r="W523" s="243"/>
      <c r="X523" s="296"/>
      <c r="Y523" s="244"/>
    </row>
    <row r="524" spans="12:25" ht="15.75" thickBot="1" x14ac:dyDescent="0.25">
      <c r="L524" s="240"/>
      <c r="M524" s="241"/>
      <c r="N524" s="242"/>
      <c r="O524" s="241"/>
      <c r="P524" s="242"/>
      <c r="Q524" s="241"/>
      <c r="R524" s="242"/>
      <c r="S524" s="278">
        <f t="shared" si="6"/>
        <v>0</v>
      </c>
      <c r="T524" s="230"/>
      <c r="U524" s="243"/>
      <c r="V524" s="244"/>
      <c r="W524" s="243"/>
      <c r="X524" s="296"/>
      <c r="Y524" s="244"/>
    </row>
    <row r="525" spans="12:25" ht="15.75" thickBot="1" x14ac:dyDescent="0.25">
      <c r="L525" s="240"/>
      <c r="M525" s="241"/>
      <c r="N525" s="242"/>
      <c r="O525" s="241"/>
      <c r="P525" s="242"/>
      <c r="Q525" s="241"/>
      <c r="R525" s="242"/>
      <c r="S525" s="278">
        <f t="shared" si="6"/>
        <v>0</v>
      </c>
      <c r="T525" s="230"/>
      <c r="U525" s="243"/>
      <c r="V525" s="244"/>
      <c r="W525" s="243"/>
      <c r="X525" s="296"/>
      <c r="Y525" s="244"/>
    </row>
    <row r="526" spans="12:25" ht="15.75" thickBot="1" x14ac:dyDescent="0.25">
      <c r="L526" s="240"/>
      <c r="M526" s="241"/>
      <c r="N526" s="242"/>
      <c r="O526" s="241"/>
      <c r="P526" s="242"/>
      <c r="Q526" s="241"/>
      <c r="R526" s="242"/>
      <c r="S526" s="278">
        <f t="shared" si="6"/>
        <v>0</v>
      </c>
      <c r="T526" s="230"/>
      <c r="U526" s="243"/>
      <c r="V526" s="244"/>
      <c r="W526" s="243"/>
      <c r="X526" s="296"/>
      <c r="Y526" s="244"/>
    </row>
    <row r="527" spans="12:25" ht="15.75" thickBot="1" x14ac:dyDescent="0.25">
      <c r="L527" s="240"/>
      <c r="M527" s="241"/>
      <c r="N527" s="242"/>
      <c r="O527" s="241"/>
      <c r="P527" s="242"/>
      <c r="Q527" s="241"/>
      <c r="R527" s="242"/>
      <c r="S527" s="278">
        <f t="shared" si="6"/>
        <v>0</v>
      </c>
      <c r="T527" s="230"/>
      <c r="U527" s="243"/>
      <c r="V527" s="244"/>
      <c r="W527" s="243"/>
      <c r="X527" s="296"/>
      <c r="Y527" s="244"/>
    </row>
    <row r="528" spans="12:25" ht="15.75" thickBot="1" x14ac:dyDescent="0.25">
      <c r="L528" s="240"/>
      <c r="M528" s="241"/>
      <c r="N528" s="242"/>
      <c r="O528" s="241"/>
      <c r="P528" s="242"/>
      <c r="Q528" s="241"/>
      <c r="R528" s="242"/>
      <c r="S528" s="278">
        <f t="shared" si="6"/>
        <v>0</v>
      </c>
      <c r="T528" s="230"/>
      <c r="U528" s="243"/>
      <c r="V528" s="244"/>
      <c r="W528" s="243"/>
      <c r="X528" s="296"/>
      <c r="Y528" s="244"/>
    </row>
    <row r="529" spans="12:25" ht="15.75" thickBot="1" x14ac:dyDescent="0.25">
      <c r="L529" s="240"/>
      <c r="M529" s="241"/>
      <c r="N529" s="242"/>
      <c r="O529" s="241"/>
      <c r="P529" s="242"/>
      <c r="Q529" s="241"/>
      <c r="R529" s="242"/>
      <c r="S529" s="278">
        <f t="shared" si="6"/>
        <v>0</v>
      </c>
      <c r="T529" s="230"/>
      <c r="U529" s="243"/>
      <c r="V529" s="244"/>
      <c r="W529" s="243"/>
      <c r="X529" s="296"/>
      <c r="Y529" s="244"/>
    </row>
    <row r="530" spans="12:25" ht="15.75" thickBot="1" x14ac:dyDescent="0.25">
      <c r="L530" s="240"/>
      <c r="M530" s="241"/>
      <c r="N530" s="242"/>
      <c r="O530" s="241"/>
      <c r="P530" s="242"/>
      <c r="Q530" s="241"/>
      <c r="R530" s="242"/>
      <c r="S530" s="278">
        <f t="shared" si="6"/>
        <v>0</v>
      </c>
      <c r="T530" s="230"/>
      <c r="U530" s="243"/>
      <c r="V530" s="244"/>
      <c r="W530" s="243"/>
      <c r="X530" s="296"/>
      <c r="Y530" s="244"/>
    </row>
    <row r="531" spans="12:25" ht="15.75" thickBot="1" x14ac:dyDescent="0.25">
      <c r="L531" s="240"/>
      <c r="M531" s="241"/>
      <c r="N531" s="242"/>
      <c r="O531" s="241"/>
      <c r="P531" s="242"/>
      <c r="Q531" s="241"/>
      <c r="R531" s="242"/>
      <c r="S531" s="278">
        <f t="shared" si="6"/>
        <v>0</v>
      </c>
      <c r="T531" s="230"/>
      <c r="U531" s="243"/>
      <c r="V531" s="244"/>
      <c r="W531" s="243"/>
      <c r="X531" s="296"/>
      <c r="Y531" s="244"/>
    </row>
    <row r="532" spans="12:25" ht="15.75" thickBot="1" x14ac:dyDescent="0.25">
      <c r="L532" s="240"/>
      <c r="M532" s="241"/>
      <c r="N532" s="242"/>
      <c r="O532" s="241"/>
      <c r="P532" s="242"/>
      <c r="Q532" s="241"/>
      <c r="R532" s="242"/>
      <c r="S532" s="278">
        <f t="shared" si="6"/>
        <v>0</v>
      </c>
      <c r="T532" s="230"/>
      <c r="U532" s="243"/>
      <c r="V532" s="244"/>
      <c r="W532" s="243"/>
      <c r="X532" s="296"/>
      <c r="Y532" s="244"/>
    </row>
    <row r="533" spans="12:25" ht="15.75" thickBot="1" x14ac:dyDescent="0.25">
      <c r="L533" s="240"/>
      <c r="M533" s="241"/>
      <c r="N533" s="242"/>
      <c r="O533" s="241"/>
      <c r="P533" s="242"/>
      <c r="Q533" s="241"/>
      <c r="R533" s="242"/>
      <c r="S533" s="278">
        <f t="shared" si="6"/>
        <v>0</v>
      </c>
      <c r="T533" s="230"/>
      <c r="U533" s="243"/>
      <c r="V533" s="244"/>
      <c r="W533" s="243"/>
      <c r="X533" s="296"/>
      <c r="Y533" s="244"/>
    </row>
    <row r="534" spans="12:25" ht="15.75" thickBot="1" x14ac:dyDescent="0.25">
      <c r="L534" s="240"/>
      <c r="M534" s="241"/>
      <c r="N534" s="242"/>
      <c r="O534" s="241"/>
      <c r="P534" s="242"/>
      <c r="Q534" s="241"/>
      <c r="R534" s="242"/>
      <c r="S534" s="278">
        <f t="shared" si="6"/>
        <v>0</v>
      </c>
      <c r="T534" s="230"/>
      <c r="U534" s="243"/>
      <c r="V534" s="244"/>
      <c r="W534" s="243"/>
      <c r="X534" s="296"/>
      <c r="Y534" s="244"/>
    </row>
    <row r="535" spans="12:25" ht="15.75" thickBot="1" x14ac:dyDescent="0.25">
      <c r="L535" s="240"/>
      <c r="M535" s="241"/>
      <c r="N535" s="242"/>
      <c r="O535" s="241"/>
      <c r="P535" s="242"/>
      <c r="Q535" s="241"/>
      <c r="R535" s="242"/>
      <c r="S535" s="278">
        <f t="shared" si="6"/>
        <v>0</v>
      </c>
      <c r="T535" s="230"/>
      <c r="U535" s="243"/>
      <c r="V535" s="244"/>
      <c r="W535" s="243"/>
      <c r="X535" s="296"/>
      <c r="Y535" s="244"/>
    </row>
    <row r="536" spans="12:25" ht="15.75" thickBot="1" x14ac:dyDescent="0.25">
      <c r="L536" s="240"/>
      <c r="M536" s="241"/>
      <c r="N536" s="242"/>
      <c r="O536" s="241"/>
      <c r="P536" s="242"/>
      <c r="Q536" s="241"/>
      <c r="R536" s="242"/>
      <c r="S536" s="278">
        <f t="shared" si="6"/>
        <v>0</v>
      </c>
      <c r="T536" s="230"/>
      <c r="U536" s="243"/>
      <c r="V536" s="244"/>
      <c r="W536" s="243"/>
      <c r="X536" s="296"/>
      <c r="Y536" s="244"/>
    </row>
    <row r="537" spans="12:25" ht="15.75" thickBot="1" x14ac:dyDescent="0.25">
      <c r="L537" s="240"/>
      <c r="M537" s="241"/>
      <c r="N537" s="242"/>
      <c r="O537" s="241"/>
      <c r="P537" s="242"/>
      <c r="Q537" s="241"/>
      <c r="R537" s="242"/>
      <c r="S537" s="278">
        <f t="shared" si="6"/>
        <v>0</v>
      </c>
      <c r="T537" s="230"/>
      <c r="U537" s="243"/>
      <c r="V537" s="244"/>
      <c r="W537" s="243"/>
      <c r="X537" s="296"/>
      <c r="Y537" s="244"/>
    </row>
    <row r="538" spans="12:25" ht="15.75" thickBot="1" x14ac:dyDescent="0.25">
      <c r="L538" s="240"/>
      <c r="M538" s="241"/>
      <c r="N538" s="242"/>
      <c r="O538" s="241"/>
      <c r="P538" s="242"/>
      <c r="Q538" s="241"/>
      <c r="R538" s="242"/>
      <c r="S538" s="278">
        <f t="shared" si="6"/>
        <v>0</v>
      </c>
      <c r="T538" s="230"/>
      <c r="U538" s="243"/>
      <c r="V538" s="244"/>
      <c r="W538" s="243"/>
      <c r="X538" s="296"/>
      <c r="Y538" s="244"/>
    </row>
    <row r="539" spans="12:25" ht="15.75" thickBot="1" x14ac:dyDescent="0.25">
      <c r="L539" s="240"/>
      <c r="M539" s="241"/>
      <c r="N539" s="242"/>
      <c r="O539" s="241"/>
      <c r="P539" s="242"/>
      <c r="Q539" s="241"/>
      <c r="R539" s="242"/>
      <c r="S539" s="278">
        <f t="shared" si="6"/>
        <v>0</v>
      </c>
      <c r="T539" s="230"/>
      <c r="U539" s="243"/>
      <c r="V539" s="244"/>
      <c r="W539" s="243"/>
      <c r="X539" s="296"/>
      <c r="Y539" s="244"/>
    </row>
    <row r="540" spans="12:25" ht="15.75" thickBot="1" x14ac:dyDescent="0.25">
      <c r="L540" s="240"/>
      <c r="M540" s="241"/>
      <c r="N540" s="242"/>
      <c r="O540" s="241"/>
      <c r="P540" s="242"/>
      <c r="Q540" s="241"/>
      <c r="R540" s="242"/>
      <c r="S540" s="278">
        <f t="shared" si="6"/>
        <v>0</v>
      </c>
      <c r="T540" s="230"/>
      <c r="U540" s="243"/>
      <c r="V540" s="244"/>
      <c r="W540" s="243"/>
      <c r="X540" s="296"/>
      <c r="Y540" s="244"/>
    </row>
    <row r="541" spans="12:25" ht="15.75" thickBot="1" x14ac:dyDescent="0.25">
      <c r="L541" s="240"/>
      <c r="M541" s="241"/>
      <c r="N541" s="242"/>
      <c r="O541" s="241"/>
      <c r="P541" s="242"/>
      <c r="Q541" s="241"/>
      <c r="R541" s="242"/>
      <c r="S541" s="278">
        <f t="shared" si="6"/>
        <v>0</v>
      </c>
      <c r="T541" s="230"/>
      <c r="U541" s="243"/>
      <c r="V541" s="244"/>
      <c r="W541" s="243"/>
      <c r="X541" s="296"/>
      <c r="Y541" s="244"/>
    </row>
    <row r="542" spans="12:25" ht="15.75" thickBot="1" x14ac:dyDescent="0.25">
      <c r="L542" s="240"/>
      <c r="M542" s="241"/>
      <c r="N542" s="242"/>
      <c r="O542" s="241"/>
      <c r="P542" s="242"/>
      <c r="Q542" s="241"/>
      <c r="R542" s="242"/>
      <c r="S542" s="278">
        <f t="shared" si="6"/>
        <v>0</v>
      </c>
      <c r="T542" s="230"/>
      <c r="U542" s="243"/>
      <c r="V542" s="244"/>
      <c r="W542" s="243"/>
      <c r="X542" s="296"/>
      <c r="Y542" s="244"/>
    </row>
    <row r="543" spans="12:25" ht="15.75" thickBot="1" x14ac:dyDescent="0.25">
      <c r="L543" s="240"/>
      <c r="M543" s="241"/>
      <c r="N543" s="242"/>
      <c r="O543" s="241"/>
      <c r="P543" s="242"/>
      <c r="Q543" s="241"/>
      <c r="R543" s="242"/>
      <c r="S543" s="278">
        <f t="shared" si="6"/>
        <v>0</v>
      </c>
      <c r="T543" s="230"/>
      <c r="U543" s="243"/>
      <c r="V543" s="244"/>
      <c r="W543" s="243"/>
      <c r="X543" s="296"/>
      <c r="Y543" s="244"/>
    </row>
    <row r="544" spans="12:25" ht="15.75" thickBot="1" x14ac:dyDescent="0.25">
      <c r="L544" s="240"/>
      <c r="M544" s="241"/>
      <c r="N544" s="242"/>
      <c r="O544" s="241"/>
      <c r="P544" s="242"/>
      <c r="Q544" s="241"/>
      <c r="R544" s="242"/>
      <c r="S544" s="278">
        <f t="shared" si="6"/>
        <v>0</v>
      </c>
      <c r="T544" s="230"/>
      <c r="U544" s="243"/>
      <c r="V544" s="244"/>
      <c r="W544" s="243"/>
      <c r="X544" s="296"/>
      <c r="Y544" s="244"/>
    </row>
    <row r="545" spans="11:25" ht="15.75" thickBot="1" x14ac:dyDescent="0.25">
      <c r="L545" s="240"/>
      <c r="M545" s="241"/>
      <c r="N545" s="242"/>
      <c r="O545" s="241"/>
      <c r="P545" s="242"/>
      <c r="Q545" s="241"/>
      <c r="R545" s="242"/>
      <c r="S545" s="278">
        <f t="shared" si="6"/>
        <v>0</v>
      </c>
      <c r="T545" s="230"/>
      <c r="U545" s="243"/>
      <c r="V545" s="244"/>
      <c r="W545" s="243"/>
      <c r="X545" s="296"/>
      <c r="Y545" s="244"/>
    </row>
    <row r="546" spans="11:25" ht="15.75" thickBot="1" x14ac:dyDescent="0.25">
      <c r="L546" s="240"/>
      <c r="M546" s="241"/>
      <c r="N546" s="242"/>
      <c r="O546" s="241"/>
      <c r="P546" s="242"/>
      <c r="Q546" s="241"/>
      <c r="R546" s="242"/>
      <c r="S546" s="278">
        <f t="shared" si="6"/>
        <v>0</v>
      </c>
      <c r="T546" s="230"/>
      <c r="U546" s="243"/>
      <c r="V546" s="244"/>
      <c r="W546" s="243"/>
      <c r="X546" s="296"/>
      <c r="Y546" s="244"/>
    </row>
    <row r="547" spans="11:25" ht="15.75" thickBot="1" x14ac:dyDescent="0.25">
      <c r="L547" s="240"/>
      <c r="M547" s="241"/>
      <c r="N547" s="242"/>
      <c r="O547" s="241"/>
      <c r="P547" s="242"/>
      <c r="Q547" s="241"/>
      <c r="R547" s="242"/>
      <c r="S547" s="278">
        <f t="shared" ref="S547:S610" si="7">SUM(L547:R547)</f>
        <v>0</v>
      </c>
      <c r="T547" s="230"/>
      <c r="U547" s="243"/>
      <c r="V547" s="244"/>
      <c r="W547" s="243"/>
      <c r="X547" s="296"/>
      <c r="Y547" s="244"/>
    </row>
    <row r="548" spans="11:25" ht="15.75" thickBot="1" x14ac:dyDescent="0.25">
      <c r="L548" s="240"/>
      <c r="M548" s="241"/>
      <c r="N548" s="242"/>
      <c r="O548" s="241"/>
      <c r="P548" s="242"/>
      <c r="Q548" s="241"/>
      <c r="R548" s="242"/>
      <c r="S548" s="278">
        <f t="shared" si="7"/>
        <v>0</v>
      </c>
      <c r="T548" s="230"/>
      <c r="U548" s="243"/>
      <c r="V548" s="244"/>
      <c r="W548" s="243"/>
      <c r="X548" s="296"/>
      <c r="Y548" s="244"/>
    </row>
    <row r="549" spans="11:25" ht="15.75" thickBot="1" x14ac:dyDescent="0.25">
      <c r="L549" s="240"/>
      <c r="M549" s="241"/>
      <c r="N549" s="242"/>
      <c r="O549" s="241"/>
      <c r="P549" s="242"/>
      <c r="Q549" s="241"/>
      <c r="R549" s="242"/>
      <c r="S549" s="278">
        <f t="shared" si="7"/>
        <v>0</v>
      </c>
      <c r="T549" s="230"/>
      <c r="U549" s="243"/>
      <c r="V549" s="244"/>
      <c r="W549" s="243"/>
      <c r="X549" s="296"/>
      <c r="Y549" s="244"/>
    </row>
    <row r="550" spans="11:25" ht="15.75" thickBot="1" x14ac:dyDescent="0.25">
      <c r="L550" s="240"/>
      <c r="M550" s="241"/>
      <c r="N550" s="242"/>
      <c r="O550" s="241"/>
      <c r="P550" s="242"/>
      <c r="Q550" s="241"/>
      <c r="R550" s="242"/>
      <c r="S550" s="278">
        <f t="shared" si="7"/>
        <v>0</v>
      </c>
      <c r="T550" s="230"/>
      <c r="U550" s="243"/>
      <c r="V550" s="244"/>
      <c r="W550" s="243"/>
      <c r="X550" s="296"/>
      <c r="Y550" s="244"/>
    </row>
    <row r="551" spans="11:25" ht="15.75" thickBot="1" x14ac:dyDescent="0.25">
      <c r="L551" s="240"/>
      <c r="M551" s="241"/>
      <c r="N551" s="242"/>
      <c r="O551" s="241"/>
      <c r="P551" s="242"/>
      <c r="Q551" s="241"/>
      <c r="R551" s="242"/>
      <c r="S551" s="278">
        <f t="shared" si="7"/>
        <v>0</v>
      </c>
      <c r="T551" s="230"/>
      <c r="U551" s="243"/>
      <c r="V551" s="244"/>
      <c r="W551" s="243"/>
      <c r="X551" s="296"/>
      <c r="Y551" s="244"/>
    </row>
    <row r="552" spans="11:25" ht="15.75" thickBot="1" x14ac:dyDescent="0.25">
      <c r="L552" s="240"/>
      <c r="M552" s="241"/>
      <c r="N552" s="242"/>
      <c r="O552" s="241"/>
      <c r="P552" s="242"/>
      <c r="Q552" s="241"/>
      <c r="R552" s="242"/>
      <c r="S552" s="278">
        <f t="shared" si="7"/>
        <v>0</v>
      </c>
      <c r="T552" s="230"/>
      <c r="U552" s="243"/>
      <c r="V552" s="244"/>
      <c r="W552" s="243"/>
      <c r="X552" s="296"/>
      <c r="Y552" s="244"/>
    </row>
    <row r="553" spans="11:25" ht="15.75" thickBot="1" x14ac:dyDescent="0.25">
      <c r="L553" s="240"/>
      <c r="M553" s="241"/>
      <c r="N553" s="242"/>
      <c r="O553" s="241"/>
      <c r="P553" s="242"/>
      <c r="Q553" s="241"/>
      <c r="R553" s="242"/>
      <c r="S553" s="278">
        <f t="shared" si="7"/>
        <v>0</v>
      </c>
      <c r="T553" s="230"/>
      <c r="U553" s="243"/>
      <c r="V553" s="244"/>
      <c r="W553" s="243"/>
      <c r="X553" s="296"/>
      <c r="Y553" s="244"/>
    </row>
    <row r="554" spans="11:25" ht="15.75" thickBot="1" x14ac:dyDescent="0.25">
      <c r="L554" s="240"/>
      <c r="M554" s="241"/>
      <c r="N554" s="242"/>
      <c r="O554" s="241"/>
      <c r="P554" s="242"/>
      <c r="Q554" s="241"/>
      <c r="R554" s="242"/>
      <c r="S554" s="278">
        <f t="shared" si="7"/>
        <v>0</v>
      </c>
      <c r="T554" s="230"/>
      <c r="U554" s="243"/>
      <c r="V554" s="244"/>
      <c r="W554" s="243"/>
      <c r="X554" s="296"/>
      <c r="Y554" s="244"/>
    </row>
    <row r="555" spans="11:25" ht="15.75" thickBot="1" x14ac:dyDescent="0.25">
      <c r="K555" s="231"/>
      <c r="L555" s="240"/>
      <c r="M555" s="241"/>
      <c r="N555" s="242"/>
      <c r="O555" s="241"/>
      <c r="P555" s="242"/>
      <c r="Q555" s="241"/>
      <c r="R555" s="242"/>
      <c r="S555" s="278">
        <f t="shared" si="7"/>
        <v>0</v>
      </c>
      <c r="T555" s="230"/>
      <c r="U555" s="243"/>
      <c r="V555" s="244"/>
      <c r="W555" s="243"/>
      <c r="X555" s="296"/>
      <c r="Y555" s="244"/>
    </row>
    <row r="556" spans="11:25" ht="15.75" thickBot="1" x14ac:dyDescent="0.25">
      <c r="L556" s="240"/>
      <c r="M556" s="241"/>
      <c r="N556" s="242"/>
      <c r="O556" s="241"/>
      <c r="P556" s="242"/>
      <c r="Q556" s="241"/>
      <c r="R556" s="242"/>
      <c r="S556" s="278">
        <f t="shared" si="7"/>
        <v>0</v>
      </c>
      <c r="T556" s="230"/>
      <c r="U556" s="243"/>
      <c r="V556" s="244"/>
      <c r="W556" s="243"/>
      <c r="X556" s="296"/>
      <c r="Y556" s="244"/>
    </row>
    <row r="557" spans="11:25" ht="15.75" thickBot="1" x14ac:dyDescent="0.25">
      <c r="L557" s="240"/>
      <c r="M557" s="241"/>
      <c r="N557" s="242"/>
      <c r="O557" s="241"/>
      <c r="P557" s="242"/>
      <c r="Q557" s="241"/>
      <c r="R557" s="242"/>
      <c r="S557" s="278">
        <f t="shared" si="7"/>
        <v>0</v>
      </c>
      <c r="T557" s="230"/>
      <c r="U557" s="243"/>
      <c r="V557" s="244"/>
      <c r="W557" s="243"/>
      <c r="X557" s="296"/>
      <c r="Y557" s="244"/>
    </row>
    <row r="558" spans="11:25" ht="15.75" thickBot="1" x14ac:dyDescent="0.25">
      <c r="L558" s="240"/>
      <c r="M558" s="241"/>
      <c r="N558" s="242"/>
      <c r="O558" s="241"/>
      <c r="P558" s="242"/>
      <c r="Q558" s="241"/>
      <c r="R558" s="242"/>
      <c r="S558" s="278">
        <f t="shared" si="7"/>
        <v>0</v>
      </c>
      <c r="T558" s="230"/>
      <c r="U558" s="243"/>
      <c r="V558" s="244"/>
      <c r="W558" s="243"/>
      <c r="X558" s="296"/>
      <c r="Y558" s="244"/>
    </row>
    <row r="559" spans="11:25" ht="15.75" thickBot="1" x14ac:dyDescent="0.25">
      <c r="L559" s="240"/>
      <c r="M559" s="241"/>
      <c r="N559" s="242"/>
      <c r="O559" s="241"/>
      <c r="P559" s="242"/>
      <c r="Q559" s="241"/>
      <c r="R559" s="242"/>
      <c r="S559" s="278">
        <f t="shared" si="7"/>
        <v>0</v>
      </c>
      <c r="T559" s="230"/>
      <c r="U559" s="243"/>
      <c r="V559" s="244"/>
      <c r="W559" s="243"/>
      <c r="X559" s="296"/>
      <c r="Y559" s="244"/>
    </row>
    <row r="560" spans="11:25" ht="15.75" thickBot="1" x14ac:dyDescent="0.25">
      <c r="L560" s="240"/>
      <c r="M560" s="241"/>
      <c r="N560" s="242"/>
      <c r="O560" s="241"/>
      <c r="P560" s="242"/>
      <c r="Q560" s="241"/>
      <c r="R560" s="242"/>
      <c r="S560" s="278">
        <f t="shared" si="7"/>
        <v>0</v>
      </c>
      <c r="T560" s="230"/>
      <c r="U560" s="243"/>
      <c r="V560" s="244"/>
      <c r="W560" s="243"/>
      <c r="X560" s="296"/>
      <c r="Y560" s="244"/>
    </row>
    <row r="561" spans="12:25" ht="15.75" thickBot="1" x14ac:dyDescent="0.25">
      <c r="L561" s="240"/>
      <c r="M561" s="241"/>
      <c r="N561" s="242"/>
      <c r="O561" s="241"/>
      <c r="P561" s="242"/>
      <c r="Q561" s="241"/>
      <c r="R561" s="242"/>
      <c r="S561" s="278">
        <f t="shared" si="7"/>
        <v>0</v>
      </c>
      <c r="T561" s="230"/>
      <c r="U561" s="243"/>
      <c r="V561" s="244"/>
      <c r="W561" s="243"/>
      <c r="X561" s="296"/>
      <c r="Y561" s="244"/>
    </row>
    <row r="562" spans="12:25" ht="15.75" thickBot="1" x14ac:dyDescent="0.25">
      <c r="L562" s="240"/>
      <c r="M562" s="241"/>
      <c r="N562" s="242"/>
      <c r="O562" s="241"/>
      <c r="P562" s="242"/>
      <c r="Q562" s="241"/>
      <c r="R562" s="242"/>
      <c r="S562" s="278">
        <f t="shared" si="7"/>
        <v>0</v>
      </c>
      <c r="T562" s="230"/>
      <c r="U562" s="243"/>
      <c r="V562" s="244"/>
      <c r="W562" s="243"/>
      <c r="X562" s="296"/>
      <c r="Y562" s="244"/>
    </row>
    <row r="563" spans="12:25" ht="15.75" thickBot="1" x14ac:dyDescent="0.25">
      <c r="L563" s="240"/>
      <c r="M563" s="241"/>
      <c r="N563" s="242"/>
      <c r="O563" s="241"/>
      <c r="P563" s="242"/>
      <c r="Q563" s="241"/>
      <c r="R563" s="242"/>
      <c r="S563" s="278">
        <f t="shared" si="7"/>
        <v>0</v>
      </c>
      <c r="T563" s="230"/>
      <c r="U563" s="243"/>
      <c r="V563" s="244"/>
      <c r="W563" s="243"/>
      <c r="X563" s="296"/>
      <c r="Y563" s="244"/>
    </row>
    <row r="564" spans="12:25" ht="15.75" thickBot="1" x14ac:dyDescent="0.25">
      <c r="L564" s="240"/>
      <c r="M564" s="241"/>
      <c r="N564" s="242"/>
      <c r="O564" s="241"/>
      <c r="P564" s="242"/>
      <c r="Q564" s="241"/>
      <c r="R564" s="242"/>
      <c r="S564" s="278">
        <f t="shared" si="7"/>
        <v>0</v>
      </c>
      <c r="T564" s="230"/>
      <c r="U564" s="243"/>
      <c r="V564" s="244"/>
      <c r="W564" s="243"/>
      <c r="X564" s="296"/>
      <c r="Y564" s="244"/>
    </row>
    <row r="565" spans="12:25" ht="15.75" thickBot="1" x14ac:dyDescent="0.25">
      <c r="L565" s="240"/>
      <c r="M565" s="241"/>
      <c r="N565" s="242"/>
      <c r="O565" s="241"/>
      <c r="P565" s="242"/>
      <c r="Q565" s="241"/>
      <c r="R565" s="242"/>
      <c r="S565" s="278">
        <f t="shared" si="7"/>
        <v>0</v>
      </c>
      <c r="T565" s="230"/>
      <c r="U565" s="243"/>
      <c r="V565" s="244"/>
      <c r="W565" s="243"/>
      <c r="X565" s="296"/>
      <c r="Y565" s="244"/>
    </row>
    <row r="566" spans="12:25" ht="15.75" thickBot="1" x14ac:dyDescent="0.25">
      <c r="L566" s="240"/>
      <c r="M566" s="241"/>
      <c r="N566" s="242"/>
      <c r="O566" s="241"/>
      <c r="P566" s="242"/>
      <c r="Q566" s="241"/>
      <c r="R566" s="242"/>
      <c r="S566" s="278">
        <f t="shared" si="7"/>
        <v>0</v>
      </c>
      <c r="T566" s="230"/>
      <c r="U566" s="243"/>
      <c r="V566" s="244"/>
      <c r="W566" s="243"/>
      <c r="X566" s="296"/>
      <c r="Y566" s="244"/>
    </row>
    <row r="567" spans="12:25" ht="15.75" thickBot="1" x14ac:dyDescent="0.25">
      <c r="L567" s="240"/>
      <c r="M567" s="241"/>
      <c r="N567" s="242"/>
      <c r="O567" s="241"/>
      <c r="P567" s="242"/>
      <c r="Q567" s="241"/>
      <c r="R567" s="242"/>
      <c r="S567" s="278">
        <f t="shared" si="7"/>
        <v>0</v>
      </c>
      <c r="T567" s="230"/>
      <c r="U567" s="243"/>
      <c r="V567" s="244"/>
      <c r="W567" s="243"/>
      <c r="X567" s="296"/>
      <c r="Y567" s="244"/>
    </row>
    <row r="568" spans="12:25" ht="15.75" thickBot="1" x14ac:dyDescent="0.25">
      <c r="L568" s="240"/>
      <c r="M568" s="241"/>
      <c r="N568" s="242"/>
      <c r="O568" s="241"/>
      <c r="P568" s="242"/>
      <c r="Q568" s="241"/>
      <c r="R568" s="242"/>
      <c r="S568" s="278">
        <f t="shared" si="7"/>
        <v>0</v>
      </c>
      <c r="T568" s="230"/>
      <c r="U568" s="243"/>
      <c r="V568" s="244"/>
      <c r="W568" s="243"/>
      <c r="X568" s="296"/>
      <c r="Y568" s="244"/>
    </row>
    <row r="569" spans="12:25" ht="15.75" thickBot="1" x14ac:dyDescent="0.25">
      <c r="L569" s="240"/>
      <c r="M569" s="241"/>
      <c r="N569" s="242"/>
      <c r="O569" s="241"/>
      <c r="P569" s="242"/>
      <c r="Q569" s="241"/>
      <c r="R569" s="242"/>
      <c r="S569" s="278">
        <f t="shared" si="7"/>
        <v>0</v>
      </c>
      <c r="T569" s="230"/>
      <c r="U569" s="243"/>
      <c r="V569" s="244"/>
      <c r="W569" s="243"/>
      <c r="X569" s="296"/>
      <c r="Y569" s="244"/>
    </row>
    <row r="570" spans="12:25" ht="15.75" thickBot="1" x14ac:dyDescent="0.25">
      <c r="L570" s="240"/>
      <c r="M570" s="241"/>
      <c r="N570" s="242"/>
      <c r="O570" s="241"/>
      <c r="P570" s="242"/>
      <c r="Q570" s="241"/>
      <c r="R570" s="242"/>
      <c r="S570" s="278">
        <f t="shared" si="7"/>
        <v>0</v>
      </c>
      <c r="T570" s="230"/>
      <c r="U570" s="243"/>
      <c r="V570" s="244"/>
      <c r="W570" s="243"/>
      <c r="X570" s="296"/>
      <c r="Y570" s="244"/>
    </row>
    <row r="571" spans="12:25" ht="15.75" thickBot="1" x14ac:dyDescent="0.25">
      <c r="L571" s="240"/>
      <c r="M571" s="241"/>
      <c r="N571" s="242"/>
      <c r="O571" s="241"/>
      <c r="P571" s="242"/>
      <c r="Q571" s="241"/>
      <c r="R571" s="242"/>
      <c r="S571" s="278">
        <f t="shared" si="7"/>
        <v>0</v>
      </c>
      <c r="T571" s="230"/>
      <c r="U571" s="243"/>
      <c r="V571" s="244"/>
      <c r="W571" s="243"/>
      <c r="X571" s="296"/>
      <c r="Y571" s="244"/>
    </row>
    <row r="572" spans="12:25" ht="15.75" thickBot="1" x14ac:dyDescent="0.25">
      <c r="L572" s="240"/>
      <c r="M572" s="241"/>
      <c r="N572" s="242"/>
      <c r="O572" s="241"/>
      <c r="P572" s="242"/>
      <c r="Q572" s="241"/>
      <c r="R572" s="242"/>
      <c r="S572" s="278">
        <f t="shared" si="7"/>
        <v>0</v>
      </c>
      <c r="T572" s="230"/>
      <c r="U572" s="243"/>
      <c r="V572" s="244"/>
      <c r="W572" s="243"/>
      <c r="X572" s="296"/>
      <c r="Y572" s="244"/>
    </row>
    <row r="573" spans="12:25" ht="15.75" thickBot="1" x14ac:dyDescent="0.25">
      <c r="L573" s="240"/>
      <c r="M573" s="241"/>
      <c r="N573" s="242"/>
      <c r="O573" s="241"/>
      <c r="P573" s="242"/>
      <c r="Q573" s="241"/>
      <c r="R573" s="242"/>
      <c r="S573" s="278">
        <f t="shared" si="7"/>
        <v>0</v>
      </c>
      <c r="T573" s="230"/>
      <c r="U573" s="243"/>
      <c r="V573" s="244"/>
      <c r="W573" s="243"/>
      <c r="X573" s="296"/>
      <c r="Y573" s="244"/>
    </row>
    <row r="574" spans="12:25" ht="15.75" thickBot="1" x14ac:dyDescent="0.25">
      <c r="L574" s="240"/>
      <c r="M574" s="241"/>
      <c r="N574" s="242"/>
      <c r="O574" s="241"/>
      <c r="P574" s="242"/>
      <c r="Q574" s="241"/>
      <c r="R574" s="242"/>
      <c r="S574" s="278">
        <f t="shared" si="7"/>
        <v>0</v>
      </c>
      <c r="T574" s="230"/>
      <c r="U574" s="243"/>
      <c r="V574" s="244"/>
      <c r="W574" s="243"/>
      <c r="X574" s="296"/>
      <c r="Y574" s="244"/>
    </row>
    <row r="575" spans="12:25" ht="15.75" thickBot="1" x14ac:dyDescent="0.25">
      <c r="L575" s="240"/>
      <c r="M575" s="241"/>
      <c r="N575" s="242"/>
      <c r="O575" s="241"/>
      <c r="P575" s="242"/>
      <c r="Q575" s="241"/>
      <c r="R575" s="242"/>
      <c r="S575" s="278">
        <f t="shared" si="7"/>
        <v>0</v>
      </c>
      <c r="T575" s="230"/>
      <c r="U575" s="243"/>
      <c r="V575" s="244"/>
      <c r="W575" s="243"/>
      <c r="X575" s="296"/>
      <c r="Y575" s="244"/>
    </row>
    <row r="576" spans="12:25" ht="15.75" thickBot="1" x14ac:dyDescent="0.25">
      <c r="L576" s="240"/>
      <c r="M576" s="241"/>
      <c r="N576" s="242"/>
      <c r="O576" s="241"/>
      <c r="P576" s="242"/>
      <c r="Q576" s="241"/>
      <c r="R576" s="242"/>
      <c r="S576" s="278">
        <f t="shared" si="7"/>
        <v>0</v>
      </c>
      <c r="T576" s="230"/>
      <c r="U576" s="243"/>
      <c r="V576" s="244"/>
      <c r="W576" s="243"/>
      <c r="X576" s="296"/>
      <c r="Y576" s="244"/>
    </row>
    <row r="577" spans="11:25" ht="15.75" thickBot="1" x14ac:dyDescent="0.25">
      <c r="L577" s="240"/>
      <c r="M577" s="241"/>
      <c r="N577" s="242"/>
      <c r="O577" s="241"/>
      <c r="P577" s="242"/>
      <c r="Q577" s="241"/>
      <c r="R577" s="242"/>
      <c r="S577" s="278">
        <f t="shared" si="7"/>
        <v>0</v>
      </c>
      <c r="T577" s="230"/>
      <c r="U577" s="243"/>
      <c r="V577" s="244"/>
      <c r="W577" s="243"/>
      <c r="X577" s="296"/>
      <c r="Y577" s="244"/>
    </row>
    <row r="578" spans="11:25" ht="15.75" thickBot="1" x14ac:dyDescent="0.25">
      <c r="L578" s="240"/>
      <c r="M578" s="241"/>
      <c r="N578" s="242"/>
      <c r="O578" s="241"/>
      <c r="P578" s="242"/>
      <c r="Q578" s="241"/>
      <c r="R578" s="242"/>
      <c r="S578" s="278">
        <f t="shared" si="7"/>
        <v>0</v>
      </c>
      <c r="T578" s="230"/>
      <c r="U578" s="243"/>
      <c r="V578" s="244"/>
      <c r="W578" s="243"/>
      <c r="X578" s="296"/>
      <c r="Y578" s="244"/>
    </row>
    <row r="579" spans="11:25" ht="15.75" thickBot="1" x14ac:dyDescent="0.25">
      <c r="L579" s="240"/>
      <c r="M579" s="241"/>
      <c r="N579" s="242"/>
      <c r="O579" s="241"/>
      <c r="P579" s="242"/>
      <c r="Q579" s="241"/>
      <c r="R579" s="242"/>
      <c r="S579" s="278">
        <f t="shared" si="7"/>
        <v>0</v>
      </c>
      <c r="T579" s="230"/>
      <c r="U579" s="243"/>
      <c r="V579" s="244"/>
      <c r="W579" s="243"/>
      <c r="X579" s="296"/>
      <c r="Y579" s="244"/>
    </row>
    <row r="580" spans="11:25" ht="15.75" thickBot="1" x14ac:dyDescent="0.25">
      <c r="L580" s="240"/>
      <c r="M580" s="241"/>
      <c r="N580" s="242"/>
      <c r="O580" s="241"/>
      <c r="P580" s="242"/>
      <c r="Q580" s="241"/>
      <c r="R580" s="242"/>
      <c r="S580" s="278">
        <f t="shared" si="7"/>
        <v>0</v>
      </c>
      <c r="T580" s="230"/>
      <c r="U580" s="243"/>
      <c r="V580" s="244"/>
      <c r="W580" s="243"/>
      <c r="X580" s="296"/>
      <c r="Y580" s="244"/>
    </row>
    <row r="581" spans="11:25" ht="15.75" thickBot="1" x14ac:dyDescent="0.25">
      <c r="L581" s="240"/>
      <c r="M581" s="241"/>
      <c r="N581" s="242"/>
      <c r="O581" s="241"/>
      <c r="P581" s="242"/>
      <c r="Q581" s="241"/>
      <c r="R581" s="242"/>
      <c r="S581" s="278">
        <f t="shared" si="7"/>
        <v>0</v>
      </c>
      <c r="T581" s="230"/>
      <c r="U581" s="243"/>
      <c r="V581" s="244"/>
      <c r="W581" s="243"/>
      <c r="X581" s="296"/>
      <c r="Y581" s="244"/>
    </row>
    <row r="582" spans="11:25" ht="15.75" thickBot="1" x14ac:dyDescent="0.25">
      <c r="L582" s="240"/>
      <c r="M582" s="241"/>
      <c r="N582" s="242"/>
      <c r="O582" s="241"/>
      <c r="P582" s="242"/>
      <c r="Q582" s="241"/>
      <c r="R582" s="242"/>
      <c r="S582" s="278">
        <f t="shared" si="7"/>
        <v>0</v>
      </c>
      <c r="T582" s="230"/>
      <c r="U582" s="243"/>
      <c r="V582" s="244"/>
      <c r="W582" s="243"/>
      <c r="X582" s="296"/>
      <c r="Y582" s="244"/>
    </row>
    <row r="583" spans="11:25" ht="15.75" thickBot="1" x14ac:dyDescent="0.25">
      <c r="L583" s="240"/>
      <c r="M583" s="241"/>
      <c r="N583" s="242"/>
      <c r="O583" s="241"/>
      <c r="P583" s="242"/>
      <c r="Q583" s="241"/>
      <c r="R583" s="242"/>
      <c r="S583" s="278">
        <f t="shared" si="7"/>
        <v>0</v>
      </c>
      <c r="T583" s="230"/>
      <c r="U583" s="243"/>
      <c r="V583" s="244"/>
      <c r="W583" s="243"/>
      <c r="X583" s="296"/>
      <c r="Y583" s="244"/>
    </row>
    <row r="584" spans="11:25" ht="15.75" thickBot="1" x14ac:dyDescent="0.25">
      <c r="L584" s="240"/>
      <c r="M584" s="241"/>
      <c r="N584" s="242"/>
      <c r="O584" s="241"/>
      <c r="P584" s="242"/>
      <c r="Q584" s="241"/>
      <c r="R584" s="242"/>
      <c r="S584" s="278">
        <f t="shared" si="7"/>
        <v>0</v>
      </c>
      <c r="T584" s="230"/>
      <c r="U584" s="243"/>
      <c r="V584" s="244"/>
      <c r="W584" s="243"/>
      <c r="X584" s="296"/>
      <c r="Y584" s="244"/>
    </row>
    <row r="585" spans="11:25" ht="15.75" thickBot="1" x14ac:dyDescent="0.25">
      <c r="L585" s="240"/>
      <c r="M585" s="241"/>
      <c r="N585" s="242"/>
      <c r="O585" s="241"/>
      <c r="P585" s="242"/>
      <c r="Q585" s="241"/>
      <c r="R585" s="242"/>
      <c r="S585" s="278">
        <f t="shared" si="7"/>
        <v>0</v>
      </c>
      <c r="T585" s="230"/>
      <c r="U585" s="243"/>
      <c r="V585" s="244"/>
      <c r="W585" s="243"/>
      <c r="X585" s="296"/>
      <c r="Y585" s="244"/>
    </row>
    <row r="586" spans="11:25" ht="15.75" thickBot="1" x14ac:dyDescent="0.25">
      <c r="L586" s="240"/>
      <c r="M586" s="241"/>
      <c r="N586" s="242"/>
      <c r="O586" s="241"/>
      <c r="P586" s="242"/>
      <c r="Q586" s="241"/>
      <c r="R586" s="242"/>
      <c r="S586" s="278">
        <f t="shared" si="7"/>
        <v>0</v>
      </c>
      <c r="T586" s="230"/>
      <c r="U586" s="243"/>
      <c r="V586" s="244"/>
      <c r="W586" s="243"/>
      <c r="X586" s="296"/>
      <c r="Y586" s="244"/>
    </row>
    <row r="587" spans="11:25" ht="15.75" thickBot="1" x14ac:dyDescent="0.25">
      <c r="L587" s="240"/>
      <c r="M587" s="241"/>
      <c r="N587" s="242"/>
      <c r="O587" s="241"/>
      <c r="P587" s="242"/>
      <c r="Q587" s="241"/>
      <c r="R587" s="242"/>
      <c r="S587" s="278">
        <f t="shared" si="7"/>
        <v>0</v>
      </c>
      <c r="T587" s="230"/>
      <c r="U587" s="243"/>
      <c r="V587" s="244"/>
      <c r="W587" s="243"/>
      <c r="X587" s="296"/>
      <c r="Y587" s="244"/>
    </row>
    <row r="588" spans="11:25" ht="15.75" thickBot="1" x14ac:dyDescent="0.25">
      <c r="L588" s="240"/>
      <c r="M588" s="241"/>
      <c r="N588" s="242"/>
      <c r="O588" s="241"/>
      <c r="P588" s="242"/>
      <c r="Q588" s="241"/>
      <c r="R588" s="242"/>
      <c r="S588" s="278">
        <f t="shared" si="7"/>
        <v>0</v>
      </c>
      <c r="T588" s="230"/>
      <c r="U588" s="243"/>
      <c r="V588" s="244"/>
      <c r="W588" s="243"/>
      <c r="X588" s="296"/>
      <c r="Y588" s="244"/>
    </row>
    <row r="589" spans="11:25" ht="15.75" thickBot="1" x14ac:dyDescent="0.25">
      <c r="L589" s="240"/>
      <c r="M589" s="241"/>
      <c r="N589" s="242"/>
      <c r="O589" s="241"/>
      <c r="P589" s="242"/>
      <c r="Q589" s="241"/>
      <c r="R589" s="242"/>
      <c r="S589" s="278">
        <f t="shared" si="7"/>
        <v>0</v>
      </c>
      <c r="T589" s="230"/>
      <c r="U589" s="243"/>
      <c r="V589" s="244"/>
      <c r="W589" s="243"/>
      <c r="X589" s="296"/>
      <c r="Y589" s="244"/>
    </row>
    <row r="590" spans="11:25" ht="15.75" thickBot="1" x14ac:dyDescent="0.25">
      <c r="K590" s="230"/>
      <c r="L590" s="240"/>
      <c r="M590" s="241"/>
      <c r="N590" s="242"/>
      <c r="O590" s="241"/>
      <c r="P590" s="242"/>
      <c r="Q590" s="241"/>
      <c r="R590" s="242"/>
      <c r="S590" s="278">
        <f t="shared" si="7"/>
        <v>0</v>
      </c>
      <c r="T590" s="230"/>
      <c r="U590" s="243"/>
      <c r="V590" s="244"/>
      <c r="W590" s="243"/>
      <c r="X590" s="296"/>
      <c r="Y590" s="244"/>
    </row>
    <row r="591" spans="11:25" ht="15.75" thickBot="1" x14ac:dyDescent="0.25">
      <c r="L591" s="240"/>
      <c r="M591" s="241"/>
      <c r="N591" s="242"/>
      <c r="O591" s="241"/>
      <c r="P591" s="242"/>
      <c r="Q591" s="241"/>
      <c r="R591" s="242"/>
      <c r="S591" s="278">
        <f t="shared" si="7"/>
        <v>0</v>
      </c>
      <c r="T591" s="230"/>
      <c r="U591" s="243"/>
      <c r="V591" s="244"/>
      <c r="W591" s="243"/>
      <c r="X591" s="296"/>
      <c r="Y591" s="244"/>
    </row>
    <row r="592" spans="11:25" ht="15.75" thickBot="1" x14ac:dyDescent="0.25">
      <c r="L592" s="240"/>
      <c r="M592" s="241"/>
      <c r="N592" s="242"/>
      <c r="O592" s="241"/>
      <c r="P592" s="242"/>
      <c r="Q592" s="241"/>
      <c r="R592" s="242"/>
      <c r="S592" s="278">
        <f t="shared" si="7"/>
        <v>0</v>
      </c>
      <c r="T592" s="230"/>
      <c r="U592" s="243"/>
      <c r="V592" s="244"/>
      <c r="W592" s="243"/>
      <c r="X592" s="296"/>
      <c r="Y592" s="244"/>
    </row>
    <row r="593" spans="12:25" ht="15.75" thickBot="1" x14ac:dyDescent="0.25">
      <c r="L593" s="240"/>
      <c r="M593" s="241"/>
      <c r="N593" s="242"/>
      <c r="O593" s="241"/>
      <c r="P593" s="242"/>
      <c r="Q593" s="241"/>
      <c r="R593" s="242"/>
      <c r="S593" s="278">
        <f t="shared" si="7"/>
        <v>0</v>
      </c>
      <c r="T593" s="230"/>
      <c r="U593" s="243"/>
      <c r="V593" s="244"/>
      <c r="W593" s="243"/>
      <c r="X593" s="296"/>
      <c r="Y593" s="244"/>
    </row>
    <row r="594" spans="12:25" ht="15.75" thickBot="1" x14ac:dyDescent="0.25">
      <c r="L594" s="240"/>
      <c r="M594" s="241"/>
      <c r="N594" s="242"/>
      <c r="O594" s="241"/>
      <c r="P594" s="242"/>
      <c r="Q594" s="241"/>
      <c r="R594" s="242"/>
      <c r="S594" s="278">
        <f t="shared" si="7"/>
        <v>0</v>
      </c>
      <c r="T594" s="230"/>
      <c r="U594" s="243"/>
      <c r="V594" s="244"/>
      <c r="W594" s="243"/>
      <c r="X594" s="296"/>
      <c r="Y594" s="244"/>
    </row>
    <row r="595" spans="12:25" ht="15.75" thickBot="1" x14ac:dyDescent="0.25">
      <c r="L595" s="240"/>
      <c r="M595" s="241"/>
      <c r="N595" s="242"/>
      <c r="O595" s="241"/>
      <c r="P595" s="242"/>
      <c r="Q595" s="241"/>
      <c r="R595" s="242"/>
      <c r="S595" s="278">
        <f t="shared" si="7"/>
        <v>0</v>
      </c>
      <c r="T595" s="230"/>
      <c r="U595" s="243"/>
      <c r="V595" s="244"/>
      <c r="W595" s="243"/>
      <c r="X595" s="296"/>
      <c r="Y595" s="244"/>
    </row>
    <row r="596" spans="12:25" ht="15.75" thickBot="1" x14ac:dyDescent="0.25">
      <c r="L596" s="240"/>
      <c r="M596" s="241"/>
      <c r="N596" s="242"/>
      <c r="O596" s="241"/>
      <c r="P596" s="242"/>
      <c r="Q596" s="241"/>
      <c r="R596" s="242"/>
      <c r="S596" s="278">
        <f t="shared" si="7"/>
        <v>0</v>
      </c>
      <c r="T596" s="230"/>
      <c r="U596" s="243"/>
      <c r="V596" s="244"/>
      <c r="W596" s="243"/>
      <c r="X596" s="296"/>
      <c r="Y596" s="244"/>
    </row>
    <row r="597" spans="12:25" ht="15.75" thickBot="1" x14ac:dyDescent="0.25">
      <c r="L597" s="240"/>
      <c r="M597" s="241"/>
      <c r="N597" s="242"/>
      <c r="O597" s="241"/>
      <c r="P597" s="242"/>
      <c r="Q597" s="241"/>
      <c r="R597" s="242"/>
      <c r="S597" s="278">
        <f t="shared" si="7"/>
        <v>0</v>
      </c>
      <c r="T597" s="230"/>
      <c r="U597" s="243"/>
      <c r="V597" s="244"/>
      <c r="W597" s="243"/>
      <c r="X597" s="296"/>
      <c r="Y597" s="244"/>
    </row>
    <row r="598" spans="12:25" ht="15.75" thickBot="1" x14ac:dyDescent="0.25">
      <c r="L598" s="240"/>
      <c r="M598" s="241"/>
      <c r="N598" s="242"/>
      <c r="O598" s="241"/>
      <c r="P598" s="242"/>
      <c r="Q598" s="241"/>
      <c r="R598" s="242"/>
      <c r="S598" s="278">
        <f t="shared" si="7"/>
        <v>0</v>
      </c>
      <c r="T598" s="230"/>
      <c r="U598" s="243"/>
      <c r="V598" s="244"/>
      <c r="W598" s="243"/>
      <c r="X598" s="296"/>
      <c r="Y598" s="244"/>
    </row>
    <row r="599" spans="12:25" ht="15.75" thickBot="1" x14ac:dyDescent="0.25">
      <c r="L599" s="240"/>
      <c r="M599" s="241"/>
      <c r="N599" s="242"/>
      <c r="O599" s="241"/>
      <c r="P599" s="242"/>
      <c r="Q599" s="241"/>
      <c r="R599" s="242"/>
      <c r="S599" s="278">
        <f t="shared" si="7"/>
        <v>0</v>
      </c>
      <c r="T599" s="230"/>
      <c r="U599" s="243"/>
      <c r="V599" s="244"/>
      <c r="W599" s="243"/>
      <c r="X599" s="296"/>
      <c r="Y599" s="244"/>
    </row>
    <row r="600" spans="12:25" ht="15.75" thickBot="1" x14ac:dyDescent="0.25">
      <c r="L600" s="240"/>
      <c r="M600" s="241"/>
      <c r="N600" s="242"/>
      <c r="O600" s="241"/>
      <c r="P600" s="242"/>
      <c r="Q600" s="241"/>
      <c r="R600" s="242"/>
      <c r="S600" s="278">
        <f t="shared" si="7"/>
        <v>0</v>
      </c>
      <c r="T600" s="230"/>
      <c r="U600" s="243"/>
      <c r="V600" s="244"/>
      <c r="W600" s="243"/>
      <c r="X600" s="296"/>
      <c r="Y600" s="244"/>
    </row>
    <row r="601" spans="12:25" ht="15.75" thickBot="1" x14ac:dyDescent="0.25">
      <c r="L601" s="240"/>
      <c r="M601" s="241"/>
      <c r="N601" s="242"/>
      <c r="O601" s="241"/>
      <c r="P601" s="242"/>
      <c r="Q601" s="241"/>
      <c r="R601" s="242"/>
      <c r="S601" s="278">
        <f t="shared" si="7"/>
        <v>0</v>
      </c>
      <c r="T601" s="230"/>
      <c r="U601" s="243"/>
      <c r="V601" s="244"/>
      <c r="W601" s="243"/>
      <c r="X601" s="296"/>
      <c r="Y601" s="244"/>
    </row>
    <row r="602" spans="12:25" ht="15.75" thickBot="1" x14ac:dyDescent="0.25">
      <c r="L602" s="240"/>
      <c r="M602" s="241"/>
      <c r="N602" s="242"/>
      <c r="O602" s="241"/>
      <c r="P602" s="242"/>
      <c r="Q602" s="241"/>
      <c r="R602" s="242"/>
      <c r="S602" s="278">
        <f t="shared" si="7"/>
        <v>0</v>
      </c>
      <c r="T602" s="230"/>
      <c r="U602" s="243"/>
      <c r="V602" s="244"/>
      <c r="W602" s="243"/>
      <c r="X602" s="296"/>
      <c r="Y602" s="244"/>
    </row>
    <row r="603" spans="12:25" ht="15.75" thickBot="1" x14ac:dyDescent="0.25">
      <c r="L603" s="240"/>
      <c r="M603" s="241"/>
      <c r="N603" s="242"/>
      <c r="O603" s="241"/>
      <c r="P603" s="242"/>
      <c r="Q603" s="241"/>
      <c r="R603" s="242"/>
      <c r="S603" s="278">
        <f t="shared" si="7"/>
        <v>0</v>
      </c>
      <c r="T603" s="230"/>
      <c r="U603" s="243"/>
      <c r="V603" s="244"/>
      <c r="W603" s="243"/>
      <c r="X603" s="296"/>
      <c r="Y603" s="244"/>
    </row>
    <row r="604" spans="12:25" ht="15.75" thickBot="1" x14ac:dyDescent="0.25">
      <c r="L604" s="240"/>
      <c r="M604" s="241"/>
      <c r="N604" s="242"/>
      <c r="O604" s="241"/>
      <c r="P604" s="242"/>
      <c r="Q604" s="241"/>
      <c r="R604" s="242"/>
      <c r="S604" s="278">
        <f t="shared" si="7"/>
        <v>0</v>
      </c>
      <c r="T604" s="230"/>
      <c r="U604" s="243"/>
      <c r="V604" s="244"/>
      <c r="W604" s="243"/>
      <c r="X604" s="296"/>
      <c r="Y604" s="244"/>
    </row>
    <row r="605" spans="12:25" ht="15.75" thickBot="1" x14ac:dyDescent="0.25">
      <c r="L605" s="240"/>
      <c r="M605" s="241"/>
      <c r="N605" s="242"/>
      <c r="O605" s="241"/>
      <c r="P605" s="242"/>
      <c r="Q605" s="241"/>
      <c r="R605" s="242"/>
      <c r="S605" s="278">
        <f t="shared" si="7"/>
        <v>0</v>
      </c>
      <c r="T605" s="230"/>
      <c r="U605" s="243"/>
      <c r="V605" s="244"/>
      <c r="W605" s="243"/>
      <c r="X605" s="296"/>
      <c r="Y605" s="244"/>
    </row>
    <row r="606" spans="12:25" ht="15.75" thickBot="1" x14ac:dyDescent="0.25">
      <c r="L606" s="240"/>
      <c r="M606" s="241"/>
      <c r="N606" s="242"/>
      <c r="O606" s="241"/>
      <c r="P606" s="242"/>
      <c r="Q606" s="241"/>
      <c r="R606" s="242"/>
      <c r="S606" s="278">
        <f t="shared" si="7"/>
        <v>0</v>
      </c>
      <c r="T606" s="230"/>
      <c r="U606" s="243"/>
      <c r="V606" s="244"/>
      <c r="W606" s="243"/>
      <c r="X606" s="296"/>
      <c r="Y606" s="244"/>
    </row>
    <row r="607" spans="12:25" ht="15.75" thickBot="1" x14ac:dyDescent="0.25">
      <c r="L607" s="240"/>
      <c r="M607" s="241"/>
      <c r="N607" s="242"/>
      <c r="O607" s="241"/>
      <c r="P607" s="242"/>
      <c r="Q607" s="241"/>
      <c r="R607" s="242"/>
      <c r="S607" s="278">
        <f t="shared" si="7"/>
        <v>0</v>
      </c>
      <c r="T607" s="230"/>
      <c r="U607" s="243"/>
      <c r="V607" s="244"/>
      <c r="W607" s="243"/>
      <c r="X607" s="296"/>
      <c r="Y607" s="244"/>
    </row>
    <row r="608" spans="12:25" ht="15.75" thickBot="1" x14ac:dyDescent="0.25">
      <c r="L608" s="240"/>
      <c r="M608" s="241"/>
      <c r="N608" s="242"/>
      <c r="O608" s="241"/>
      <c r="P608" s="242"/>
      <c r="Q608" s="241"/>
      <c r="R608" s="242"/>
      <c r="S608" s="278">
        <f t="shared" si="7"/>
        <v>0</v>
      </c>
      <c r="T608" s="230"/>
      <c r="U608" s="243"/>
      <c r="V608" s="244"/>
      <c r="W608" s="243"/>
      <c r="X608" s="296"/>
      <c r="Y608" s="244"/>
    </row>
    <row r="609" spans="12:25" ht="15.75" thickBot="1" x14ac:dyDescent="0.25">
      <c r="L609" s="240"/>
      <c r="M609" s="241"/>
      <c r="N609" s="242"/>
      <c r="O609" s="241"/>
      <c r="P609" s="242"/>
      <c r="Q609" s="241"/>
      <c r="R609" s="242"/>
      <c r="S609" s="278">
        <f t="shared" si="7"/>
        <v>0</v>
      </c>
      <c r="T609" s="230"/>
      <c r="U609" s="243"/>
      <c r="V609" s="244"/>
      <c r="W609" s="243"/>
      <c r="X609" s="296"/>
      <c r="Y609" s="244"/>
    </row>
    <row r="610" spans="12:25" ht="15.75" thickBot="1" x14ac:dyDescent="0.25">
      <c r="L610" s="240"/>
      <c r="M610" s="241"/>
      <c r="N610" s="242"/>
      <c r="O610" s="241"/>
      <c r="P610" s="242"/>
      <c r="Q610" s="241"/>
      <c r="R610" s="242"/>
      <c r="S610" s="278">
        <f t="shared" si="7"/>
        <v>0</v>
      </c>
      <c r="T610" s="230"/>
      <c r="U610" s="243"/>
      <c r="V610" s="244"/>
      <c r="W610" s="243"/>
      <c r="X610" s="296"/>
      <c r="Y610" s="244"/>
    </row>
    <row r="611" spans="12:25" ht="15.75" thickBot="1" x14ac:dyDescent="0.25">
      <c r="L611" s="240"/>
      <c r="M611" s="241"/>
      <c r="N611" s="242"/>
      <c r="O611" s="241"/>
      <c r="P611" s="242"/>
      <c r="Q611" s="241"/>
      <c r="R611" s="242"/>
      <c r="S611" s="278">
        <f t="shared" ref="S611:S635" si="8">SUM(L611:R611)</f>
        <v>0</v>
      </c>
      <c r="T611" s="230"/>
      <c r="U611" s="243"/>
      <c r="V611" s="244"/>
      <c r="W611" s="243"/>
      <c r="X611" s="296"/>
      <c r="Y611" s="244"/>
    </row>
    <row r="612" spans="12:25" ht="15.75" thickBot="1" x14ac:dyDescent="0.25">
      <c r="L612" s="240"/>
      <c r="M612" s="241"/>
      <c r="N612" s="242"/>
      <c r="O612" s="241"/>
      <c r="P612" s="242"/>
      <c r="Q612" s="241"/>
      <c r="R612" s="242"/>
      <c r="S612" s="278">
        <f t="shared" si="8"/>
        <v>0</v>
      </c>
      <c r="T612" s="230"/>
      <c r="U612" s="243"/>
      <c r="V612" s="244"/>
      <c r="W612" s="243"/>
      <c r="X612" s="296"/>
      <c r="Y612" s="244"/>
    </row>
    <row r="613" spans="12:25" ht="15.75" thickBot="1" x14ac:dyDescent="0.25">
      <c r="L613" s="240"/>
      <c r="M613" s="241"/>
      <c r="N613" s="242"/>
      <c r="O613" s="241"/>
      <c r="P613" s="242"/>
      <c r="Q613" s="241"/>
      <c r="R613" s="242"/>
      <c r="S613" s="278">
        <f t="shared" si="8"/>
        <v>0</v>
      </c>
      <c r="T613" s="230"/>
      <c r="U613" s="243"/>
      <c r="V613" s="244"/>
      <c r="W613" s="243"/>
      <c r="X613" s="296"/>
      <c r="Y613" s="244"/>
    </row>
    <row r="614" spans="12:25" ht="15.75" thickBot="1" x14ac:dyDescent="0.25">
      <c r="L614" s="240"/>
      <c r="M614" s="241"/>
      <c r="N614" s="242"/>
      <c r="O614" s="241"/>
      <c r="P614" s="242"/>
      <c r="Q614" s="241"/>
      <c r="R614" s="242"/>
      <c r="S614" s="278">
        <f t="shared" si="8"/>
        <v>0</v>
      </c>
      <c r="T614" s="230"/>
      <c r="U614" s="243"/>
      <c r="V614" s="244"/>
      <c r="W614" s="243"/>
      <c r="X614" s="296"/>
      <c r="Y614" s="244"/>
    </row>
    <row r="615" spans="12:25" ht="15.75" thickBot="1" x14ac:dyDescent="0.25">
      <c r="L615" s="240"/>
      <c r="M615" s="241"/>
      <c r="N615" s="242"/>
      <c r="O615" s="241"/>
      <c r="P615" s="242"/>
      <c r="Q615" s="241"/>
      <c r="R615" s="242"/>
      <c r="S615" s="278">
        <f t="shared" si="8"/>
        <v>0</v>
      </c>
      <c r="T615" s="230"/>
      <c r="U615" s="243"/>
      <c r="V615" s="244"/>
      <c r="W615" s="243"/>
      <c r="X615" s="296"/>
      <c r="Y615" s="244"/>
    </row>
    <row r="616" spans="12:25" ht="15.75" thickBot="1" x14ac:dyDescent="0.25">
      <c r="L616" s="240"/>
      <c r="M616" s="241"/>
      <c r="N616" s="242"/>
      <c r="O616" s="241"/>
      <c r="P616" s="242"/>
      <c r="Q616" s="241"/>
      <c r="R616" s="242"/>
      <c r="S616" s="278">
        <f t="shared" si="8"/>
        <v>0</v>
      </c>
      <c r="T616" s="230"/>
      <c r="U616" s="243"/>
      <c r="V616" s="244"/>
      <c r="W616" s="243"/>
      <c r="X616" s="296"/>
      <c r="Y616" s="244"/>
    </row>
    <row r="617" spans="12:25" ht="15.75" thickBot="1" x14ac:dyDescent="0.25">
      <c r="L617" s="240"/>
      <c r="M617" s="241"/>
      <c r="N617" s="242"/>
      <c r="O617" s="241"/>
      <c r="P617" s="242"/>
      <c r="Q617" s="241"/>
      <c r="R617" s="242"/>
      <c r="S617" s="278">
        <f t="shared" si="8"/>
        <v>0</v>
      </c>
      <c r="T617" s="230"/>
      <c r="U617" s="243"/>
      <c r="V617" s="244"/>
      <c r="W617" s="243"/>
      <c r="X617" s="296"/>
      <c r="Y617" s="244"/>
    </row>
    <row r="618" spans="12:25" ht="15.75" thickBot="1" x14ac:dyDescent="0.25">
      <c r="L618" s="240"/>
      <c r="M618" s="241"/>
      <c r="N618" s="242"/>
      <c r="O618" s="241"/>
      <c r="P618" s="242"/>
      <c r="Q618" s="241"/>
      <c r="R618" s="242"/>
      <c r="S618" s="278">
        <f t="shared" si="8"/>
        <v>0</v>
      </c>
      <c r="T618" s="230"/>
      <c r="U618" s="243"/>
      <c r="V618" s="244"/>
      <c r="W618" s="243"/>
      <c r="X618" s="296"/>
      <c r="Y618" s="244"/>
    </row>
    <row r="619" spans="12:25" ht="15.75" thickBot="1" x14ac:dyDescent="0.25">
      <c r="L619" s="240"/>
      <c r="M619" s="241"/>
      <c r="N619" s="242"/>
      <c r="O619" s="241"/>
      <c r="P619" s="242"/>
      <c r="Q619" s="241"/>
      <c r="R619" s="242"/>
      <c r="S619" s="278">
        <f t="shared" si="8"/>
        <v>0</v>
      </c>
      <c r="T619" s="230"/>
      <c r="U619" s="243"/>
      <c r="V619" s="244"/>
      <c r="W619" s="243"/>
      <c r="X619" s="296"/>
      <c r="Y619" s="244"/>
    </row>
    <row r="620" spans="12:25" ht="15.75" thickBot="1" x14ac:dyDescent="0.25">
      <c r="L620" s="240"/>
      <c r="M620" s="241"/>
      <c r="N620" s="242"/>
      <c r="O620" s="241"/>
      <c r="P620" s="242"/>
      <c r="Q620" s="241"/>
      <c r="R620" s="242"/>
      <c r="S620" s="278">
        <f t="shared" si="8"/>
        <v>0</v>
      </c>
      <c r="T620" s="230"/>
      <c r="U620" s="243"/>
      <c r="V620" s="244"/>
      <c r="W620" s="243"/>
      <c r="X620" s="296"/>
      <c r="Y620" s="244"/>
    </row>
    <row r="621" spans="12:25" ht="15.75" thickBot="1" x14ac:dyDescent="0.25">
      <c r="L621" s="240"/>
      <c r="M621" s="241"/>
      <c r="N621" s="242"/>
      <c r="O621" s="241"/>
      <c r="P621" s="242"/>
      <c r="Q621" s="241"/>
      <c r="R621" s="242"/>
      <c r="S621" s="278">
        <f t="shared" si="8"/>
        <v>0</v>
      </c>
      <c r="T621" s="230"/>
      <c r="U621" s="243"/>
      <c r="V621" s="244"/>
      <c r="W621" s="243"/>
      <c r="X621" s="296"/>
      <c r="Y621" s="244"/>
    </row>
    <row r="622" spans="12:25" ht="15.75" thickBot="1" x14ac:dyDescent="0.25">
      <c r="L622" s="240"/>
      <c r="M622" s="241"/>
      <c r="N622" s="242"/>
      <c r="O622" s="241"/>
      <c r="P622" s="242"/>
      <c r="Q622" s="241"/>
      <c r="R622" s="242"/>
      <c r="S622" s="278">
        <f t="shared" si="8"/>
        <v>0</v>
      </c>
      <c r="T622" s="230"/>
      <c r="U622" s="243"/>
      <c r="V622" s="244"/>
      <c r="W622" s="243"/>
      <c r="X622" s="296"/>
      <c r="Y622" s="244"/>
    </row>
    <row r="623" spans="12:25" ht="15.75" thickBot="1" x14ac:dyDescent="0.25">
      <c r="L623" s="240"/>
      <c r="M623" s="241"/>
      <c r="N623" s="242"/>
      <c r="O623" s="241"/>
      <c r="P623" s="242"/>
      <c r="Q623" s="241"/>
      <c r="R623" s="242"/>
      <c r="S623" s="278">
        <f t="shared" si="8"/>
        <v>0</v>
      </c>
      <c r="T623" s="230"/>
      <c r="U623" s="243"/>
      <c r="V623" s="244"/>
      <c r="W623" s="243"/>
      <c r="X623" s="296"/>
      <c r="Y623" s="244"/>
    </row>
    <row r="624" spans="12:25" ht="15.75" thickBot="1" x14ac:dyDescent="0.25">
      <c r="L624" s="240"/>
      <c r="M624" s="241"/>
      <c r="N624" s="242"/>
      <c r="O624" s="241"/>
      <c r="P624" s="242"/>
      <c r="Q624" s="241"/>
      <c r="R624" s="242"/>
      <c r="S624" s="278">
        <f t="shared" si="8"/>
        <v>0</v>
      </c>
      <c r="T624" s="230"/>
      <c r="U624" s="243"/>
      <c r="V624" s="244"/>
      <c r="W624" s="243"/>
      <c r="X624" s="296"/>
      <c r="Y624" s="244"/>
    </row>
    <row r="625" spans="12:25" ht="15.75" thickBot="1" x14ac:dyDescent="0.25">
      <c r="L625" s="240"/>
      <c r="M625" s="241"/>
      <c r="N625" s="242"/>
      <c r="O625" s="241"/>
      <c r="P625" s="242"/>
      <c r="Q625" s="241"/>
      <c r="R625" s="242"/>
      <c r="S625" s="278">
        <f t="shared" si="8"/>
        <v>0</v>
      </c>
      <c r="T625" s="230"/>
      <c r="U625" s="243"/>
      <c r="V625" s="244"/>
      <c r="W625" s="243"/>
      <c r="X625" s="296"/>
      <c r="Y625" s="244"/>
    </row>
    <row r="626" spans="12:25" ht="15.75" thickBot="1" x14ac:dyDescent="0.25">
      <c r="L626" s="240"/>
      <c r="M626" s="241"/>
      <c r="N626" s="242"/>
      <c r="O626" s="241"/>
      <c r="P626" s="242"/>
      <c r="Q626" s="241"/>
      <c r="R626" s="242"/>
      <c r="S626" s="278">
        <f t="shared" si="8"/>
        <v>0</v>
      </c>
      <c r="T626" s="230"/>
      <c r="U626" s="243"/>
      <c r="V626" s="244"/>
      <c r="W626" s="243"/>
      <c r="X626" s="296"/>
      <c r="Y626" s="244"/>
    </row>
    <row r="627" spans="12:25" ht="15.75" thickBot="1" x14ac:dyDescent="0.25">
      <c r="L627" s="240"/>
      <c r="M627" s="241"/>
      <c r="N627" s="242"/>
      <c r="O627" s="241"/>
      <c r="P627" s="242"/>
      <c r="Q627" s="241"/>
      <c r="R627" s="242"/>
      <c r="S627" s="278">
        <f t="shared" si="8"/>
        <v>0</v>
      </c>
      <c r="T627" s="230"/>
      <c r="U627" s="243"/>
      <c r="V627" s="244"/>
      <c r="W627" s="243"/>
      <c r="X627" s="296"/>
      <c r="Y627" s="244"/>
    </row>
    <row r="628" spans="12:25" ht="15.75" thickBot="1" x14ac:dyDescent="0.25">
      <c r="S628" s="278">
        <f t="shared" si="8"/>
        <v>0</v>
      </c>
      <c r="X628" s="297"/>
    </row>
    <row r="629" spans="12:25" ht="15.75" thickBot="1" x14ac:dyDescent="0.25">
      <c r="S629" s="278">
        <f t="shared" si="8"/>
        <v>0</v>
      </c>
      <c r="X629" s="297"/>
    </row>
    <row r="630" spans="12:25" ht="15.75" thickBot="1" x14ac:dyDescent="0.25">
      <c r="S630" s="278">
        <f t="shared" si="8"/>
        <v>0</v>
      </c>
      <c r="X630" s="297"/>
    </row>
    <row r="631" spans="12:25" ht="15.75" thickBot="1" x14ac:dyDescent="0.25">
      <c r="S631" s="278">
        <f t="shared" si="8"/>
        <v>0</v>
      </c>
      <c r="X631" s="297"/>
    </row>
    <row r="632" spans="12:25" ht="15.75" thickBot="1" x14ac:dyDescent="0.25">
      <c r="S632" s="278">
        <f t="shared" si="8"/>
        <v>0</v>
      </c>
      <c r="X632" s="297"/>
    </row>
    <row r="633" spans="12:25" ht="15.75" thickBot="1" x14ac:dyDescent="0.25">
      <c r="S633" s="278">
        <f t="shared" si="8"/>
        <v>0</v>
      </c>
      <c r="X633" s="297"/>
    </row>
    <row r="634" spans="12:25" ht="15.75" thickBot="1" x14ac:dyDescent="0.25">
      <c r="S634" s="278">
        <f t="shared" si="8"/>
        <v>0</v>
      </c>
      <c r="X634" s="297"/>
    </row>
    <row r="635" spans="12:25" ht="15.75" thickBot="1" x14ac:dyDescent="0.25">
      <c r="S635" s="278">
        <f t="shared" si="8"/>
        <v>0</v>
      </c>
      <c r="X635" s="297"/>
    </row>
    <row r="636" spans="12:25" ht="13.5" thickBot="1" x14ac:dyDescent="0.25">
      <c r="X636" s="297"/>
    </row>
    <row r="637" spans="12:25" ht="13.5" thickBot="1" x14ac:dyDescent="0.25">
      <c r="X637" s="297"/>
    </row>
    <row r="638" spans="12:25" ht="13.5" thickBot="1" x14ac:dyDescent="0.25">
      <c r="X638" s="297"/>
    </row>
    <row r="639" spans="12:25" ht="13.5" thickBot="1" x14ac:dyDescent="0.25">
      <c r="X639" s="297"/>
    </row>
    <row r="640" spans="12:25" ht="13.5" thickBot="1" x14ac:dyDescent="0.25">
      <c r="X640" s="297"/>
    </row>
    <row r="641" spans="24:24" ht="13.5" thickBot="1" x14ac:dyDescent="0.25">
      <c r="X641" s="297"/>
    </row>
    <row r="642" spans="24:24" ht="13.5" thickBot="1" x14ac:dyDescent="0.25">
      <c r="X642" s="297"/>
    </row>
    <row r="643" spans="24:24" ht="13.5" thickBot="1" x14ac:dyDescent="0.25">
      <c r="X643" s="297"/>
    </row>
  </sheetData>
  <mergeCells count="2">
    <mergeCell ref="L1:S1"/>
    <mergeCell ref="U1:AB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E106"/>
  <sheetViews>
    <sheetView topLeftCell="A58" workbookViewId="0">
      <selection activeCell="H11" sqref="H11"/>
    </sheetView>
  </sheetViews>
  <sheetFormatPr baseColWidth="10" defaultColWidth="11.42578125" defaultRowHeight="12.75" x14ac:dyDescent="0.2"/>
  <cols>
    <col min="1" max="1" width="15.85546875" style="19" customWidth="1"/>
    <col min="2" max="2" width="30.28515625" style="16" customWidth="1"/>
    <col min="3" max="3" width="22" style="15" customWidth="1"/>
    <col min="4" max="4" width="28.42578125" style="15" customWidth="1"/>
    <col min="5" max="16384" width="11.42578125" style="15"/>
  </cols>
  <sheetData>
    <row r="1" spans="1:5" ht="15.75" x14ac:dyDescent="0.2">
      <c r="A1" s="14" t="s">
        <v>1910</v>
      </c>
    </row>
    <row r="3" spans="1:5" s="17" customFormat="1" ht="38.25" x14ac:dyDescent="0.2">
      <c r="A3" s="17" t="s">
        <v>1911</v>
      </c>
      <c r="B3" s="18" t="s">
        <v>1912</v>
      </c>
      <c r="E3" s="17" t="s">
        <v>1913</v>
      </c>
    </row>
    <row r="5" spans="1:5" ht="38.25" customHeight="1" x14ac:dyDescent="0.2">
      <c r="A5" s="540" t="s">
        <v>1914</v>
      </c>
      <c r="B5" s="696" t="s">
        <v>1756</v>
      </c>
      <c r="C5" s="21"/>
      <c r="D5" s="21"/>
      <c r="E5" s="21" t="s">
        <v>52</v>
      </c>
    </row>
    <row r="6" spans="1:5" ht="33.75" x14ac:dyDescent="0.2">
      <c r="A6" s="19" t="s">
        <v>1915</v>
      </c>
      <c r="B6" s="16" t="s">
        <v>1916</v>
      </c>
      <c r="C6" s="4"/>
      <c r="D6" s="4"/>
      <c r="E6" s="4" t="s">
        <v>91</v>
      </c>
    </row>
    <row r="7" spans="1:5" x14ac:dyDescent="0.2">
      <c r="A7" s="19" t="s">
        <v>1917</v>
      </c>
      <c r="B7" s="16" t="s">
        <v>1762</v>
      </c>
      <c r="C7" s="4"/>
      <c r="D7" s="4"/>
      <c r="E7" s="4" t="s">
        <v>214</v>
      </c>
    </row>
    <row r="8" spans="1:5" ht="24.75" customHeight="1" x14ac:dyDescent="0.2">
      <c r="A8" s="22">
        <v>500</v>
      </c>
      <c r="B8" s="696" t="s">
        <v>767</v>
      </c>
      <c r="C8" s="21"/>
      <c r="D8" s="21"/>
      <c r="E8" s="21" t="s">
        <v>1918</v>
      </c>
    </row>
    <row r="9" spans="1:5" ht="33.75" x14ac:dyDescent="0.2">
      <c r="A9" s="19" t="s">
        <v>1919</v>
      </c>
      <c r="B9" s="16" t="s">
        <v>1920</v>
      </c>
      <c r="C9" s="4"/>
      <c r="D9" s="4"/>
      <c r="E9" s="4" t="s">
        <v>91</v>
      </c>
    </row>
    <row r="10" spans="1:5" x14ac:dyDescent="0.2">
      <c r="A10" s="22">
        <v>550</v>
      </c>
      <c r="B10" s="16" t="s">
        <v>859</v>
      </c>
      <c r="C10" s="4"/>
      <c r="D10" s="4"/>
      <c r="E10" s="21" t="s">
        <v>1918</v>
      </c>
    </row>
    <row r="11" spans="1:5" ht="33.75" x14ac:dyDescent="0.2">
      <c r="A11" s="18" t="s">
        <v>1921</v>
      </c>
      <c r="B11" s="16" t="s">
        <v>1922</v>
      </c>
      <c r="C11" s="4"/>
      <c r="D11" s="4"/>
      <c r="E11" s="21" t="s">
        <v>52</v>
      </c>
    </row>
    <row r="12" spans="1:5" x14ac:dyDescent="0.2">
      <c r="A12" s="18"/>
      <c r="C12" s="4"/>
      <c r="D12" s="4"/>
      <c r="E12" s="21"/>
    </row>
    <row r="13" spans="1:5" x14ac:dyDescent="0.2">
      <c r="A13" s="18"/>
      <c r="C13" s="4"/>
      <c r="D13" s="4"/>
      <c r="E13" s="21"/>
    </row>
    <row r="14" spans="1:5" x14ac:dyDescent="0.2">
      <c r="A14" s="18"/>
      <c r="C14" s="4"/>
      <c r="D14" s="4"/>
      <c r="E14" s="21"/>
    </row>
    <row r="15" spans="1:5" ht="38.25" customHeight="1" x14ac:dyDescent="0.2">
      <c r="A15" s="759" t="s">
        <v>1923</v>
      </c>
      <c r="B15" s="759"/>
      <c r="C15" s="759"/>
      <c r="D15" s="759"/>
      <c r="E15" s="21" t="s">
        <v>1924</v>
      </c>
    </row>
    <row r="16" spans="1:5" x14ac:dyDescent="0.2">
      <c r="B16" s="20" t="s">
        <v>1925</v>
      </c>
      <c r="C16" s="696"/>
      <c r="D16" s="23"/>
    </row>
    <row r="17" spans="1:4" x14ac:dyDescent="0.2">
      <c r="B17" s="20"/>
      <c r="C17" s="696" t="s">
        <v>1926</v>
      </c>
      <c r="D17" s="23" t="s">
        <v>425</v>
      </c>
    </row>
    <row r="18" spans="1:4" x14ac:dyDescent="0.2">
      <c r="B18" s="20"/>
      <c r="C18" s="696" t="s">
        <v>1927</v>
      </c>
      <c r="D18" s="23" t="s">
        <v>1785</v>
      </c>
    </row>
    <row r="19" spans="1:4" x14ac:dyDescent="0.2">
      <c r="B19" s="20"/>
      <c r="C19" s="696" t="s">
        <v>1928</v>
      </c>
      <c r="D19" s="23" t="s">
        <v>1021</v>
      </c>
    </row>
    <row r="20" spans="1:4" x14ac:dyDescent="0.2">
      <c r="B20" s="20"/>
      <c r="C20" s="696" t="s">
        <v>1929</v>
      </c>
      <c r="D20" s="23" t="s">
        <v>230</v>
      </c>
    </row>
    <row r="21" spans="1:4" x14ac:dyDescent="0.2">
      <c r="B21" s="20"/>
      <c r="C21" s="696" t="s">
        <v>1930</v>
      </c>
      <c r="D21" s="23" t="s">
        <v>384</v>
      </c>
    </row>
    <row r="22" spans="1:4" x14ac:dyDescent="0.2">
      <c r="B22" s="20"/>
      <c r="C22" s="696" t="s">
        <v>1931</v>
      </c>
      <c r="D22" s="23" t="s">
        <v>1786</v>
      </c>
    </row>
    <row r="23" spans="1:4" x14ac:dyDescent="0.2">
      <c r="B23" s="20"/>
      <c r="C23" s="696" t="s">
        <v>1932</v>
      </c>
      <c r="D23" s="23" t="s">
        <v>79</v>
      </c>
    </row>
    <row r="24" spans="1:4" x14ac:dyDescent="0.2">
      <c r="B24" s="20"/>
      <c r="C24" s="696" t="s">
        <v>1933</v>
      </c>
      <c r="D24" s="23" t="s">
        <v>1296</v>
      </c>
    </row>
    <row r="25" spans="1:4" x14ac:dyDescent="0.2">
      <c r="B25" s="20"/>
      <c r="C25" s="696" t="s">
        <v>1934</v>
      </c>
      <c r="D25" s="23" t="s">
        <v>656</v>
      </c>
    </row>
    <row r="26" spans="1:4" x14ac:dyDescent="0.2">
      <c r="B26" s="20"/>
      <c r="C26" s="696" t="s">
        <v>1935</v>
      </c>
      <c r="D26" s="23" t="s">
        <v>126</v>
      </c>
    </row>
    <row r="27" spans="1:4" x14ac:dyDescent="0.2">
      <c r="B27" s="20"/>
      <c r="C27" s="696" t="s">
        <v>1936</v>
      </c>
      <c r="D27" s="23" t="s">
        <v>436</v>
      </c>
    </row>
    <row r="28" spans="1:4" x14ac:dyDescent="0.2">
      <c r="B28" s="20"/>
      <c r="C28" s="696" t="s">
        <v>1937</v>
      </c>
      <c r="D28" s="23" t="s">
        <v>1184</v>
      </c>
    </row>
    <row r="29" spans="1:4" x14ac:dyDescent="0.2">
      <c r="B29" s="20"/>
      <c r="C29" s="696"/>
      <c r="D29" s="23"/>
    </row>
    <row r="30" spans="1:4" x14ac:dyDescent="0.2">
      <c r="B30" s="24" t="s">
        <v>1938</v>
      </c>
      <c r="C30" s="25"/>
      <c r="D30" s="26"/>
    </row>
    <row r="31" spans="1:4" x14ac:dyDescent="0.2">
      <c r="A31" s="18"/>
      <c r="B31" s="27"/>
      <c r="C31" s="25" t="s">
        <v>1939</v>
      </c>
      <c r="D31" s="26" t="s">
        <v>63</v>
      </c>
    </row>
    <row r="32" spans="1:4" x14ac:dyDescent="0.2">
      <c r="B32" s="27"/>
      <c r="C32" s="25" t="s">
        <v>1940</v>
      </c>
      <c r="D32" s="26" t="s">
        <v>454</v>
      </c>
    </row>
    <row r="33" spans="1:4" x14ac:dyDescent="0.2">
      <c r="B33" s="27"/>
      <c r="C33" s="25" t="s">
        <v>1941</v>
      </c>
      <c r="D33" s="26" t="s">
        <v>67</v>
      </c>
    </row>
    <row r="34" spans="1:4" x14ac:dyDescent="0.2">
      <c r="B34" s="27"/>
      <c r="C34" s="25" t="s">
        <v>1942</v>
      </c>
      <c r="D34" s="26" t="s">
        <v>834</v>
      </c>
    </row>
    <row r="35" spans="1:4" x14ac:dyDescent="0.2">
      <c r="B35" s="27"/>
      <c r="C35" s="25" t="s">
        <v>1943</v>
      </c>
      <c r="D35" s="26" t="s">
        <v>461</v>
      </c>
    </row>
    <row r="36" spans="1:4" x14ac:dyDescent="0.2">
      <c r="B36" s="27"/>
      <c r="C36" s="25" t="s">
        <v>1944</v>
      </c>
      <c r="D36" s="26" t="s">
        <v>1945</v>
      </c>
    </row>
    <row r="37" spans="1:4" x14ac:dyDescent="0.2">
      <c r="B37" s="27"/>
      <c r="C37" s="25" t="s">
        <v>1946</v>
      </c>
      <c r="D37" s="26" t="s">
        <v>446</v>
      </c>
    </row>
    <row r="38" spans="1:4" x14ac:dyDescent="0.2">
      <c r="B38" s="27"/>
      <c r="C38" s="25" t="s">
        <v>1947</v>
      </c>
      <c r="D38" s="26" t="s">
        <v>1259</v>
      </c>
    </row>
    <row r="39" spans="1:4" x14ac:dyDescent="0.2">
      <c r="B39" s="27"/>
      <c r="C39" s="25" t="s">
        <v>1948</v>
      </c>
      <c r="D39" s="26" t="s">
        <v>433</v>
      </c>
    </row>
    <row r="40" spans="1:4" x14ac:dyDescent="0.2">
      <c r="B40" s="27"/>
      <c r="C40" s="25"/>
      <c r="D40" s="26"/>
    </row>
    <row r="41" spans="1:4" x14ac:dyDescent="0.2">
      <c r="B41" s="22" t="s">
        <v>1949</v>
      </c>
      <c r="C41" s="696"/>
      <c r="D41" s="23"/>
    </row>
    <row r="42" spans="1:4" x14ac:dyDescent="0.2">
      <c r="A42" s="18"/>
      <c r="B42" s="20"/>
      <c r="C42" s="696" t="s">
        <v>1950</v>
      </c>
      <c r="D42" s="23" t="s">
        <v>226</v>
      </c>
    </row>
    <row r="43" spans="1:4" x14ac:dyDescent="0.2">
      <c r="B43" s="20"/>
      <c r="C43" s="696" t="s">
        <v>1951</v>
      </c>
      <c r="D43" s="23" t="s">
        <v>93</v>
      </c>
    </row>
    <row r="44" spans="1:4" x14ac:dyDescent="0.2">
      <c r="B44" s="20"/>
      <c r="C44" s="696" t="s">
        <v>1952</v>
      </c>
      <c r="D44" s="23" t="s">
        <v>187</v>
      </c>
    </row>
    <row r="45" spans="1:4" x14ac:dyDescent="0.2">
      <c r="B45" s="20"/>
      <c r="C45" s="696" t="s">
        <v>1953</v>
      </c>
      <c r="D45" s="23" t="s">
        <v>202</v>
      </c>
    </row>
    <row r="46" spans="1:4" x14ac:dyDescent="0.2">
      <c r="B46" s="20"/>
      <c r="C46" s="696" t="s">
        <v>1954</v>
      </c>
      <c r="D46" s="23" t="s">
        <v>303</v>
      </c>
    </row>
    <row r="47" spans="1:4" x14ac:dyDescent="0.2">
      <c r="B47" s="20"/>
      <c r="C47" s="696" t="s">
        <v>1955</v>
      </c>
      <c r="D47" s="23" t="s">
        <v>220</v>
      </c>
    </row>
    <row r="48" spans="1:4" x14ac:dyDescent="0.2">
      <c r="B48" s="20"/>
      <c r="C48" s="696" t="s">
        <v>1956</v>
      </c>
      <c r="D48" s="23" t="s">
        <v>351</v>
      </c>
    </row>
    <row r="49" spans="2:4" x14ac:dyDescent="0.2">
      <c r="B49" s="20"/>
      <c r="C49" s="696" t="s">
        <v>1957</v>
      </c>
      <c r="D49" s="23" t="s">
        <v>1788</v>
      </c>
    </row>
    <row r="50" spans="2:4" x14ac:dyDescent="0.2">
      <c r="B50" s="20"/>
      <c r="C50" s="696" t="s">
        <v>1958</v>
      </c>
      <c r="D50" s="23" t="s">
        <v>1789</v>
      </c>
    </row>
    <row r="51" spans="2:4" x14ac:dyDescent="0.2">
      <c r="B51" s="20"/>
      <c r="C51" s="696" t="s">
        <v>1959</v>
      </c>
      <c r="D51" s="23" t="s">
        <v>106</v>
      </c>
    </row>
    <row r="52" spans="2:4" x14ac:dyDescent="0.2">
      <c r="B52" s="20"/>
      <c r="C52" s="696" t="s">
        <v>1960</v>
      </c>
      <c r="D52" s="23" t="s">
        <v>206</v>
      </c>
    </row>
    <row r="53" spans="2:4" x14ac:dyDescent="0.2">
      <c r="B53" s="20"/>
      <c r="C53" s="696" t="s">
        <v>1961</v>
      </c>
      <c r="D53" s="23" t="s">
        <v>466</v>
      </c>
    </row>
    <row r="54" spans="2:4" x14ac:dyDescent="0.2">
      <c r="B54" s="20"/>
      <c r="C54" s="696"/>
      <c r="D54" s="23"/>
    </row>
    <row r="55" spans="2:4" x14ac:dyDescent="0.2">
      <c r="B55" s="27" t="s">
        <v>1962</v>
      </c>
      <c r="C55" s="25"/>
      <c r="D55" s="26"/>
    </row>
    <row r="56" spans="2:4" x14ac:dyDescent="0.2">
      <c r="B56" s="27"/>
      <c r="C56" s="25" t="s">
        <v>1963</v>
      </c>
      <c r="D56" s="26" t="s">
        <v>1790</v>
      </c>
    </row>
    <row r="57" spans="2:4" x14ac:dyDescent="0.2">
      <c r="B57" s="27"/>
      <c r="C57" s="25" t="s">
        <v>1964</v>
      </c>
      <c r="D57" s="26" t="s">
        <v>198</v>
      </c>
    </row>
    <row r="58" spans="2:4" x14ac:dyDescent="0.2">
      <c r="B58" s="27"/>
      <c r="C58" s="25" t="s">
        <v>1965</v>
      </c>
      <c r="D58" s="26" t="s">
        <v>56</v>
      </c>
    </row>
    <row r="59" spans="2:4" x14ac:dyDescent="0.2">
      <c r="B59" s="27"/>
      <c r="C59" s="25" t="s">
        <v>1966</v>
      </c>
      <c r="D59" s="26" t="s">
        <v>389</v>
      </c>
    </row>
    <row r="60" spans="2:4" x14ac:dyDescent="0.2">
      <c r="B60" s="27"/>
      <c r="C60" s="25" t="s">
        <v>1967</v>
      </c>
      <c r="D60" s="26" t="s">
        <v>124</v>
      </c>
    </row>
    <row r="61" spans="2:4" x14ac:dyDescent="0.2">
      <c r="B61" s="27"/>
      <c r="C61" s="25" t="s">
        <v>1968</v>
      </c>
      <c r="D61" s="26" t="s">
        <v>1792</v>
      </c>
    </row>
    <row r="62" spans="2:4" x14ac:dyDescent="0.2">
      <c r="B62" s="27"/>
      <c r="C62" s="25" t="s">
        <v>1969</v>
      </c>
      <c r="D62" s="26" t="s">
        <v>89</v>
      </c>
    </row>
    <row r="63" spans="2:4" x14ac:dyDescent="0.2">
      <c r="B63" s="27"/>
      <c r="C63" s="25" t="s">
        <v>1970</v>
      </c>
      <c r="D63" s="26" t="s">
        <v>118</v>
      </c>
    </row>
    <row r="64" spans="2:4" x14ac:dyDescent="0.2">
      <c r="B64" s="27"/>
      <c r="C64" s="25" t="s">
        <v>1971</v>
      </c>
      <c r="D64" s="26" t="s">
        <v>1791</v>
      </c>
    </row>
    <row r="65" spans="2:4" x14ac:dyDescent="0.2">
      <c r="B65" s="27"/>
      <c r="C65" s="25" t="s">
        <v>1972</v>
      </c>
      <c r="D65" s="26" t="s">
        <v>1667</v>
      </c>
    </row>
    <row r="66" spans="2:4" x14ac:dyDescent="0.2">
      <c r="B66" s="27"/>
      <c r="C66" s="25"/>
      <c r="D66" s="26"/>
    </row>
    <row r="67" spans="2:4" x14ac:dyDescent="0.2">
      <c r="B67" s="20" t="s">
        <v>1973</v>
      </c>
      <c r="C67" s="696"/>
      <c r="D67" s="23"/>
    </row>
    <row r="68" spans="2:4" x14ac:dyDescent="0.2">
      <c r="B68" s="20"/>
      <c r="C68" s="696" t="s">
        <v>1974</v>
      </c>
      <c r="D68" s="23" t="s">
        <v>72</v>
      </c>
    </row>
    <row r="69" spans="2:4" x14ac:dyDescent="0.2">
      <c r="B69" s="20"/>
      <c r="C69" s="696" t="s">
        <v>1975</v>
      </c>
      <c r="D69" s="23" t="s">
        <v>1793</v>
      </c>
    </row>
    <row r="70" spans="2:4" x14ac:dyDescent="0.2">
      <c r="B70" s="20"/>
      <c r="C70" s="696" t="s">
        <v>1976</v>
      </c>
      <c r="D70" s="23" t="s">
        <v>1014</v>
      </c>
    </row>
    <row r="71" spans="2:4" x14ac:dyDescent="0.2">
      <c r="B71" s="20"/>
      <c r="C71" s="696" t="s">
        <v>1977</v>
      </c>
      <c r="D71" s="23" t="s">
        <v>98</v>
      </c>
    </row>
    <row r="72" spans="2:4" x14ac:dyDescent="0.2">
      <c r="B72" s="20"/>
      <c r="C72" s="696" t="s">
        <v>1978</v>
      </c>
      <c r="D72" s="23" t="s">
        <v>143</v>
      </c>
    </row>
    <row r="73" spans="2:4" x14ac:dyDescent="0.2">
      <c r="B73" s="20"/>
      <c r="C73" s="696" t="s">
        <v>1979</v>
      </c>
      <c r="D73" s="23" t="s">
        <v>307</v>
      </c>
    </row>
    <row r="74" spans="2:4" x14ac:dyDescent="0.2">
      <c r="B74" s="20"/>
      <c r="C74" s="696" t="s">
        <v>1980</v>
      </c>
      <c r="D74" s="23" t="s">
        <v>164</v>
      </c>
    </row>
    <row r="75" spans="2:4" x14ac:dyDescent="0.2">
      <c r="B75" s="20"/>
      <c r="C75" s="696" t="s">
        <v>1981</v>
      </c>
      <c r="D75" s="23" t="s">
        <v>1004</v>
      </c>
    </row>
    <row r="76" spans="2:4" x14ac:dyDescent="0.2">
      <c r="B76" s="20"/>
      <c r="C76" s="696" t="s">
        <v>1982</v>
      </c>
      <c r="D76" s="23" t="s">
        <v>128</v>
      </c>
    </row>
    <row r="77" spans="2:4" x14ac:dyDescent="0.2">
      <c r="B77" s="20"/>
      <c r="C77" s="696" t="s">
        <v>1983</v>
      </c>
      <c r="D77" s="23" t="s">
        <v>208</v>
      </c>
    </row>
    <row r="78" spans="2:4" x14ac:dyDescent="0.2">
      <c r="B78" s="20"/>
      <c r="C78" s="696" t="s">
        <v>1984</v>
      </c>
      <c r="D78" s="23" t="s">
        <v>248</v>
      </c>
    </row>
    <row r="79" spans="2:4" x14ac:dyDescent="0.2">
      <c r="B79" s="20"/>
      <c r="C79" s="696" t="s">
        <v>1985</v>
      </c>
      <c r="D79" s="23" t="s">
        <v>111</v>
      </c>
    </row>
    <row r="80" spans="2:4" x14ac:dyDescent="0.2">
      <c r="B80" s="20"/>
      <c r="C80" s="696" t="s">
        <v>1986</v>
      </c>
      <c r="D80" s="23" t="s">
        <v>181</v>
      </c>
    </row>
    <row r="81" spans="1:4" x14ac:dyDescent="0.2">
      <c r="B81" s="20"/>
      <c r="C81" s="696"/>
      <c r="D81" s="23"/>
    </row>
    <row r="82" spans="1:4" ht="25.5" x14ac:dyDescent="0.2">
      <c r="B82" s="170" t="s">
        <v>1987</v>
      </c>
      <c r="C82" s="290"/>
      <c r="D82" s="291"/>
    </row>
    <row r="83" spans="1:4" x14ac:dyDescent="0.2">
      <c r="B83" s="170"/>
      <c r="C83" s="290" t="s">
        <v>1988</v>
      </c>
      <c r="D83" s="291" t="s">
        <v>1989</v>
      </c>
    </row>
    <row r="84" spans="1:4" x14ac:dyDescent="0.2">
      <c r="B84" s="170"/>
      <c r="C84" s="290" t="s">
        <v>1990</v>
      </c>
      <c r="D84" s="291" t="s">
        <v>1991</v>
      </c>
    </row>
    <row r="85" spans="1:4" x14ac:dyDescent="0.2">
      <c r="B85" s="170"/>
      <c r="C85" s="290" t="s">
        <v>1992</v>
      </c>
      <c r="D85" s="291" t="s">
        <v>1993</v>
      </c>
    </row>
    <row r="88" spans="1:4" s="44" customFormat="1" x14ac:dyDescent="0.2">
      <c r="A88" s="43" t="s">
        <v>1994</v>
      </c>
      <c r="B88" s="697"/>
    </row>
    <row r="89" spans="1:4" s="49" customFormat="1" ht="58.5" customHeight="1" x14ac:dyDescent="0.2">
      <c r="A89" s="48"/>
      <c r="B89" s="760" t="s">
        <v>1995</v>
      </c>
      <c r="C89" s="760"/>
      <c r="D89" s="760"/>
    </row>
    <row r="90" spans="1:4" s="44" customFormat="1" ht="38.25" customHeight="1" x14ac:dyDescent="0.2">
      <c r="A90" s="43"/>
      <c r="B90" s="761" t="s">
        <v>1996</v>
      </c>
      <c r="C90" s="761"/>
      <c r="D90" s="761"/>
    </row>
    <row r="91" spans="1:4" s="46" customFormat="1" x14ac:dyDescent="0.2">
      <c r="A91" s="45"/>
      <c r="B91" s="47" t="s">
        <v>1997</v>
      </c>
    </row>
    <row r="92" spans="1:4" s="46" customFormat="1" x14ac:dyDescent="0.2">
      <c r="A92" s="45"/>
      <c r="B92" s="47" t="s">
        <v>1998</v>
      </c>
    </row>
    <row r="93" spans="1:4" s="44" customFormat="1" x14ac:dyDescent="0.2">
      <c r="A93" s="43"/>
      <c r="B93" s="697" t="s">
        <v>1999</v>
      </c>
    </row>
    <row r="94" spans="1:4" x14ac:dyDescent="0.2">
      <c r="B94" s="16" t="s">
        <v>2000</v>
      </c>
    </row>
    <row r="95" spans="1:4" x14ac:dyDescent="0.2">
      <c r="B95" s="16" t="s">
        <v>2001</v>
      </c>
    </row>
    <row r="96" spans="1:4" x14ac:dyDescent="0.2">
      <c r="B96" s="16" t="s">
        <v>2002</v>
      </c>
    </row>
    <row r="97" spans="1:5" x14ac:dyDescent="0.2">
      <c r="B97" s="16" t="s">
        <v>2003</v>
      </c>
    </row>
    <row r="98" spans="1:5" x14ac:dyDescent="0.2">
      <c r="B98" s="16" t="s">
        <v>2004</v>
      </c>
    </row>
    <row r="99" spans="1:5" x14ac:dyDescent="0.2">
      <c r="B99" s="16" t="s">
        <v>2005</v>
      </c>
    </row>
    <row r="100" spans="1:5" x14ac:dyDescent="0.2">
      <c r="B100" s="16" t="s">
        <v>2006</v>
      </c>
    </row>
    <row r="101" spans="1:5" x14ac:dyDescent="0.2">
      <c r="B101" s="16" t="s">
        <v>2007</v>
      </c>
    </row>
    <row r="103" spans="1:5" ht="25.5" x14ac:dyDescent="0.2">
      <c r="A103" s="19" t="s">
        <v>2008</v>
      </c>
      <c r="B103" s="19" t="s">
        <v>2009</v>
      </c>
    </row>
    <row r="104" spans="1:5" x14ac:dyDescent="0.2">
      <c r="B104" s="16" t="s">
        <v>2010</v>
      </c>
      <c r="C104" s="762" t="s">
        <v>2011</v>
      </c>
      <c r="D104" s="762"/>
      <c r="E104" s="762"/>
    </row>
    <row r="106" spans="1:5" x14ac:dyDescent="0.2">
      <c r="B106" s="16" t="s">
        <v>2012</v>
      </c>
      <c r="C106" s="762" t="s">
        <v>2013</v>
      </c>
      <c r="D106" s="762"/>
      <c r="E106" s="762"/>
    </row>
  </sheetData>
  <mergeCells count="5">
    <mergeCell ref="A15:D15"/>
    <mergeCell ref="B89:D89"/>
    <mergeCell ref="B90:D90"/>
    <mergeCell ref="C106:E106"/>
    <mergeCell ref="C104:E104"/>
  </mergeCells>
  <pageMargins left="0.7" right="0.7" top="0.78740157499999996" bottom="0.78740157499999996" header="0.3" footer="0.3"/>
  <pageSetup paperSize="9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D143"/>
  <sheetViews>
    <sheetView topLeftCell="A10" workbookViewId="0">
      <selection activeCell="A19" sqref="A19:C19"/>
    </sheetView>
  </sheetViews>
  <sheetFormatPr baseColWidth="10" defaultColWidth="11.42578125" defaultRowHeight="12.75" x14ac:dyDescent="0.2"/>
  <cols>
    <col min="6" max="6" width="11.42578125" style="185"/>
    <col min="7" max="7" width="39.140625" customWidth="1"/>
  </cols>
  <sheetData>
    <row r="1" spans="1:238" s="35" customFormat="1" ht="45" customHeight="1" x14ac:dyDescent="0.2">
      <c r="A1" s="106" t="s">
        <v>2014</v>
      </c>
      <c r="B1" s="106" t="s">
        <v>7</v>
      </c>
      <c r="C1" s="106" t="s">
        <v>8</v>
      </c>
      <c r="D1" s="106" t="s">
        <v>9</v>
      </c>
      <c r="E1" s="107" t="s">
        <v>10</v>
      </c>
      <c r="F1" s="106" t="s">
        <v>11</v>
      </c>
      <c r="G1" s="106" t="s">
        <v>20</v>
      </c>
      <c r="H1" s="72"/>
      <c r="I1" s="84"/>
      <c r="J1" s="72"/>
      <c r="K1" s="73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</row>
    <row r="2" spans="1:238" s="74" customFormat="1" ht="45" customHeight="1" x14ac:dyDescent="0.2">
      <c r="A2" s="41">
        <v>2050</v>
      </c>
      <c r="B2" s="41" t="s">
        <v>51</v>
      </c>
      <c r="C2" s="41" t="s">
        <v>52</v>
      </c>
      <c r="D2" s="85"/>
      <c r="E2" s="86" t="s">
        <v>100</v>
      </c>
      <c r="F2" s="184">
        <v>1</v>
      </c>
      <c r="G2" s="108" t="s">
        <v>103</v>
      </c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</row>
    <row r="3" spans="1:238" s="35" customFormat="1" ht="45" customHeight="1" x14ac:dyDescent="0.2">
      <c r="A3" s="41">
        <v>1994</v>
      </c>
      <c r="B3" s="41" t="s">
        <v>51</v>
      </c>
      <c r="C3" s="41" t="s">
        <v>52</v>
      </c>
      <c r="D3" s="41"/>
      <c r="E3" s="87" t="s">
        <v>77</v>
      </c>
      <c r="F3" s="184">
        <v>2</v>
      </c>
      <c r="G3" s="108" t="s">
        <v>80</v>
      </c>
    </row>
    <row r="4" spans="1:238" s="40" customFormat="1" ht="45" customHeight="1" x14ac:dyDescent="0.2">
      <c r="A4" s="41">
        <v>2529</v>
      </c>
      <c r="B4" s="41" t="s">
        <v>51</v>
      </c>
      <c r="C4" s="41" t="s">
        <v>52</v>
      </c>
      <c r="D4" s="41"/>
      <c r="E4" s="87" t="s">
        <v>224</v>
      </c>
      <c r="F4" s="184">
        <v>3</v>
      </c>
      <c r="G4" s="108" t="s">
        <v>1179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</row>
    <row r="5" spans="1:238" s="40" customFormat="1" ht="45" customHeight="1" x14ac:dyDescent="0.2">
      <c r="A5" s="41">
        <v>2971</v>
      </c>
      <c r="B5" s="41" t="s">
        <v>51</v>
      </c>
      <c r="C5" s="41" t="s">
        <v>52</v>
      </c>
      <c r="D5" s="41"/>
      <c r="E5" s="87" t="s">
        <v>305</v>
      </c>
      <c r="F5" s="184">
        <v>4</v>
      </c>
      <c r="G5" s="108" t="s">
        <v>308</v>
      </c>
    </row>
    <row r="6" spans="1:238" s="40" customFormat="1" ht="45" customHeight="1" x14ac:dyDescent="0.2">
      <c r="A6" s="41">
        <v>1993</v>
      </c>
      <c r="B6" s="41" t="s">
        <v>51</v>
      </c>
      <c r="C6" s="41" t="s">
        <v>52</v>
      </c>
      <c r="D6" s="41"/>
      <c r="E6" s="87" t="s">
        <v>74</v>
      </c>
      <c r="F6" s="184">
        <v>5</v>
      </c>
      <c r="G6" s="108" t="s">
        <v>2015</v>
      </c>
    </row>
    <row r="7" spans="1:238" s="40" customFormat="1" ht="45" customHeight="1" x14ac:dyDescent="0.2">
      <c r="A7" s="41">
        <v>3304</v>
      </c>
      <c r="B7" s="41" t="s">
        <v>51</v>
      </c>
      <c r="C7" s="41" t="s">
        <v>52</v>
      </c>
      <c r="D7" s="41"/>
      <c r="E7" s="87" t="s">
        <v>393</v>
      </c>
      <c r="F7" s="184">
        <v>6</v>
      </c>
      <c r="G7" s="108" t="s">
        <v>2016</v>
      </c>
    </row>
    <row r="8" spans="1:238" s="40" customFormat="1" ht="45" customHeight="1" x14ac:dyDescent="0.2">
      <c r="A8" s="41">
        <v>8637</v>
      </c>
      <c r="B8" s="41" t="s">
        <v>51</v>
      </c>
      <c r="C8" s="41" t="s">
        <v>52</v>
      </c>
      <c r="D8" s="41"/>
      <c r="E8" s="87" t="s">
        <v>564</v>
      </c>
      <c r="F8" s="184">
        <v>7</v>
      </c>
      <c r="G8" s="108" t="s">
        <v>2017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</row>
    <row r="9" spans="1:238" s="40" customFormat="1" ht="45" customHeight="1" x14ac:dyDescent="0.2">
      <c r="A9" s="41">
        <v>1992</v>
      </c>
      <c r="B9" s="41" t="s">
        <v>51</v>
      </c>
      <c r="C9" s="41" t="s">
        <v>52</v>
      </c>
      <c r="D9" s="41"/>
      <c r="E9" s="87" t="s">
        <v>70</v>
      </c>
      <c r="F9" s="184">
        <v>8</v>
      </c>
      <c r="G9" s="108" t="s">
        <v>2018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</row>
    <row r="10" spans="1:238" s="40" customFormat="1" ht="45" customHeight="1" x14ac:dyDescent="0.2">
      <c r="A10" s="41">
        <v>2066</v>
      </c>
      <c r="B10" s="41" t="s">
        <v>51</v>
      </c>
      <c r="C10" s="41" t="s">
        <v>52</v>
      </c>
      <c r="D10" s="41"/>
      <c r="E10" s="87" t="s">
        <v>109</v>
      </c>
      <c r="F10" s="184">
        <v>9</v>
      </c>
      <c r="G10" s="108" t="s">
        <v>112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</row>
    <row r="11" spans="1:238" s="40" customFormat="1" ht="45" customHeight="1" x14ac:dyDescent="0.2">
      <c r="A11" s="41">
        <v>2530</v>
      </c>
      <c r="B11" s="41" t="s">
        <v>51</v>
      </c>
      <c r="C11" s="41" t="s">
        <v>52</v>
      </c>
      <c r="D11" s="41"/>
      <c r="E11" s="87" t="s">
        <v>228</v>
      </c>
      <c r="F11" s="184">
        <v>10</v>
      </c>
      <c r="G11" s="108" t="s">
        <v>231</v>
      </c>
    </row>
    <row r="12" spans="1:238" s="40" customFormat="1" ht="45" customHeight="1" x14ac:dyDescent="0.2">
      <c r="A12" s="41">
        <v>2589</v>
      </c>
      <c r="B12" s="41" t="s">
        <v>51</v>
      </c>
      <c r="C12" s="41" t="s">
        <v>52</v>
      </c>
      <c r="D12" s="41"/>
      <c r="E12" s="87" t="s">
        <v>232</v>
      </c>
      <c r="F12" s="184">
        <v>12</v>
      </c>
      <c r="G12" s="108" t="s">
        <v>234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</row>
    <row r="13" spans="1:238" s="40" customFormat="1" ht="45" customHeight="1" x14ac:dyDescent="0.2">
      <c r="A13" s="41">
        <v>1996</v>
      </c>
      <c r="B13" s="41" t="s">
        <v>51</v>
      </c>
      <c r="C13" s="41" t="s">
        <v>52</v>
      </c>
      <c r="D13" s="41"/>
      <c r="E13" s="87" t="s">
        <v>81</v>
      </c>
      <c r="F13" s="184">
        <v>13</v>
      </c>
      <c r="G13" s="108" t="s">
        <v>2019</v>
      </c>
    </row>
    <row r="14" spans="1:238" s="40" customFormat="1" ht="45" customHeight="1" x14ac:dyDescent="0.2">
      <c r="A14" s="41">
        <v>39</v>
      </c>
      <c r="B14" s="41" t="s">
        <v>51</v>
      </c>
      <c r="C14" s="41" t="s">
        <v>52</v>
      </c>
      <c r="D14" s="41"/>
      <c r="E14" s="87" t="s">
        <v>53</v>
      </c>
      <c r="F14" s="184">
        <v>14</v>
      </c>
      <c r="G14" s="108" t="s">
        <v>2020</v>
      </c>
    </row>
    <row r="15" spans="1:238" s="40" customFormat="1" ht="45" customHeight="1" x14ac:dyDescent="0.2">
      <c r="A15" s="41">
        <v>206</v>
      </c>
      <c r="B15" s="41" t="s">
        <v>51</v>
      </c>
      <c r="C15" s="41" t="s">
        <v>52</v>
      </c>
      <c r="D15" s="41"/>
      <c r="E15" s="87" t="s">
        <v>61</v>
      </c>
      <c r="F15" s="184">
        <v>15</v>
      </c>
      <c r="G15" s="108" t="s">
        <v>64</v>
      </c>
    </row>
    <row r="16" spans="1:238" s="40" customFormat="1" ht="45" customHeight="1" x14ac:dyDescent="0.2">
      <c r="A16" s="41">
        <v>6500</v>
      </c>
      <c r="B16" s="41" t="s">
        <v>51</v>
      </c>
      <c r="C16" s="41" t="s">
        <v>52</v>
      </c>
      <c r="D16" s="41"/>
      <c r="E16" s="87" t="s">
        <v>480</v>
      </c>
      <c r="F16" s="184">
        <v>16</v>
      </c>
      <c r="G16" s="108" t="s">
        <v>482</v>
      </c>
    </row>
    <row r="17" spans="1:238" s="40" customFormat="1" ht="45" customHeight="1" x14ac:dyDescent="0.2">
      <c r="A17" s="41">
        <v>2051</v>
      </c>
      <c r="B17" s="41" t="s">
        <v>51</v>
      </c>
      <c r="C17" s="41" t="s">
        <v>52</v>
      </c>
      <c r="D17" s="41"/>
      <c r="E17" s="87" t="s">
        <v>104</v>
      </c>
      <c r="F17" s="184">
        <v>17</v>
      </c>
      <c r="G17" s="108" t="s">
        <v>107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</row>
    <row r="18" spans="1:238" s="40" customFormat="1" ht="45" customHeight="1" x14ac:dyDescent="0.2">
      <c r="A18" s="41">
        <v>353</v>
      </c>
      <c r="B18" s="41" t="s">
        <v>51</v>
      </c>
      <c r="C18" s="41" t="s">
        <v>52</v>
      </c>
      <c r="D18" s="41"/>
      <c r="E18" s="87" t="s">
        <v>65</v>
      </c>
      <c r="F18" s="184">
        <v>18</v>
      </c>
      <c r="G18" s="108" t="s">
        <v>68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</row>
    <row r="19" spans="1:238" s="40" customFormat="1" ht="45" customHeight="1" x14ac:dyDescent="0.2">
      <c r="A19" s="41">
        <v>7589</v>
      </c>
      <c r="B19" s="41" t="s">
        <v>51</v>
      </c>
      <c r="C19" s="41" t="s">
        <v>52</v>
      </c>
      <c r="D19" s="41"/>
      <c r="E19" s="87" t="s">
        <v>2021</v>
      </c>
      <c r="F19" s="184">
        <v>19</v>
      </c>
      <c r="G19" s="108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</row>
    <row r="20" spans="1:238" s="40" customFormat="1" ht="45" customHeight="1" x14ac:dyDescent="0.2">
      <c r="A20" s="41">
        <v>3207</v>
      </c>
      <c r="B20" s="41" t="s">
        <v>51</v>
      </c>
      <c r="C20" s="41" t="s">
        <v>91</v>
      </c>
      <c r="D20" s="41"/>
      <c r="E20" s="87" t="s">
        <v>115</v>
      </c>
      <c r="F20" s="184">
        <v>20</v>
      </c>
      <c r="G20" s="108" t="s">
        <v>386</v>
      </c>
    </row>
    <row r="21" spans="1:238" s="40" customFormat="1" ht="45" customHeight="1" x14ac:dyDescent="0.2">
      <c r="A21" s="41">
        <v>2470</v>
      </c>
      <c r="B21" s="41" t="s">
        <v>51</v>
      </c>
      <c r="C21" s="41" t="s">
        <v>91</v>
      </c>
      <c r="D21" s="41"/>
      <c r="E21" s="87" t="s">
        <v>176</v>
      </c>
      <c r="F21" s="184">
        <v>22</v>
      </c>
      <c r="G21" s="108" t="s">
        <v>2022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</row>
    <row r="22" spans="1:238" s="40" customFormat="1" ht="45" customHeight="1" x14ac:dyDescent="0.2">
      <c r="A22" s="41">
        <v>2226</v>
      </c>
      <c r="B22" s="41" t="s">
        <v>51</v>
      </c>
      <c r="C22" s="41" t="s">
        <v>91</v>
      </c>
      <c r="D22" s="41"/>
      <c r="E22" s="87" t="s">
        <v>123</v>
      </c>
      <c r="F22" s="184">
        <v>23</v>
      </c>
      <c r="G22" s="108" t="s">
        <v>125</v>
      </c>
    </row>
    <row r="23" spans="1:238" s="40" customFormat="1" ht="45" customHeight="1" x14ac:dyDescent="0.2">
      <c r="A23" s="41">
        <v>3290</v>
      </c>
      <c r="B23" s="41" t="s">
        <v>51</v>
      </c>
      <c r="C23" s="41" t="s">
        <v>91</v>
      </c>
      <c r="D23" s="41"/>
      <c r="E23" s="87" t="s">
        <v>92</v>
      </c>
      <c r="F23" s="184">
        <v>24</v>
      </c>
      <c r="G23" s="108" t="s">
        <v>2023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</row>
    <row r="24" spans="1:238" s="40" customFormat="1" ht="45" customHeight="1" x14ac:dyDescent="0.2">
      <c r="A24" s="41">
        <v>3288</v>
      </c>
      <c r="B24" s="41" t="s">
        <v>51</v>
      </c>
      <c r="C24" s="41" t="s">
        <v>91</v>
      </c>
      <c r="D24" s="41"/>
      <c r="E24" s="87" t="s">
        <v>92</v>
      </c>
      <c r="F24" s="184">
        <v>25</v>
      </c>
      <c r="G24" s="108" t="s">
        <v>388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</row>
    <row r="25" spans="1:238" s="40" customFormat="1" ht="45" customHeight="1" x14ac:dyDescent="0.2">
      <c r="A25" s="41">
        <v>3350</v>
      </c>
      <c r="B25" s="41" t="s">
        <v>51</v>
      </c>
      <c r="C25" s="41" t="s">
        <v>91</v>
      </c>
      <c r="D25" s="57"/>
      <c r="E25" s="87" t="s">
        <v>295</v>
      </c>
      <c r="F25" s="184">
        <v>26</v>
      </c>
      <c r="G25" s="108" t="s">
        <v>413</v>
      </c>
    </row>
    <row r="26" spans="1:238" s="40" customFormat="1" ht="45" customHeight="1" x14ac:dyDescent="0.2">
      <c r="A26" s="41">
        <v>3287</v>
      </c>
      <c r="B26" s="41" t="s">
        <v>51</v>
      </c>
      <c r="C26" s="41" t="s">
        <v>91</v>
      </c>
      <c r="D26" s="41"/>
      <c r="E26" s="87" t="s">
        <v>176</v>
      </c>
      <c r="F26" s="184">
        <v>27</v>
      </c>
      <c r="G26" s="108" t="s">
        <v>2024</v>
      </c>
    </row>
    <row r="27" spans="1:238" s="40" customFormat="1" ht="45" customHeight="1" x14ac:dyDescent="0.2">
      <c r="A27" s="41">
        <v>3206</v>
      </c>
      <c r="B27" s="41" t="s">
        <v>51</v>
      </c>
      <c r="C27" s="41" t="s">
        <v>91</v>
      </c>
      <c r="D27" s="41"/>
      <c r="E27" s="87" t="s">
        <v>189</v>
      </c>
      <c r="F27" s="184">
        <v>28</v>
      </c>
      <c r="G27" s="108" t="s">
        <v>385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</row>
    <row r="28" spans="1:238" s="40" customFormat="1" ht="45" customHeight="1" x14ac:dyDescent="0.2">
      <c r="A28" s="41">
        <v>2229</v>
      </c>
      <c r="B28" s="41" t="s">
        <v>51</v>
      </c>
      <c r="C28" s="41" t="s">
        <v>91</v>
      </c>
      <c r="D28" s="41"/>
      <c r="E28" s="87" t="s">
        <v>97</v>
      </c>
      <c r="F28" s="184">
        <v>29</v>
      </c>
      <c r="G28" s="108" t="s">
        <v>127</v>
      </c>
    </row>
    <row r="29" spans="1:238" s="40" customFormat="1" ht="45" customHeight="1" x14ac:dyDescent="0.2">
      <c r="A29" s="41">
        <v>3348</v>
      </c>
      <c r="B29" s="41" t="s">
        <v>51</v>
      </c>
      <c r="C29" s="41" t="s">
        <v>91</v>
      </c>
      <c r="D29" s="41"/>
      <c r="E29" s="87" t="s">
        <v>92</v>
      </c>
      <c r="F29" s="184">
        <v>30</v>
      </c>
      <c r="G29" s="108" t="s">
        <v>2025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</row>
    <row r="30" spans="1:238" s="40" customFormat="1" ht="45" customHeight="1" x14ac:dyDescent="0.2">
      <c r="A30" s="41">
        <v>3351</v>
      </c>
      <c r="B30" s="41" t="s">
        <v>51</v>
      </c>
      <c r="C30" s="41" t="s">
        <v>91</v>
      </c>
      <c r="D30" s="41"/>
      <c r="E30" s="87" t="s">
        <v>415</v>
      </c>
      <c r="F30" s="184">
        <v>30</v>
      </c>
      <c r="G30" s="108" t="s">
        <v>2026</v>
      </c>
    </row>
    <row r="31" spans="1:238" s="40" customFormat="1" ht="45" customHeight="1" x14ac:dyDescent="0.2">
      <c r="A31" s="41">
        <v>3352</v>
      </c>
      <c r="B31" s="41" t="s">
        <v>51</v>
      </c>
      <c r="C31" s="41" t="s">
        <v>91</v>
      </c>
      <c r="D31" s="41"/>
      <c r="E31" s="87" t="s">
        <v>159</v>
      </c>
      <c r="F31" s="184">
        <v>30</v>
      </c>
      <c r="G31" s="108" t="s">
        <v>418</v>
      </c>
    </row>
    <row r="32" spans="1:238" s="40" customFormat="1" ht="45" customHeight="1" x14ac:dyDescent="0.2">
      <c r="A32" s="41">
        <v>2172</v>
      </c>
      <c r="B32" s="41" t="s">
        <v>51</v>
      </c>
      <c r="C32" s="41" t="s">
        <v>91</v>
      </c>
      <c r="D32" s="41"/>
      <c r="E32" s="87" t="s">
        <v>92</v>
      </c>
      <c r="F32" s="184">
        <v>31</v>
      </c>
      <c r="G32" s="108" t="s">
        <v>2027</v>
      </c>
    </row>
    <row r="33" spans="1:238" s="40" customFormat="1" ht="45" customHeight="1" x14ac:dyDescent="0.2">
      <c r="A33" s="41">
        <v>3347</v>
      </c>
      <c r="B33" s="41" t="s">
        <v>51</v>
      </c>
      <c r="C33" s="41" t="s">
        <v>91</v>
      </c>
      <c r="D33" s="41"/>
      <c r="E33" s="87" t="s">
        <v>410</v>
      </c>
      <c r="F33" s="184">
        <v>32</v>
      </c>
      <c r="G33" s="108" t="s">
        <v>2028</v>
      </c>
    </row>
    <row r="34" spans="1:238" s="40" customFormat="1" ht="45" customHeight="1" x14ac:dyDescent="0.2">
      <c r="A34" s="41">
        <v>3291</v>
      </c>
      <c r="B34" s="41" t="s">
        <v>51</v>
      </c>
      <c r="C34" s="41" t="s">
        <v>91</v>
      </c>
      <c r="D34" s="41"/>
      <c r="E34" s="87" t="s">
        <v>159</v>
      </c>
      <c r="F34" s="184">
        <v>33</v>
      </c>
      <c r="G34" s="108" t="s">
        <v>391</v>
      </c>
    </row>
    <row r="35" spans="1:238" s="40" customFormat="1" ht="45" customHeight="1" x14ac:dyDescent="0.2">
      <c r="A35" s="41">
        <v>2115</v>
      </c>
      <c r="B35" s="41" t="s">
        <v>51</v>
      </c>
      <c r="C35" s="41" t="s">
        <v>91</v>
      </c>
      <c r="D35" s="41"/>
      <c r="E35" s="87" t="s">
        <v>92</v>
      </c>
      <c r="F35" s="184">
        <v>34</v>
      </c>
      <c r="G35" s="108" t="s">
        <v>2029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</row>
    <row r="36" spans="1:238" s="40" customFormat="1" ht="45" customHeight="1" x14ac:dyDescent="0.2">
      <c r="A36" s="41">
        <v>2457</v>
      </c>
      <c r="B36" s="41" t="s">
        <v>51</v>
      </c>
      <c r="C36" s="41" t="s">
        <v>91</v>
      </c>
      <c r="D36" s="41"/>
      <c r="E36" s="87" t="s">
        <v>159</v>
      </c>
      <c r="F36" s="184">
        <v>35</v>
      </c>
      <c r="G36" s="108" t="s">
        <v>2030</v>
      </c>
    </row>
    <row r="37" spans="1:238" s="40" customFormat="1" ht="45" customHeight="1" x14ac:dyDescent="0.2">
      <c r="A37" s="41">
        <v>2487</v>
      </c>
      <c r="B37" s="41" t="s">
        <v>51</v>
      </c>
      <c r="C37" s="41" t="s">
        <v>91</v>
      </c>
      <c r="D37" s="41"/>
      <c r="E37" s="87" t="s">
        <v>159</v>
      </c>
      <c r="F37" s="184">
        <v>36</v>
      </c>
      <c r="G37" s="108" t="s">
        <v>2031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</row>
    <row r="38" spans="1:238" s="40" customFormat="1" ht="45" customHeight="1" x14ac:dyDescent="0.2">
      <c r="A38" s="41">
        <v>2040</v>
      </c>
      <c r="B38" s="41" t="s">
        <v>51</v>
      </c>
      <c r="C38" s="41" t="s">
        <v>91</v>
      </c>
      <c r="D38" s="41"/>
      <c r="E38" s="87" t="s">
        <v>97</v>
      </c>
      <c r="F38" s="184">
        <v>37</v>
      </c>
      <c r="G38" s="108" t="s">
        <v>2032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</row>
    <row r="39" spans="1:238" s="40" customFormat="1" ht="45" customHeight="1" x14ac:dyDescent="0.2">
      <c r="A39" s="41">
        <v>2179</v>
      </c>
      <c r="B39" s="41" t="s">
        <v>51</v>
      </c>
      <c r="C39" s="41" t="s">
        <v>91</v>
      </c>
      <c r="D39" s="41"/>
      <c r="E39" s="87" t="s">
        <v>121</v>
      </c>
      <c r="F39" s="184">
        <v>38</v>
      </c>
      <c r="G39" s="108" t="s">
        <v>2033</v>
      </c>
    </row>
    <row r="40" spans="1:238" s="40" customFormat="1" ht="45" customHeight="1" x14ac:dyDescent="0.2">
      <c r="A40" s="41">
        <v>2039</v>
      </c>
      <c r="B40" s="41" t="s">
        <v>51</v>
      </c>
      <c r="C40" s="41" t="s">
        <v>91</v>
      </c>
      <c r="D40" s="41"/>
      <c r="E40" s="87" t="s">
        <v>95</v>
      </c>
      <c r="F40" s="184">
        <v>39</v>
      </c>
      <c r="G40" s="108" t="s">
        <v>2034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</row>
    <row r="41" spans="1:238" s="40" customFormat="1" ht="45" customHeight="1" x14ac:dyDescent="0.2">
      <c r="A41" s="41">
        <v>2077</v>
      </c>
      <c r="B41" s="41" t="s">
        <v>51</v>
      </c>
      <c r="C41" s="41" t="s">
        <v>91</v>
      </c>
      <c r="D41" s="41"/>
      <c r="E41" s="87" t="s">
        <v>115</v>
      </c>
      <c r="F41" s="184">
        <v>40</v>
      </c>
      <c r="G41" s="108" t="s">
        <v>116</v>
      </c>
    </row>
    <row r="42" spans="1:238" s="40" customFormat="1" ht="45" customHeight="1" x14ac:dyDescent="0.2">
      <c r="A42" s="41">
        <v>2075</v>
      </c>
      <c r="B42" s="41" t="s">
        <v>51</v>
      </c>
      <c r="C42" s="41" t="s">
        <v>91</v>
      </c>
      <c r="D42" s="41"/>
      <c r="E42" s="87" t="s">
        <v>113</v>
      </c>
      <c r="F42" s="184">
        <v>41</v>
      </c>
      <c r="G42" s="108" t="s">
        <v>2035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</row>
    <row r="43" spans="1:238" s="40" customFormat="1" ht="45" customHeight="1" x14ac:dyDescent="0.2">
      <c r="A43" s="41">
        <v>2240</v>
      </c>
      <c r="B43" s="41" t="s">
        <v>51</v>
      </c>
      <c r="C43" s="41" t="s">
        <v>91</v>
      </c>
      <c r="D43" s="41"/>
      <c r="E43" s="87" t="s">
        <v>123</v>
      </c>
      <c r="F43" s="184">
        <v>42</v>
      </c>
      <c r="G43" s="108" t="s">
        <v>130</v>
      </c>
    </row>
    <row r="44" spans="1:238" s="40" customFormat="1" ht="45" customHeight="1" x14ac:dyDescent="0.2">
      <c r="A44" s="41">
        <v>2231</v>
      </c>
      <c r="B44" s="41" t="s">
        <v>51</v>
      </c>
      <c r="C44" s="41" t="s">
        <v>91</v>
      </c>
      <c r="D44" s="41"/>
      <c r="E44" s="87" t="s">
        <v>97</v>
      </c>
      <c r="F44" s="184">
        <v>43</v>
      </c>
      <c r="G44" s="108" t="s">
        <v>2036</v>
      </c>
    </row>
    <row r="45" spans="1:238" s="35" customFormat="1" ht="45" customHeight="1" x14ac:dyDescent="0.2">
      <c r="A45" s="41">
        <v>2885</v>
      </c>
      <c r="B45" s="41" t="s">
        <v>51</v>
      </c>
      <c r="C45" s="41" t="s">
        <v>91</v>
      </c>
      <c r="D45" s="41"/>
      <c r="E45" s="87" t="s">
        <v>92</v>
      </c>
      <c r="F45" s="184">
        <v>44</v>
      </c>
      <c r="G45" s="108" t="s">
        <v>2037</v>
      </c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</row>
    <row r="46" spans="1:238" s="35" customFormat="1" ht="45" customHeight="1" x14ac:dyDescent="0.2">
      <c r="A46" s="41">
        <v>2887</v>
      </c>
      <c r="B46" s="41" t="s">
        <v>51</v>
      </c>
      <c r="C46" s="41" t="s">
        <v>91</v>
      </c>
      <c r="D46" s="41"/>
      <c r="E46" s="87" t="s">
        <v>123</v>
      </c>
      <c r="F46" s="184">
        <v>46</v>
      </c>
      <c r="G46" s="108" t="s">
        <v>294</v>
      </c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</row>
    <row r="47" spans="1:238" s="35" customFormat="1" ht="45" customHeight="1" x14ac:dyDescent="0.2">
      <c r="A47" s="41">
        <v>2881</v>
      </c>
      <c r="B47" s="41" t="s">
        <v>51</v>
      </c>
      <c r="C47" s="41" t="s">
        <v>91</v>
      </c>
      <c r="D47" s="41"/>
      <c r="E47" s="87" t="s">
        <v>159</v>
      </c>
      <c r="F47" s="184">
        <v>47</v>
      </c>
      <c r="G47" s="108" t="s">
        <v>2038</v>
      </c>
    </row>
    <row r="48" spans="1:238" s="35" customFormat="1" ht="45" customHeight="1" x14ac:dyDescent="0.2">
      <c r="A48" s="41">
        <v>2488</v>
      </c>
      <c r="B48" s="41" t="s">
        <v>51</v>
      </c>
      <c r="C48" s="41" t="s">
        <v>91</v>
      </c>
      <c r="D48" s="41"/>
      <c r="E48" s="87" t="s">
        <v>113</v>
      </c>
      <c r="F48" s="184">
        <v>48</v>
      </c>
      <c r="G48" s="108" t="s">
        <v>185</v>
      </c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</row>
    <row r="49" spans="1:238" s="40" customFormat="1" ht="45" customHeight="1" x14ac:dyDescent="0.2">
      <c r="A49" s="41">
        <v>2890</v>
      </c>
      <c r="B49" s="41" t="s">
        <v>51</v>
      </c>
      <c r="C49" s="41" t="s">
        <v>91</v>
      </c>
      <c r="D49" s="57"/>
      <c r="E49" s="87" t="s">
        <v>295</v>
      </c>
      <c r="F49" s="184">
        <v>49</v>
      </c>
      <c r="G49" s="108" t="s">
        <v>2039</v>
      </c>
    </row>
    <row r="50" spans="1:238" s="40" customFormat="1" ht="45" customHeight="1" x14ac:dyDescent="0.2">
      <c r="A50" s="41">
        <v>2035</v>
      </c>
      <c r="B50" s="41" t="s">
        <v>51</v>
      </c>
      <c r="C50" s="41" t="s">
        <v>91</v>
      </c>
      <c r="D50" s="41"/>
      <c r="E50" s="87" t="s">
        <v>92</v>
      </c>
      <c r="F50" s="184">
        <v>51</v>
      </c>
      <c r="G50" s="108" t="s">
        <v>94</v>
      </c>
    </row>
    <row r="51" spans="1:238" s="40" customFormat="1" ht="45" customHeight="1" x14ac:dyDescent="0.2">
      <c r="A51" s="41">
        <v>2899</v>
      </c>
      <c r="B51" s="41" t="s">
        <v>51</v>
      </c>
      <c r="C51" s="41" t="s">
        <v>91</v>
      </c>
      <c r="D51" s="41"/>
      <c r="E51" s="87" t="s">
        <v>159</v>
      </c>
      <c r="F51" s="184">
        <v>52</v>
      </c>
      <c r="G51" s="108" t="s">
        <v>301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</row>
    <row r="52" spans="1:238" s="40" customFormat="1" ht="45" customHeight="1" x14ac:dyDescent="0.2">
      <c r="A52" s="41">
        <v>2895</v>
      </c>
      <c r="B52" s="41" t="s">
        <v>51</v>
      </c>
      <c r="C52" s="41" t="s">
        <v>91</v>
      </c>
      <c r="D52" s="57"/>
      <c r="E52" s="87" t="s">
        <v>295</v>
      </c>
      <c r="F52" s="184">
        <v>53</v>
      </c>
      <c r="G52" s="108" t="s">
        <v>297</v>
      </c>
    </row>
    <row r="53" spans="1:238" s="40" customFormat="1" ht="45" customHeight="1" x14ac:dyDescent="0.2">
      <c r="A53" s="41">
        <v>2896</v>
      </c>
      <c r="B53" s="41" t="s">
        <v>51</v>
      </c>
      <c r="C53" s="41" t="s">
        <v>91</v>
      </c>
      <c r="D53" s="41"/>
      <c r="E53" s="87" t="s">
        <v>92</v>
      </c>
      <c r="F53" s="184">
        <v>54</v>
      </c>
      <c r="G53" s="108" t="s">
        <v>300</v>
      </c>
    </row>
    <row r="54" spans="1:238" s="40" customFormat="1" ht="45" customHeight="1" x14ac:dyDescent="0.2">
      <c r="A54" s="41">
        <v>2913</v>
      </c>
      <c r="B54" s="41" t="s">
        <v>51</v>
      </c>
      <c r="C54" s="41" t="s">
        <v>91</v>
      </c>
      <c r="D54" s="57"/>
      <c r="E54" s="87" t="s">
        <v>180</v>
      </c>
      <c r="F54" s="184">
        <v>55</v>
      </c>
      <c r="G54" s="108" t="s">
        <v>302</v>
      </c>
    </row>
    <row r="55" spans="1:238" s="40" customFormat="1" ht="45" customHeight="1" x14ac:dyDescent="0.2">
      <c r="A55" s="41">
        <v>2917</v>
      </c>
      <c r="B55" s="41" t="s">
        <v>51</v>
      </c>
      <c r="C55" s="41" t="s">
        <v>91</v>
      </c>
      <c r="D55" s="41"/>
      <c r="E55" s="87" t="s">
        <v>186</v>
      </c>
      <c r="F55" s="184">
        <v>56</v>
      </c>
      <c r="G55" s="108" t="s">
        <v>304</v>
      </c>
    </row>
    <row r="56" spans="1:238" s="40" customFormat="1" ht="45" customHeight="1" x14ac:dyDescent="0.2">
      <c r="A56" s="41">
        <v>3469</v>
      </c>
      <c r="B56" s="41" t="s">
        <v>51</v>
      </c>
      <c r="C56" s="41" t="s">
        <v>91</v>
      </c>
      <c r="D56" s="41"/>
      <c r="E56" s="87" t="s">
        <v>189</v>
      </c>
      <c r="F56" s="184">
        <v>57</v>
      </c>
      <c r="G56" s="108" t="s">
        <v>470</v>
      </c>
    </row>
    <row r="57" spans="1:238" s="40" customFormat="1" ht="45" customHeight="1" x14ac:dyDescent="0.2">
      <c r="A57" s="41">
        <v>2524</v>
      </c>
      <c r="B57" s="41" t="s">
        <v>51</v>
      </c>
      <c r="C57" s="41" t="s">
        <v>91</v>
      </c>
      <c r="D57" s="57"/>
      <c r="E57" s="87" t="s">
        <v>97</v>
      </c>
      <c r="F57" s="184">
        <v>58</v>
      </c>
      <c r="G57" s="108" t="s">
        <v>2040</v>
      </c>
    </row>
    <row r="58" spans="1:238" s="40" customFormat="1" ht="45" customHeight="1" x14ac:dyDescent="0.2">
      <c r="A58" s="41">
        <v>3473</v>
      </c>
      <c r="B58" s="41" t="s">
        <v>51</v>
      </c>
      <c r="C58" s="41" t="s">
        <v>91</v>
      </c>
      <c r="D58" s="41"/>
      <c r="E58" s="87" t="s">
        <v>180</v>
      </c>
      <c r="F58" s="184">
        <v>59</v>
      </c>
      <c r="G58" s="108" t="s">
        <v>474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</row>
    <row r="59" spans="1:238" s="40" customFormat="1" ht="45" customHeight="1" x14ac:dyDescent="0.2">
      <c r="A59" s="41">
        <v>2500</v>
      </c>
      <c r="B59" s="41" t="s">
        <v>51</v>
      </c>
      <c r="C59" s="41" t="s">
        <v>91</v>
      </c>
      <c r="D59" s="41"/>
      <c r="E59" s="87" t="s">
        <v>204</v>
      </c>
      <c r="F59" s="184">
        <v>60</v>
      </c>
      <c r="G59" s="108" t="s">
        <v>2041</v>
      </c>
    </row>
    <row r="60" spans="1:238" s="40" customFormat="1" ht="45" customHeight="1" x14ac:dyDescent="0.2">
      <c r="A60" s="41">
        <v>3457</v>
      </c>
      <c r="B60" s="41" t="s">
        <v>51</v>
      </c>
      <c r="C60" s="41" t="s">
        <v>91</v>
      </c>
      <c r="D60" s="41"/>
      <c r="E60" s="87" t="s">
        <v>92</v>
      </c>
      <c r="F60" s="184">
        <v>61</v>
      </c>
      <c r="G60" s="108" t="s">
        <v>469</v>
      </c>
    </row>
    <row r="61" spans="1:238" s="40" customFormat="1" ht="45" customHeight="1" x14ac:dyDescent="0.2">
      <c r="A61" s="41">
        <v>3472</v>
      </c>
      <c r="B61" s="41" t="s">
        <v>51</v>
      </c>
      <c r="C61" s="41" t="s">
        <v>91</v>
      </c>
      <c r="D61" s="41"/>
      <c r="E61" s="87" t="s">
        <v>159</v>
      </c>
      <c r="F61" s="184">
        <v>61</v>
      </c>
      <c r="G61" s="108" t="s">
        <v>473</v>
      </c>
    </row>
    <row r="62" spans="1:238" s="40" customFormat="1" ht="45" customHeight="1" x14ac:dyDescent="0.2">
      <c r="A62" s="41">
        <v>2523</v>
      </c>
      <c r="B62" s="41" t="s">
        <v>51</v>
      </c>
      <c r="C62" s="41" t="s">
        <v>91</v>
      </c>
      <c r="D62" s="57"/>
      <c r="E62" s="87" t="s">
        <v>218</v>
      </c>
      <c r="F62" s="184">
        <v>62</v>
      </c>
      <c r="G62" s="54" t="s">
        <v>2042</v>
      </c>
    </row>
    <row r="63" spans="1:238" s="40" customFormat="1" ht="45" customHeight="1" x14ac:dyDescent="0.2">
      <c r="A63" s="41">
        <v>2503</v>
      </c>
      <c r="B63" s="41" t="s">
        <v>51</v>
      </c>
      <c r="C63" s="41" t="s">
        <v>91</v>
      </c>
      <c r="D63" s="41"/>
      <c r="E63" s="87" t="s">
        <v>115</v>
      </c>
      <c r="F63" s="184">
        <v>63</v>
      </c>
      <c r="G63" s="108" t="s">
        <v>2043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</row>
    <row r="64" spans="1:238" s="35" customFormat="1" ht="45" customHeight="1" x14ac:dyDescent="0.2">
      <c r="A64" s="41">
        <v>2883</v>
      </c>
      <c r="B64" s="41" t="s">
        <v>51</v>
      </c>
      <c r="C64" s="41" t="s">
        <v>91</v>
      </c>
      <c r="D64" s="41"/>
      <c r="E64" s="87" t="s">
        <v>159</v>
      </c>
      <c r="F64" s="184">
        <v>64</v>
      </c>
      <c r="G64" s="108" t="s">
        <v>292</v>
      </c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</row>
    <row r="65" spans="1:238" s="40" customFormat="1" ht="45" customHeight="1" x14ac:dyDescent="0.2">
      <c r="A65" s="41">
        <v>2485</v>
      </c>
      <c r="B65" s="41" t="s">
        <v>51</v>
      </c>
      <c r="C65" s="41" t="s">
        <v>91</v>
      </c>
      <c r="D65" s="41"/>
      <c r="E65" s="87" t="s">
        <v>180</v>
      </c>
      <c r="F65" s="184">
        <v>65</v>
      </c>
      <c r="G65" s="108" t="s">
        <v>182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</row>
    <row r="66" spans="1:238" s="40" customFormat="1" ht="45" customHeight="1" x14ac:dyDescent="0.2">
      <c r="A66" s="41">
        <v>2489</v>
      </c>
      <c r="B66" s="41" t="s">
        <v>51</v>
      </c>
      <c r="C66" s="41" t="s">
        <v>91</v>
      </c>
      <c r="D66" s="41"/>
      <c r="E66" s="87" t="s">
        <v>186</v>
      </c>
      <c r="F66" s="184">
        <v>66</v>
      </c>
      <c r="G66" s="108" t="s">
        <v>2044</v>
      </c>
    </row>
    <row r="67" spans="1:238" s="40" customFormat="1" ht="45" customHeight="1" x14ac:dyDescent="0.2">
      <c r="A67" s="41">
        <v>2483</v>
      </c>
      <c r="B67" s="41" t="s">
        <v>51</v>
      </c>
      <c r="C67" s="41" t="s">
        <v>91</v>
      </c>
      <c r="D67" s="41"/>
      <c r="E67" s="87" t="s">
        <v>178</v>
      </c>
      <c r="F67" s="184">
        <v>67</v>
      </c>
      <c r="G67" s="108" t="s">
        <v>179</v>
      </c>
    </row>
    <row r="68" spans="1:238" s="40" customFormat="1" ht="45" customHeight="1" x14ac:dyDescent="0.2">
      <c r="A68" s="41">
        <v>3442</v>
      </c>
      <c r="B68" s="41" t="s">
        <v>51</v>
      </c>
      <c r="C68" s="41" t="s">
        <v>91</v>
      </c>
      <c r="D68" s="57"/>
      <c r="E68" s="87" t="s">
        <v>97</v>
      </c>
      <c r="F68" s="184">
        <v>68</v>
      </c>
      <c r="G68" s="108" t="s">
        <v>455</v>
      </c>
    </row>
    <row r="69" spans="1:238" s="40" customFormat="1" ht="45" customHeight="1" x14ac:dyDescent="0.2">
      <c r="A69" s="41">
        <v>2506</v>
      </c>
      <c r="B69" s="41" t="s">
        <v>51</v>
      </c>
      <c r="C69" s="41" t="s">
        <v>91</v>
      </c>
      <c r="D69" s="41"/>
      <c r="E69" s="87" t="s">
        <v>115</v>
      </c>
      <c r="F69" s="184">
        <v>69</v>
      </c>
      <c r="G69" s="108" t="s">
        <v>209</v>
      </c>
    </row>
    <row r="70" spans="1:238" s="40" customFormat="1" ht="45" customHeight="1" x14ac:dyDescent="0.2">
      <c r="A70" s="41">
        <v>3443</v>
      </c>
      <c r="B70" s="41" t="s">
        <v>51</v>
      </c>
      <c r="C70" s="41" t="s">
        <v>91</v>
      </c>
      <c r="D70" s="41"/>
      <c r="E70" s="87" t="s">
        <v>456</v>
      </c>
      <c r="F70" s="184">
        <v>70</v>
      </c>
      <c r="G70" s="108" t="s">
        <v>459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</row>
    <row r="71" spans="1:238" s="40" customFormat="1" ht="45" customHeight="1" x14ac:dyDescent="0.2">
      <c r="A71" s="41">
        <v>3444</v>
      </c>
      <c r="B71" s="41" t="s">
        <v>51</v>
      </c>
      <c r="C71" s="41" t="s">
        <v>91</v>
      </c>
      <c r="D71" s="41"/>
      <c r="E71" s="87" t="s">
        <v>115</v>
      </c>
      <c r="F71" s="184">
        <v>70</v>
      </c>
      <c r="G71" s="108" t="s">
        <v>1390</v>
      </c>
    </row>
    <row r="72" spans="1:238" s="40" customFormat="1" ht="45" customHeight="1" x14ac:dyDescent="0.2">
      <c r="A72" s="41">
        <v>2512</v>
      </c>
      <c r="B72" s="41" t="s">
        <v>51</v>
      </c>
      <c r="C72" s="41" t="s">
        <v>91</v>
      </c>
      <c r="D72" s="41"/>
      <c r="E72" s="87" t="s">
        <v>211</v>
      </c>
      <c r="F72" s="184">
        <v>71</v>
      </c>
      <c r="G72" s="108" t="s">
        <v>2045</v>
      </c>
    </row>
    <row r="73" spans="1:238" s="40" customFormat="1" ht="45" customHeight="1" x14ac:dyDescent="0.2">
      <c r="A73" s="41">
        <v>2513</v>
      </c>
      <c r="B73" s="41" t="s">
        <v>51</v>
      </c>
      <c r="C73" s="41" t="s">
        <v>91</v>
      </c>
      <c r="D73" s="41"/>
      <c r="E73" s="87" t="s">
        <v>92</v>
      </c>
      <c r="F73" s="184">
        <v>72</v>
      </c>
      <c r="G73" s="108" t="s">
        <v>213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</row>
    <row r="74" spans="1:238" s="40" customFormat="1" ht="45" customHeight="1" x14ac:dyDescent="0.2">
      <c r="A74" s="41">
        <v>19024</v>
      </c>
      <c r="B74" s="41" t="s">
        <v>51</v>
      </c>
      <c r="C74" s="41" t="s">
        <v>91</v>
      </c>
      <c r="D74" s="41"/>
      <c r="E74" s="87" t="s">
        <v>92</v>
      </c>
      <c r="F74" s="184">
        <v>72</v>
      </c>
      <c r="G74" s="108" t="s">
        <v>840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</row>
    <row r="75" spans="1:238" s="40" customFormat="1" ht="45" customHeight="1" x14ac:dyDescent="0.2">
      <c r="A75" s="41">
        <v>19128</v>
      </c>
      <c r="B75" s="41" t="s">
        <v>51</v>
      </c>
      <c r="C75" s="41" t="s">
        <v>91</v>
      </c>
      <c r="D75" s="41"/>
      <c r="E75" s="87" t="s">
        <v>159</v>
      </c>
      <c r="F75" s="184">
        <v>72</v>
      </c>
      <c r="G75" s="108" t="s">
        <v>849</v>
      </c>
    </row>
    <row r="76" spans="1:238" s="35" customFormat="1" ht="45" customHeight="1" x14ac:dyDescent="0.2">
      <c r="A76" s="41">
        <v>19129</v>
      </c>
      <c r="B76" s="41" t="s">
        <v>51</v>
      </c>
      <c r="C76" s="41" t="s">
        <v>91</v>
      </c>
      <c r="D76" s="41"/>
      <c r="E76" s="87" t="s">
        <v>186</v>
      </c>
      <c r="F76" s="184">
        <v>72</v>
      </c>
      <c r="G76" s="108" t="s">
        <v>850</v>
      </c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</row>
    <row r="77" spans="1:238" s="35" customFormat="1" ht="45" customHeight="1" x14ac:dyDescent="0.2">
      <c r="A77" s="41">
        <v>3407</v>
      </c>
      <c r="B77" s="41" t="s">
        <v>51</v>
      </c>
      <c r="C77" s="41" t="s">
        <v>91</v>
      </c>
      <c r="D77" s="41"/>
      <c r="E77" s="87" t="s">
        <v>115</v>
      </c>
      <c r="F77" s="184">
        <v>73</v>
      </c>
      <c r="G77" s="108" t="s">
        <v>2046</v>
      </c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</row>
    <row r="78" spans="1:238" s="35" customFormat="1" ht="45" customHeight="1" x14ac:dyDescent="0.2">
      <c r="A78" s="41">
        <v>3369</v>
      </c>
      <c r="B78" s="41" t="s">
        <v>51</v>
      </c>
      <c r="C78" s="41" t="s">
        <v>91</v>
      </c>
      <c r="D78" s="41"/>
      <c r="E78" s="87" t="s">
        <v>159</v>
      </c>
      <c r="F78" s="184">
        <v>74</v>
      </c>
      <c r="G78" s="108" t="s">
        <v>2047</v>
      </c>
    </row>
    <row r="79" spans="1:238" s="35" customFormat="1" ht="45" customHeight="1" x14ac:dyDescent="0.2">
      <c r="A79" s="41">
        <v>3370</v>
      </c>
      <c r="B79" s="41" t="s">
        <v>51</v>
      </c>
      <c r="C79" s="41" t="s">
        <v>91</v>
      </c>
      <c r="D79" s="41"/>
      <c r="E79" s="87" t="s">
        <v>123</v>
      </c>
      <c r="F79" s="184">
        <v>75</v>
      </c>
      <c r="G79" s="108" t="s">
        <v>2048</v>
      </c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</row>
    <row r="80" spans="1:238" s="35" customFormat="1" ht="45" customHeight="1" x14ac:dyDescent="0.2">
      <c r="A80" s="41">
        <v>2511</v>
      </c>
      <c r="B80" s="41" t="s">
        <v>51</v>
      </c>
      <c r="C80" s="41" t="s">
        <v>91</v>
      </c>
      <c r="D80" s="41"/>
      <c r="E80" s="87" t="s">
        <v>92</v>
      </c>
      <c r="F80" s="184">
        <v>76</v>
      </c>
      <c r="G80" s="108" t="s">
        <v>210</v>
      </c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</row>
    <row r="81" spans="1:238" s="35" customFormat="1" ht="45" customHeight="1" x14ac:dyDescent="0.2">
      <c r="A81" s="41">
        <v>3353</v>
      </c>
      <c r="B81" s="41" t="s">
        <v>51</v>
      </c>
      <c r="C81" s="41" t="s">
        <v>91</v>
      </c>
      <c r="D81" s="41"/>
      <c r="E81" s="87" t="s">
        <v>419</v>
      </c>
      <c r="F81" s="184">
        <v>78</v>
      </c>
      <c r="G81" s="108" t="s">
        <v>2049</v>
      </c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</row>
    <row r="82" spans="1:238" s="35" customFormat="1" ht="45" customHeight="1" x14ac:dyDescent="0.2">
      <c r="A82" s="41">
        <v>3357</v>
      </c>
      <c r="B82" s="41" t="s">
        <v>51</v>
      </c>
      <c r="C82" s="41" t="s">
        <v>91</v>
      </c>
      <c r="D82" s="41"/>
      <c r="E82" s="87" t="s">
        <v>159</v>
      </c>
      <c r="F82" s="184">
        <v>79</v>
      </c>
      <c r="G82" s="108" t="s">
        <v>2050</v>
      </c>
    </row>
    <row r="83" spans="1:238" s="35" customFormat="1" ht="45" customHeight="1" x14ac:dyDescent="0.2">
      <c r="A83" s="41">
        <v>3373</v>
      </c>
      <c r="B83" s="41" t="s">
        <v>51</v>
      </c>
      <c r="C83" s="41" t="s">
        <v>91</v>
      </c>
      <c r="D83" s="41"/>
      <c r="E83" s="87" t="s">
        <v>97</v>
      </c>
      <c r="F83" s="184">
        <v>80</v>
      </c>
      <c r="G83" s="108" t="s">
        <v>435</v>
      </c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</row>
    <row r="84" spans="1:238" s="35" customFormat="1" ht="45" customHeight="1" x14ac:dyDescent="0.2">
      <c r="A84" s="41">
        <v>3359</v>
      </c>
      <c r="B84" s="41" t="s">
        <v>51</v>
      </c>
      <c r="C84" s="41" t="s">
        <v>91</v>
      </c>
      <c r="D84" s="41"/>
      <c r="E84" s="87" t="s">
        <v>123</v>
      </c>
      <c r="F84" s="184">
        <v>81</v>
      </c>
      <c r="G84" s="108" t="s">
        <v>426</v>
      </c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</row>
    <row r="85" spans="1:238" s="35" customFormat="1" ht="45" customHeight="1" x14ac:dyDescent="0.2">
      <c r="A85" s="41">
        <v>3376</v>
      </c>
      <c r="B85" s="41" t="s">
        <v>51</v>
      </c>
      <c r="C85" s="41" t="s">
        <v>91</v>
      </c>
      <c r="D85" s="41"/>
      <c r="E85" s="87" t="s">
        <v>115</v>
      </c>
      <c r="F85" s="184">
        <v>81</v>
      </c>
      <c r="G85" s="108" t="s">
        <v>2051</v>
      </c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</row>
    <row r="86" spans="1:238" s="40" customFormat="1" ht="45" customHeight="1" x14ac:dyDescent="0.2">
      <c r="A86" s="41">
        <v>3377</v>
      </c>
      <c r="B86" s="41" t="s">
        <v>51</v>
      </c>
      <c r="C86" s="41" t="s">
        <v>91</v>
      </c>
      <c r="D86" s="41"/>
      <c r="E86" s="110" t="s">
        <v>438</v>
      </c>
      <c r="F86" s="184">
        <v>82</v>
      </c>
      <c r="G86" s="108" t="s">
        <v>2052</v>
      </c>
    </row>
    <row r="87" spans="1:238" s="40" customFormat="1" ht="45" customHeight="1" x14ac:dyDescent="0.2">
      <c r="A87" s="41">
        <v>3386</v>
      </c>
      <c r="B87" s="41" t="s">
        <v>51</v>
      </c>
      <c r="C87" s="41" t="s">
        <v>91</v>
      </c>
      <c r="D87" s="41"/>
      <c r="E87" s="87" t="s">
        <v>123</v>
      </c>
      <c r="F87" s="184">
        <v>83</v>
      </c>
      <c r="G87" s="108" t="s">
        <v>441</v>
      </c>
    </row>
    <row r="88" spans="1:238" s="40" customFormat="1" ht="45" customHeight="1" x14ac:dyDescent="0.2">
      <c r="A88" s="41">
        <v>3387</v>
      </c>
      <c r="B88" s="41" t="s">
        <v>51</v>
      </c>
      <c r="C88" s="41" t="s">
        <v>91</v>
      </c>
      <c r="D88" s="41"/>
      <c r="E88" s="87" t="s">
        <v>159</v>
      </c>
      <c r="F88" s="184">
        <v>84</v>
      </c>
      <c r="G88" s="108" t="s">
        <v>442</v>
      </c>
    </row>
    <row r="89" spans="1:238" s="40" customFormat="1" ht="45" customHeight="1" x14ac:dyDescent="0.2">
      <c r="A89" s="41">
        <v>3378</v>
      </c>
      <c r="B89" s="41" t="s">
        <v>51</v>
      </c>
      <c r="C89" s="41" t="s">
        <v>91</v>
      </c>
      <c r="D89" s="41"/>
      <c r="E89" s="87" t="s">
        <v>95</v>
      </c>
      <c r="F89" s="184">
        <v>85</v>
      </c>
      <c r="G89" s="108" t="s">
        <v>2053</v>
      </c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</row>
    <row r="90" spans="1:238" s="40" customFormat="1" ht="45" customHeight="1" x14ac:dyDescent="0.2">
      <c r="A90" s="41">
        <v>3391</v>
      </c>
      <c r="B90" s="41" t="s">
        <v>51</v>
      </c>
      <c r="C90" s="41" t="s">
        <v>91</v>
      </c>
      <c r="D90" s="41"/>
      <c r="E90" s="87" t="s">
        <v>159</v>
      </c>
      <c r="F90" s="184">
        <v>86</v>
      </c>
      <c r="G90" s="108" t="s">
        <v>443</v>
      </c>
    </row>
    <row r="91" spans="1:238" s="40" customFormat="1" ht="45" customHeight="1" x14ac:dyDescent="0.2">
      <c r="A91" s="41">
        <v>3393</v>
      </c>
      <c r="B91" s="41" t="s">
        <v>51</v>
      </c>
      <c r="C91" s="41" t="s">
        <v>91</v>
      </c>
      <c r="D91" s="41"/>
      <c r="E91" s="87" t="s">
        <v>92</v>
      </c>
      <c r="F91" s="184">
        <v>87</v>
      </c>
      <c r="G91" s="108" t="s">
        <v>444</v>
      </c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</row>
    <row r="92" spans="1:238" s="40" customFormat="1" ht="45" customHeight="1" x14ac:dyDescent="0.2">
      <c r="A92" s="41">
        <v>3354</v>
      </c>
      <c r="B92" s="41" t="s">
        <v>51</v>
      </c>
      <c r="C92" s="41" t="s">
        <v>91</v>
      </c>
      <c r="D92" s="41"/>
      <c r="E92" s="87" t="s">
        <v>92</v>
      </c>
      <c r="F92" s="184">
        <v>88</v>
      </c>
      <c r="G92" s="108" t="s">
        <v>421</v>
      </c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</row>
    <row r="93" spans="1:238" s="40" customFormat="1" ht="45" customHeight="1" x14ac:dyDescent="0.2">
      <c r="A93" s="41">
        <v>3358</v>
      </c>
      <c r="B93" s="41" t="s">
        <v>51</v>
      </c>
      <c r="C93" s="41" t="s">
        <v>91</v>
      </c>
      <c r="D93" s="41"/>
      <c r="E93" s="87" t="s">
        <v>423</v>
      </c>
      <c r="F93" s="184">
        <v>89</v>
      </c>
      <c r="G93" s="108" t="s">
        <v>2054</v>
      </c>
    </row>
    <row r="94" spans="1:238" s="40" customFormat="1" ht="45" customHeight="1" x14ac:dyDescent="0.2">
      <c r="A94" s="41">
        <v>3360</v>
      </c>
      <c r="B94" s="41" t="s">
        <v>51</v>
      </c>
      <c r="C94" s="41" t="s">
        <v>91</v>
      </c>
      <c r="D94" s="41"/>
      <c r="E94" s="87" t="s">
        <v>92</v>
      </c>
      <c r="F94" s="184">
        <v>90</v>
      </c>
      <c r="G94" s="108" t="s">
        <v>1346</v>
      </c>
    </row>
    <row r="95" spans="1:238" s="40" customFormat="1" ht="45" customHeight="1" x14ac:dyDescent="0.2">
      <c r="A95" s="41">
        <v>3371</v>
      </c>
      <c r="B95" s="41" t="s">
        <v>51</v>
      </c>
      <c r="C95" s="41" t="s">
        <v>91</v>
      </c>
      <c r="D95" s="41"/>
      <c r="E95" s="87" t="s">
        <v>159</v>
      </c>
      <c r="F95" s="184">
        <v>91</v>
      </c>
      <c r="G95" s="108" t="s">
        <v>1359</v>
      </c>
    </row>
    <row r="96" spans="1:238" s="40" customFormat="1" ht="45" customHeight="1" x14ac:dyDescent="0.2">
      <c r="A96" s="41">
        <v>2495</v>
      </c>
      <c r="B96" s="41" t="s">
        <v>51</v>
      </c>
      <c r="C96" s="41" t="s">
        <v>91</v>
      </c>
      <c r="D96" s="41"/>
      <c r="E96" s="87" t="s">
        <v>159</v>
      </c>
      <c r="F96" s="184">
        <v>92</v>
      </c>
      <c r="G96" s="108" t="s">
        <v>2055</v>
      </c>
    </row>
    <row r="97" spans="1:238" s="40" customFormat="1" ht="45" customHeight="1" x14ac:dyDescent="0.2">
      <c r="A97" s="41">
        <v>2494</v>
      </c>
      <c r="B97" s="41" t="s">
        <v>51</v>
      </c>
      <c r="C97" s="41" t="s">
        <v>91</v>
      </c>
      <c r="D97" s="41"/>
      <c r="E97" s="87" t="s">
        <v>92</v>
      </c>
      <c r="F97" s="184">
        <v>93</v>
      </c>
      <c r="G97" s="108" t="s">
        <v>195</v>
      </c>
    </row>
    <row r="98" spans="1:238" s="40" customFormat="1" ht="45" customHeight="1" x14ac:dyDescent="0.2">
      <c r="A98" s="41">
        <v>3292</v>
      </c>
      <c r="B98" s="41" t="s">
        <v>51</v>
      </c>
      <c r="C98" s="41" t="s">
        <v>91</v>
      </c>
      <c r="D98" s="41"/>
      <c r="E98" s="87" t="s">
        <v>186</v>
      </c>
      <c r="F98" s="184">
        <v>94</v>
      </c>
      <c r="G98" s="108" t="s">
        <v>1306</v>
      </c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</row>
    <row r="99" spans="1:238" s="40" customFormat="1" ht="45" customHeight="1" x14ac:dyDescent="0.2">
      <c r="A99" s="41">
        <v>3364</v>
      </c>
      <c r="B99" s="41" t="s">
        <v>51</v>
      </c>
      <c r="C99" s="41" t="s">
        <v>91</v>
      </c>
      <c r="D99" s="41"/>
      <c r="E99" s="87" t="s">
        <v>189</v>
      </c>
      <c r="F99" s="184">
        <v>95</v>
      </c>
      <c r="G99" s="108" t="s">
        <v>429</v>
      </c>
    </row>
    <row r="100" spans="1:238" s="40" customFormat="1" ht="45" customHeight="1" x14ac:dyDescent="0.2">
      <c r="A100" s="41">
        <v>2497</v>
      </c>
      <c r="B100" s="41" t="s">
        <v>51</v>
      </c>
      <c r="C100" s="41" t="s">
        <v>91</v>
      </c>
      <c r="D100" s="57"/>
      <c r="E100" s="87" t="s">
        <v>200</v>
      </c>
      <c r="F100" s="184">
        <v>96</v>
      </c>
      <c r="G100" s="108" t="s">
        <v>203</v>
      </c>
    </row>
    <row r="101" spans="1:238" s="40" customFormat="1" ht="45" customHeight="1" x14ac:dyDescent="0.2">
      <c r="A101" s="41">
        <v>3447</v>
      </c>
      <c r="B101" s="41" t="s">
        <v>51</v>
      </c>
      <c r="C101" s="41" t="s">
        <v>91</v>
      </c>
      <c r="D101" s="41"/>
      <c r="E101" s="87" t="s">
        <v>123</v>
      </c>
      <c r="F101" s="184">
        <v>96</v>
      </c>
      <c r="G101" s="108" t="s">
        <v>2056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</row>
    <row r="102" spans="1:238" s="40" customFormat="1" ht="45" customHeight="1" x14ac:dyDescent="0.2">
      <c r="A102" s="41">
        <v>3476</v>
      </c>
      <c r="B102" s="41" t="s">
        <v>51</v>
      </c>
      <c r="C102" s="41" t="s">
        <v>91</v>
      </c>
      <c r="D102" s="41"/>
      <c r="E102" s="87" t="s">
        <v>115</v>
      </c>
      <c r="F102" s="184">
        <v>98</v>
      </c>
      <c r="G102" s="108" t="s">
        <v>2057</v>
      </c>
    </row>
    <row r="103" spans="1:238" s="40" customFormat="1" ht="45" customHeight="1" x14ac:dyDescent="0.2">
      <c r="A103" s="41">
        <v>22740</v>
      </c>
      <c r="B103" s="41" t="s">
        <v>51</v>
      </c>
      <c r="C103" s="41" t="s">
        <v>91</v>
      </c>
      <c r="D103" s="57"/>
      <c r="E103" s="87"/>
      <c r="F103" s="184">
        <v>100</v>
      </c>
      <c r="G103" s="108" t="s">
        <v>873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</row>
    <row r="104" spans="1:238" s="40" customFormat="1" ht="45" customHeight="1" x14ac:dyDescent="0.2">
      <c r="A104" s="41">
        <v>24187</v>
      </c>
      <c r="B104" s="41" t="s">
        <v>51</v>
      </c>
      <c r="C104" s="41" t="s">
        <v>91</v>
      </c>
      <c r="D104" s="85"/>
      <c r="E104" s="86"/>
      <c r="F104" s="184">
        <v>101</v>
      </c>
      <c r="G104" s="108" t="s">
        <v>2058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</row>
    <row r="105" spans="1:238" s="40" customFormat="1" ht="45" customHeight="1" x14ac:dyDescent="0.2">
      <c r="A105" s="188" t="s">
        <v>2059</v>
      </c>
      <c r="B105" s="41" t="s">
        <v>51</v>
      </c>
      <c r="C105" s="41" t="s">
        <v>366</v>
      </c>
      <c r="D105" s="57"/>
      <c r="E105" s="87" t="s">
        <v>884</v>
      </c>
      <c r="F105" s="184">
        <v>102</v>
      </c>
      <c r="G105" s="108" t="s">
        <v>2060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</row>
    <row r="106" spans="1:238" s="40" customFormat="1" ht="45" customHeight="1" x14ac:dyDescent="0.2">
      <c r="A106" s="41">
        <v>3451</v>
      </c>
      <c r="B106" s="41" t="s">
        <v>51</v>
      </c>
      <c r="C106" s="41" t="s">
        <v>91</v>
      </c>
      <c r="D106" s="41"/>
      <c r="E106" s="87" t="s">
        <v>464</v>
      </c>
      <c r="F106" s="184">
        <v>105</v>
      </c>
      <c r="G106" s="108" t="s">
        <v>467</v>
      </c>
    </row>
    <row r="107" spans="1:238" s="40" customFormat="1" ht="45" customHeight="1" x14ac:dyDescent="0.2">
      <c r="A107" s="41">
        <v>3456</v>
      </c>
      <c r="B107" s="41" t="s">
        <v>51</v>
      </c>
      <c r="C107" s="41" t="s">
        <v>91</v>
      </c>
      <c r="D107" s="41"/>
      <c r="E107" s="87" t="s">
        <v>204</v>
      </c>
      <c r="F107" s="184">
        <v>106</v>
      </c>
      <c r="G107" s="108" t="s">
        <v>468</v>
      </c>
    </row>
    <row r="108" spans="1:238" s="40" customFormat="1" ht="45" customHeight="1" x14ac:dyDescent="0.2">
      <c r="A108" s="41">
        <v>3477</v>
      </c>
      <c r="B108" s="41" t="s">
        <v>51</v>
      </c>
      <c r="C108" s="41" t="s">
        <v>91</v>
      </c>
      <c r="D108" s="41"/>
      <c r="E108" s="87" t="s">
        <v>477</v>
      </c>
      <c r="F108" s="184">
        <v>107</v>
      </c>
      <c r="G108" s="122" t="s">
        <v>2061</v>
      </c>
    </row>
    <row r="109" spans="1:238" s="40" customFormat="1" ht="45" customHeight="1" x14ac:dyDescent="0.2">
      <c r="A109" s="41">
        <v>3395</v>
      </c>
      <c r="B109" s="41" t="s">
        <v>51</v>
      </c>
      <c r="C109" s="41" t="s">
        <v>91</v>
      </c>
      <c r="D109" s="41"/>
      <c r="E109" s="87" t="s">
        <v>445</v>
      </c>
      <c r="F109" s="184">
        <v>120</v>
      </c>
      <c r="G109" s="108" t="s">
        <v>2062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</row>
    <row r="110" spans="1:238" s="40" customFormat="1" ht="45" customHeight="1" x14ac:dyDescent="0.2">
      <c r="A110" s="41">
        <v>3409</v>
      </c>
      <c r="B110" s="41" t="s">
        <v>51</v>
      </c>
      <c r="C110" s="41" t="s">
        <v>91</v>
      </c>
      <c r="D110" s="57"/>
      <c r="E110" s="87" t="s">
        <v>449</v>
      </c>
      <c r="F110" s="184">
        <v>121</v>
      </c>
      <c r="G110" s="108" t="s">
        <v>2063</v>
      </c>
    </row>
    <row r="111" spans="1:238" s="40" customFormat="1" ht="45" customHeight="1" x14ac:dyDescent="0.2">
      <c r="A111" s="41">
        <v>3418</v>
      </c>
      <c r="B111" s="41" t="s">
        <v>51</v>
      </c>
      <c r="C111" s="41" t="s">
        <v>91</v>
      </c>
      <c r="D111" s="57"/>
      <c r="E111" s="87" t="s">
        <v>97</v>
      </c>
      <c r="F111" s="184">
        <v>122</v>
      </c>
      <c r="G111" s="108" t="s">
        <v>453</v>
      </c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</row>
    <row r="112" spans="1:238" s="40" customFormat="1" ht="45" customHeight="1" x14ac:dyDescent="0.2">
      <c r="A112" s="41">
        <v>3417</v>
      </c>
      <c r="B112" s="41" t="s">
        <v>51</v>
      </c>
      <c r="C112" s="41" t="s">
        <v>91</v>
      </c>
      <c r="D112" s="41"/>
      <c r="E112" s="87" t="s">
        <v>159</v>
      </c>
      <c r="F112" s="184">
        <v>123</v>
      </c>
      <c r="G112" s="108" t="s">
        <v>452</v>
      </c>
    </row>
    <row r="113" spans="1:238" s="40" customFormat="1" ht="45" customHeight="1" x14ac:dyDescent="0.2">
      <c r="A113" s="41">
        <v>8679</v>
      </c>
      <c r="B113" s="41" t="s">
        <v>51</v>
      </c>
      <c r="C113" s="41" t="s">
        <v>91</v>
      </c>
      <c r="D113" s="41"/>
      <c r="E113" s="87" t="s">
        <v>97</v>
      </c>
      <c r="F113" s="184">
        <v>130</v>
      </c>
      <c r="G113" s="108" t="s">
        <v>2064</v>
      </c>
    </row>
    <row r="114" spans="1:238" s="40" customFormat="1" ht="45" customHeight="1" x14ac:dyDescent="0.2">
      <c r="A114" s="41">
        <v>8926</v>
      </c>
      <c r="B114" s="41" t="s">
        <v>51</v>
      </c>
      <c r="C114" s="41" t="s">
        <v>91</v>
      </c>
      <c r="D114" s="41"/>
      <c r="E114" s="87" t="s">
        <v>123</v>
      </c>
      <c r="F114" s="184">
        <v>131</v>
      </c>
      <c r="G114" s="108" t="s">
        <v>750</v>
      </c>
    </row>
    <row r="115" spans="1:238" s="167" customFormat="1" ht="45" customHeight="1" x14ac:dyDescent="0.2">
      <c r="A115" s="41">
        <v>2526</v>
      </c>
      <c r="B115" s="41" t="s">
        <v>51</v>
      </c>
      <c r="C115" s="41" t="s">
        <v>91</v>
      </c>
      <c r="D115" s="41"/>
      <c r="E115" s="87" t="s">
        <v>159</v>
      </c>
      <c r="F115" s="184">
        <v>132</v>
      </c>
      <c r="G115" s="108" t="s">
        <v>2065</v>
      </c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</row>
    <row r="116" spans="1:238" s="40" customFormat="1" ht="45" customHeight="1" x14ac:dyDescent="0.2">
      <c r="A116" s="41">
        <v>8869</v>
      </c>
      <c r="B116" s="41" t="s">
        <v>51</v>
      </c>
      <c r="C116" s="41" t="s">
        <v>91</v>
      </c>
      <c r="D116" s="41"/>
      <c r="E116" s="87" t="s">
        <v>159</v>
      </c>
      <c r="F116" s="184">
        <v>133</v>
      </c>
      <c r="G116" s="108" t="s">
        <v>740</v>
      </c>
      <c r="H116" s="35"/>
    </row>
    <row r="117" spans="1:238" s="40" customFormat="1" ht="45" customHeight="1" x14ac:dyDescent="0.2">
      <c r="A117" s="41">
        <v>6602</v>
      </c>
      <c r="B117" s="41" t="s">
        <v>51</v>
      </c>
      <c r="C117" s="41" t="s">
        <v>91</v>
      </c>
      <c r="D117" s="41"/>
      <c r="E117" s="87" t="s">
        <v>159</v>
      </c>
      <c r="F117" s="184">
        <v>134</v>
      </c>
      <c r="G117" s="108" t="s">
        <v>483</v>
      </c>
      <c r="H117" s="35"/>
    </row>
    <row r="118" spans="1:238" s="40" customFormat="1" ht="45" customHeight="1" x14ac:dyDescent="0.2">
      <c r="A118" s="41">
        <v>2879</v>
      </c>
      <c r="B118" s="41" t="s">
        <v>51</v>
      </c>
      <c r="C118" s="36" t="s">
        <v>214</v>
      </c>
      <c r="D118" s="57"/>
      <c r="E118" s="87" t="s">
        <v>215</v>
      </c>
      <c r="F118" s="184">
        <v>201</v>
      </c>
      <c r="G118" s="108" t="s">
        <v>288</v>
      </c>
    </row>
    <row r="119" spans="1:238" s="40" customFormat="1" ht="45" customHeight="1" x14ac:dyDescent="0.2">
      <c r="A119" s="41">
        <v>3470</v>
      </c>
      <c r="B119" s="41" t="s">
        <v>51</v>
      </c>
      <c r="C119" s="36" t="s">
        <v>214</v>
      </c>
      <c r="D119" s="85"/>
      <c r="E119" s="86" t="s">
        <v>215</v>
      </c>
      <c r="F119" s="184">
        <v>202</v>
      </c>
      <c r="G119" s="108" t="s">
        <v>472</v>
      </c>
    </row>
    <row r="120" spans="1:238" s="40" customFormat="1" ht="45" customHeight="1" x14ac:dyDescent="0.2">
      <c r="A120" s="41">
        <v>2521</v>
      </c>
      <c r="B120" s="41" t="s">
        <v>51</v>
      </c>
      <c r="C120" s="36" t="s">
        <v>214</v>
      </c>
      <c r="D120" s="85"/>
      <c r="E120" s="86" t="s">
        <v>215</v>
      </c>
      <c r="F120" s="184">
        <v>203</v>
      </c>
      <c r="G120" s="108" t="s">
        <v>217</v>
      </c>
    </row>
    <row r="121" spans="1:238" s="40" customFormat="1" ht="45" customHeight="1" x14ac:dyDescent="0.2">
      <c r="A121" s="41">
        <v>11739</v>
      </c>
      <c r="B121" s="41" t="s">
        <v>51</v>
      </c>
      <c r="C121" s="41" t="s">
        <v>286</v>
      </c>
      <c r="D121" s="85"/>
      <c r="E121" s="86" t="s">
        <v>766</v>
      </c>
      <c r="F121" s="184">
        <v>500</v>
      </c>
      <c r="G121" s="108" t="s">
        <v>2066</v>
      </c>
    </row>
    <row r="122" spans="1:238" s="40" customFormat="1" ht="45" customHeight="1" x14ac:dyDescent="0.2">
      <c r="A122" s="41">
        <v>14160</v>
      </c>
      <c r="B122" s="41" t="s">
        <v>51</v>
      </c>
      <c r="C122" s="41" t="s">
        <v>91</v>
      </c>
      <c r="D122" s="85"/>
      <c r="E122" s="86" t="s">
        <v>776</v>
      </c>
      <c r="F122" s="184">
        <v>501</v>
      </c>
      <c r="G122" s="122" t="s">
        <v>1609</v>
      </c>
    </row>
    <row r="123" spans="1:238" s="35" customFormat="1" ht="45" customHeight="1" x14ac:dyDescent="0.2">
      <c r="A123" s="41">
        <v>14266</v>
      </c>
      <c r="B123" s="41" t="s">
        <v>51</v>
      </c>
      <c r="C123" s="41" t="s">
        <v>91</v>
      </c>
      <c r="D123" s="85"/>
      <c r="E123" s="86" t="s">
        <v>776</v>
      </c>
      <c r="F123" s="184">
        <v>503</v>
      </c>
      <c r="G123" s="122" t="s">
        <v>797</v>
      </c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</row>
    <row r="124" spans="1:238" s="35" customFormat="1" ht="45" customHeight="1" x14ac:dyDescent="0.2">
      <c r="A124" s="41">
        <v>14259</v>
      </c>
      <c r="B124" s="41" t="s">
        <v>51</v>
      </c>
      <c r="C124" s="41" t="s">
        <v>91</v>
      </c>
      <c r="D124" s="85"/>
      <c r="E124" s="86" t="s">
        <v>776</v>
      </c>
      <c r="F124" s="184">
        <v>504</v>
      </c>
      <c r="G124" s="122" t="s">
        <v>791</v>
      </c>
    </row>
    <row r="125" spans="1:238" s="35" customFormat="1" ht="45" customHeight="1" x14ac:dyDescent="0.2">
      <c r="A125" s="41">
        <v>14260</v>
      </c>
      <c r="B125" s="41" t="s">
        <v>51</v>
      </c>
      <c r="C125" s="41" t="s">
        <v>91</v>
      </c>
      <c r="D125" s="85"/>
      <c r="E125" s="86" t="s">
        <v>776</v>
      </c>
      <c r="F125" s="184">
        <v>505</v>
      </c>
      <c r="G125" s="183" t="s">
        <v>792</v>
      </c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</row>
    <row r="126" spans="1:238" s="40" customFormat="1" ht="45" customHeight="1" x14ac:dyDescent="0.2">
      <c r="A126" s="41">
        <v>14197</v>
      </c>
      <c r="B126" s="41" t="s">
        <v>51</v>
      </c>
      <c r="C126" s="41" t="s">
        <v>91</v>
      </c>
      <c r="D126" s="85"/>
      <c r="E126" s="86" t="s">
        <v>776</v>
      </c>
      <c r="F126" s="184">
        <v>506</v>
      </c>
      <c r="G126" s="122" t="s">
        <v>786</v>
      </c>
    </row>
    <row r="127" spans="1:238" s="40" customFormat="1" ht="45" customHeight="1" x14ac:dyDescent="0.2">
      <c r="A127" s="41">
        <v>14196</v>
      </c>
      <c r="B127" s="41" t="s">
        <v>51</v>
      </c>
      <c r="C127" s="41" t="s">
        <v>91</v>
      </c>
      <c r="D127" s="85"/>
      <c r="E127" s="86" t="s">
        <v>776</v>
      </c>
      <c r="F127" s="184">
        <v>507</v>
      </c>
      <c r="G127" s="122" t="s">
        <v>785</v>
      </c>
    </row>
    <row r="128" spans="1:238" s="40" customFormat="1" ht="45" customHeight="1" x14ac:dyDescent="0.2">
      <c r="A128" s="41">
        <v>14123</v>
      </c>
      <c r="B128" s="41" t="s">
        <v>51</v>
      </c>
      <c r="C128" s="41" t="s">
        <v>91</v>
      </c>
      <c r="D128" s="85"/>
      <c r="E128" s="86" t="s">
        <v>776</v>
      </c>
      <c r="F128" s="184">
        <v>508</v>
      </c>
      <c r="G128" s="122" t="s">
        <v>778</v>
      </c>
    </row>
    <row r="129" spans="1:238" s="40" customFormat="1" ht="45" customHeight="1" x14ac:dyDescent="0.2">
      <c r="A129" s="41">
        <v>14124</v>
      </c>
      <c r="B129" s="41" t="s">
        <v>51</v>
      </c>
      <c r="C129" s="41" t="s">
        <v>91</v>
      </c>
      <c r="D129" s="85"/>
      <c r="E129" s="86" t="s">
        <v>776</v>
      </c>
      <c r="F129" s="184">
        <v>509</v>
      </c>
      <c r="G129" s="122" t="s">
        <v>779</v>
      </c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</row>
    <row r="130" spans="1:238" s="40" customFormat="1" ht="45" customHeight="1" x14ac:dyDescent="0.2">
      <c r="A130" s="41">
        <v>14193</v>
      </c>
      <c r="B130" s="41" t="s">
        <v>51</v>
      </c>
      <c r="C130" s="41" t="s">
        <v>91</v>
      </c>
      <c r="D130" s="85"/>
      <c r="E130" s="86" t="s">
        <v>776</v>
      </c>
      <c r="F130" s="184">
        <v>510</v>
      </c>
      <c r="G130" s="122" t="s">
        <v>782</v>
      </c>
    </row>
    <row r="131" spans="1:238" s="40" customFormat="1" ht="45" customHeight="1" x14ac:dyDescent="0.2">
      <c r="A131" s="41">
        <v>14258</v>
      </c>
      <c r="B131" s="41" t="s">
        <v>51</v>
      </c>
      <c r="C131" s="41" t="s">
        <v>91</v>
      </c>
      <c r="D131" s="85"/>
      <c r="E131" s="86" t="s">
        <v>776</v>
      </c>
      <c r="F131" s="184">
        <v>511</v>
      </c>
      <c r="G131" s="183" t="s">
        <v>1628</v>
      </c>
    </row>
    <row r="132" spans="1:238" s="40" customFormat="1" ht="45" customHeight="1" x14ac:dyDescent="0.2">
      <c r="A132" s="41">
        <v>14192</v>
      </c>
      <c r="B132" s="41" t="s">
        <v>51</v>
      </c>
      <c r="C132" s="41" t="s">
        <v>91</v>
      </c>
      <c r="D132" s="85"/>
      <c r="E132" s="86" t="s">
        <v>776</v>
      </c>
      <c r="F132" s="184">
        <v>512</v>
      </c>
      <c r="G132" s="122" t="s">
        <v>781</v>
      </c>
    </row>
    <row r="133" spans="1:238" s="35" customFormat="1" ht="45" customHeight="1" x14ac:dyDescent="0.2">
      <c r="A133" s="41">
        <v>14225</v>
      </c>
      <c r="B133" s="41" t="s">
        <v>51</v>
      </c>
      <c r="C133" s="41" t="s">
        <v>91</v>
      </c>
      <c r="D133" s="85"/>
      <c r="E133" s="86" t="s">
        <v>776</v>
      </c>
      <c r="F133" s="184">
        <v>513</v>
      </c>
      <c r="G133" s="122" t="s">
        <v>1621</v>
      </c>
    </row>
    <row r="134" spans="1:238" s="35" customFormat="1" ht="45" customHeight="1" x14ac:dyDescent="0.2">
      <c r="A134" s="41">
        <v>14257</v>
      </c>
      <c r="B134" s="41" t="s">
        <v>51</v>
      </c>
      <c r="C134" s="41" t="s">
        <v>91</v>
      </c>
      <c r="D134" s="85"/>
      <c r="E134" s="86" t="s">
        <v>776</v>
      </c>
      <c r="F134" s="184">
        <v>514</v>
      </c>
      <c r="G134" s="122" t="s">
        <v>788</v>
      </c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</row>
    <row r="135" spans="1:238" s="35" customFormat="1" ht="45" customHeight="1" x14ac:dyDescent="0.2">
      <c r="A135" s="41">
        <v>14263</v>
      </c>
      <c r="B135" s="41" t="s">
        <v>51</v>
      </c>
      <c r="C135" s="41" t="s">
        <v>91</v>
      </c>
      <c r="D135" s="85"/>
      <c r="E135" s="86" t="s">
        <v>776</v>
      </c>
      <c r="F135" s="184">
        <v>515</v>
      </c>
      <c r="G135" s="122" t="s">
        <v>793</v>
      </c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</row>
    <row r="136" spans="1:238" s="35" customFormat="1" ht="45" customHeight="1" x14ac:dyDescent="0.2">
      <c r="A136" s="41">
        <v>14194</v>
      </c>
      <c r="B136" s="41" t="s">
        <v>51</v>
      </c>
      <c r="C136" s="41" t="s">
        <v>91</v>
      </c>
      <c r="D136" s="85"/>
      <c r="E136" s="86" t="s">
        <v>776</v>
      </c>
      <c r="F136" s="184">
        <v>516</v>
      </c>
      <c r="G136" s="122" t="s">
        <v>783</v>
      </c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</row>
    <row r="137" spans="1:238" s="40" customFormat="1" ht="45" customHeight="1" x14ac:dyDescent="0.2">
      <c r="A137" s="41">
        <v>19361</v>
      </c>
      <c r="B137" s="41" t="s">
        <v>51</v>
      </c>
      <c r="C137" s="41" t="s">
        <v>91</v>
      </c>
      <c r="D137" s="85"/>
      <c r="E137" s="86" t="s">
        <v>776</v>
      </c>
      <c r="F137" s="184">
        <v>517</v>
      </c>
      <c r="G137" s="122" t="s">
        <v>1660</v>
      </c>
    </row>
    <row r="138" spans="1:238" s="40" customFormat="1" ht="45" customHeight="1" x14ac:dyDescent="0.2">
      <c r="A138" s="41">
        <v>19631</v>
      </c>
      <c r="B138" s="41" t="s">
        <v>51</v>
      </c>
      <c r="C138" s="41" t="s">
        <v>91</v>
      </c>
      <c r="D138" s="85"/>
      <c r="E138" s="86" t="s">
        <v>776</v>
      </c>
      <c r="F138" s="184">
        <v>517</v>
      </c>
      <c r="G138" s="122" t="s">
        <v>1660</v>
      </c>
    </row>
    <row r="139" spans="1:238" s="40" customFormat="1" ht="45" customHeight="1" x14ac:dyDescent="0.2">
      <c r="A139" s="41">
        <v>14195</v>
      </c>
      <c r="B139" s="41" t="s">
        <v>51</v>
      </c>
      <c r="C139" s="41" t="s">
        <v>91</v>
      </c>
      <c r="D139" s="85"/>
      <c r="E139" s="86" t="s">
        <v>776</v>
      </c>
      <c r="F139" s="184">
        <v>518</v>
      </c>
      <c r="G139" s="122" t="s">
        <v>784</v>
      </c>
    </row>
    <row r="140" spans="1:238" s="40" customFormat="1" ht="45" customHeight="1" x14ac:dyDescent="0.2">
      <c r="A140" s="41">
        <v>20362</v>
      </c>
      <c r="B140" s="41" t="s">
        <v>51</v>
      </c>
      <c r="C140" s="41" t="s">
        <v>286</v>
      </c>
      <c r="D140" s="57"/>
      <c r="E140" s="87"/>
      <c r="F140" s="184">
        <v>550</v>
      </c>
      <c r="G140" s="108" t="s">
        <v>860</v>
      </c>
    </row>
    <row r="141" spans="1:238" s="40" customFormat="1" ht="45" customHeight="1" x14ac:dyDescent="0.2">
      <c r="A141" s="41">
        <v>7443</v>
      </c>
      <c r="B141" s="41" t="s">
        <v>51</v>
      </c>
      <c r="C141" s="41" t="s">
        <v>52</v>
      </c>
      <c r="D141" s="57"/>
      <c r="E141" s="87" t="s">
        <v>491</v>
      </c>
      <c r="F141" s="184">
        <v>600</v>
      </c>
      <c r="G141" s="108" t="s">
        <v>493</v>
      </c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</row>
    <row r="142" spans="1:238" s="40" customFormat="1" ht="45" customHeight="1" x14ac:dyDescent="0.2">
      <c r="A142" s="41">
        <v>10503</v>
      </c>
      <c r="B142" s="41" t="s">
        <v>51</v>
      </c>
      <c r="C142" s="36" t="s">
        <v>52</v>
      </c>
      <c r="D142" s="57"/>
      <c r="E142" s="87" t="s">
        <v>758</v>
      </c>
      <c r="F142" s="184">
        <v>610</v>
      </c>
      <c r="G142" s="108" t="s">
        <v>1563</v>
      </c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</row>
    <row r="143" spans="1:238" s="40" customFormat="1" ht="45" customHeight="1" x14ac:dyDescent="0.2">
      <c r="A143" s="41">
        <v>2491</v>
      </c>
      <c r="B143" s="41" t="s">
        <v>51</v>
      </c>
      <c r="C143" s="41" t="s">
        <v>91</v>
      </c>
      <c r="D143" s="41"/>
      <c r="E143" s="87" t="s">
        <v>189</v>
      </c>
      <c r="F143" s="184" t="s">
        <v>190</v>
      </c>
      <c r="G143" s="108" t="s">
        <v>2067</v>
      </c>
    </row>
  </sheetData>
  <sortState ref="A2:ID143">
    <sortCondition ref="F2:F143"/>
  </sortState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4</vt:i4>
      </vt:variant>
    </vt:vector>
  </HeadingPairs>
  <TitlesOfParts>
    <vt:vector size="19" baseType="lpstr">
      <vt:lpstr>Wegeübersicht</vt:lpstr>
      <vt:lpstr>Wege im Detail</vt:lpstr>
      <vt:lpstr>Wegeübersicht_EXPORT_Aug23</vt:lpstr>
      <vt:lpstr>Auswertung</vt:lpstr>
      <vt:lpstr>Gelöscht aus Wegedetails</vt:lpstr>
      <vt:lpstr>Aufgelassene Wege</vt:lpstr>
      <vt:lpstr>KOMOOT-Berechnung</vt:lpstr>
      <vt:lpstr>Legende_Defintionen</vt:lpstr>
      <vt:lpstr>FGV-WegNr HWW</vt:lpstr>
      <vt:lpstr>FGV-WegNr Örtliche Wege</vt:lpstr>
      <vt:lpstr>Handlungsbedarf</vt:lpstr>
      <vt:lpstr>LVG - UK-Symbole</vt:lpstr>
      <vt:lpstr>UK-Symbole</vt:lpstr>
      <vt:lpstr>Notizen DB-Beauftragter</vt:lpstr>
      <vt:lpstr>Wege landkreisbezogen</vt:lpstr>
      <vt:lpstr>'Wege im Detail'!Druckbereich</vt:lpstr>
      <vt:lpstr>Wegeübersicht!Druckbereich</vt:lpstr>
      <vt:lpstr>Wegeübersicht_EXPORT_Aug23!Druckbereich</vt:lpstr>
      <vt:lpstr>Wegeübersicht!Drucktitel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Guenter</dc:creator>
  <cp:keywords/>
  <dc:description/>
  <cp:lastModifiedBy>Günter Reizammer</cp:lastModifiedBy>
  <cp:revision/>
  <cp:lastPrinted>2023-08-02T15:43:42Z</cp:lastPrinted>
  <dcterms:created xsi:type="dcterms:W3CDTF">2008-12-22T14:32:58Z</dcterms:created>
  <dcterms:modified xsi:type="dcterms:W3CDTF">2023-08-27T18:15:49Z</dcterms:modified>
  <cp:category/>
  <cp:contentStatus/>
</cp:coreProperties>
</file>